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2-NOTIFIE/389-B-HERCOUET-NAQ(40-64)-CASTEL-Bousquet:Selle-Castelner:StMédard:Hagetaubin/"/>
    </mc:Choice>
  </mc:AlternateContent>
  <xr:revisionPtr revIDLastSave="0" documentId="13_ncr:1_{687364F2-E605-B24B-BFF6-20AE3240EAE9}" xr6:coauthVersionLast="47" xr6:coauthVersionMax="47" xr10:uidLastSave="{00000000-0000-0000-0000-000000000000}"/>
  <bookViews>
    <workbookView xWindow="-10680" yWindow="-28300" windowWidth="27180" windowHeight="283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D172" i="2" s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HH185" i="2"/>
  <c r="HG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EW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EV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HH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FS201" i="2" l="1"/>
  <c r="EB201" i="2"/>
  <c r="HG201" i="2"/>
  <c r="HH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HH202" i="2"/>
  <c r="FR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43" i="2" a="1"/>
  <c r="BC143" i="2" s="1"/>
  <c r="BC185" i="2" a="1"/>
  <c r="BC185" i="2" s="1"/>
  <c r="BC151" i="2" a="1"/>
  <c r="BC151" i="2" s="1"/>
  <c r="BC38" i="2" a="1"/>
  <c r="BC3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2" i="2" l="1" a="1"/>
  <c r="BC82" i="2" s="1"/>
  <c r="BC192" i="2" a="1"/>
  <c r="BC192" i="2" s="1"/>
  <c r="BC47" i="2" a="1"/>
  <c r="BC47" i="2" s="1"/>
  <c r="BC68" i="2" a="1"/>
  <c r="BC68" i="2" s="1"/>
  <c r="BC18" i="2" a="1"/>
  <c r="BC18" i="2" s="1"/>
  <c r="BC31" i="2" a="1"/>
  <c r="BC31" i="2" s="1"/>
  <c r="BC84" i="2" a="1"/>
  <c r="BC84" i="2" s="1"/>
  <c r="BC34" i="2" a="1"/>
  <c r="BC34" i="2" s="1"/>
  <c r="BC58" i="2" a="1"/>
  <c r="BC58" i="2" s="1"/>
  <c r="BC32" i="2" a="1"/>
  <c r="BC32" i="2" s="1"/>
  <c r="BC164" i="2" a="1"/>
  <c r="BC164" i="2" s="1"/>
  <c r="BC117" i="2" a="1"/>
  <c r="BC117" i="2" s="1"/>
  <c r="BC55" i="2" a="1"/>
  <c r="BC55" i="2" s="1"/>
  <c r="BC65" i="2" a="1"/>
  <c r="BC65" i="2" s="1"/>
  <c r="BC83" i="2" a="1"/>
  <c r="BC83" i="2" s="1"/>
  <c r="BC130" i="2" a="1"/>
  <c r="BC130" i="2" s="1"/>
  <c r="BC114" i="2" a="1"/>
  <c r="BC114" i="2" s="1"/>
  <c r="BP203" i="2"/>
  <c r="BC7" i="2" a="1"/>
  <c r="BC7" i="2" s="1"/>
  <c r="BC126" i="2" a="1"/>
  <c r="BC126" i="2" s="1"/>
  <c r="AH163" i="2" a="1"/>
  <c r="AH163" i="2" s="1"/>
  <c r="AH199" i="2" a="1"/>
  <c r="AH199" i="2" s="1"/>
  <c r="AH151" i="2" a="1"/>
  <c r="AH151" i="2" s="1"/>
  <c r="AH62" i="2" a="1"/>
  <c r="AH62" i="2" s="1"/>
  <c r="AH166" i="2" a="1"/>
  <c r="AH166" i="2" s="1"/>
  <c r="AH19" i="2" a="1"/>
  <c r="AH19" i="2" s="1"/>
  <c r="AH92" i="2" a="1"/>
  <c r="AH92" i="2" s="1"/>
  <c r="AH90" i="2" a="1"/>
  <c r="AH90" i="2" s="1"/>
  <c r="DN56" i="2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<sst xmlns="http://schemas.openxmlformats.org/spreadsheetml/2006/main" count="1187" uniqueCount="326">
  <si>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</si>
  <si>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</si>
  <si>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</si>
  <si>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</si>
  <si>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</si>
  <si>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</si>
  <si>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</si>
  <si>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</si>
  <si>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</si>
  <si>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</si>
  <si>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</si>
  <si>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</si>
  <si>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</si>
  <si>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</si>
  <si>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</si>
  <si>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</si>
  <si>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</si>
  <si>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</si>
  <si>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</si>
  <si>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</si>
  <si>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</si>
  <si>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</si>
  <si>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</si>
  <si>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</si>
  <si>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</si>
  <si>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</si>
  <si>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</si>
  <si>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</si>
  <si>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</si>
  <si>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</si>
  <si>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</si>
  <si>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</si>
  <si>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</si>
  <si>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</si>
  <si>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</si>
  <si>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</si>
  <si>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</si>
  <si>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</si>
  <si>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</si>
  <si>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</si>
  <si>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</si>
  <si>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</si>
  <si>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</si>
  <si>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</si>
  <si>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</si>
  <si>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</si>
  <si>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</si>
  <si>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</si>
  <si>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</si>
  <si>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</si>
  <si>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</si>
  <si>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</si>
  <si>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</si>
  <si>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</si>
  <si>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</si>
  <si>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</si>
  <si>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</si>
  <si>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</si>
  <si>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</si>
  <si>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</si>
  <si>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</si>
  <si>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</si>
  <si>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</si>
  <si>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</si>
  <si>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</si>
  <si>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</si>
  <si>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</si>
  <si>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</si>
  <si>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</si>
  <si>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</si>
  <si>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</si>
  <si>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</si>
  <si>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</si>
  <si>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</si>
  <si>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</si>
  <si>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</si>
  <si>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</si>
  <si>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</si>
  <si>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</si>
  <si>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</si>
  <si>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</si>
  <si>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</si>
  <si>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</si>
  <si>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</si>
  <si>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</si>
  <si>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</si>
  <si>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</si>
  <si>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</si>
  <si>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</si>
  <si>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</si>
  <si>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</si>
  <si>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</si>
  <si>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</si>
  <si>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</si>
  <si>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</si>
  <si>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</si>
  <si>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</si>
  <si>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</si>
  <si>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</si>
  <si>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</si>
  <si>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</si>
  <si>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</si>
  <si>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</si>
  <si>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</si>
  <si>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</si>
  <si>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</si>
  <si>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</si>
  <si>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</si>
  <si>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</si>
  <si>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</si>
  <si>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</si>
  <si>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</si>
  <si>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</si>
  <si>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</si>
  <si>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</si>
  <si>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</si>
  <si>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</si>
  <si>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</si>
  <si>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</si>
  <si>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</si>
  <si>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</si>
  <si>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</si>
  <si>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</si>
  <si>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</si>
  <si>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</si>
  <si>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</si>
  <si>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</si>
  <si>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</si>
  <si>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</si>
  <si>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</si>
  <si>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</si>
  <si>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</si>
  <si>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</si>
  <si>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</si>
  <si>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</si>
  <si>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</si>
  <si>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</si>
  <si>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</si>
  <si>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</si>
  <si>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</si>
  <si>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</si>
  <si>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</si>
  <si>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</si>
  <si>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</si>
  <si>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</si>
  <si>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</si>
  <si>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</si>
  <si>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</si>
  <si>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</si>
  <si>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</si>
  <si>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</si>
  <si>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</si>
  <si>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</si>
  <si>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</si>
  <si>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</si>
  <si>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</si>
  <si>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</si>
  <si>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</si>
  <si>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</si>
  <si>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</si>
  <si>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</si>
  <si>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</si>
  <si>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</si>
  <si>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</si>
  <si>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</si>
  <si>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</si>
  <si>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</si>
  <si>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</si>
  <si>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</si>
  <si>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</si>
  <si>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</si>
  <si>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</si>
  <si>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</si>
  <si>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</si>
  <si>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</si>
  <si>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</si>
  <si>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</si>
  <si>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</si>
  <si>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</si>
  <si>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</si>
  <si>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</si>
  <si>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</si>
  <si>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</si>
  <si>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</si>
  <si>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</si>
  <si>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</si>
  <si>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</si>
  <si>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</si>
  <si>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</si>
  <si>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</si>
  <si>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</si>
  <si>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</si>
  <si>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</si>
  <si>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</si>
  <si>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</si>
  <si>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</si>
  <si>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</si>
  <si>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</si>
  <si>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</si>
  <si>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</si>
  <si>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</si>
  <si>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</si>
  <si>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</si>
  <si>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</si>
  <si>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</si>
  <si>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</si>
  <si>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</si>
  <si>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</si>
  <si>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</si>
  <si>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</si>
  <si>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</si>
  <si>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</si>
  <si>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</si>
  <si>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</si>
  <si>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</si>
  <si>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</si>
  <si>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</si>
  <si>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</si>
  <si>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</si>
  <si>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</si>
  <si>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</si>
  <si>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</si>
  <si>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</si>
  <si>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</si>
  <si>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</si>
  <si>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</si>
  <si>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</si>
  <si>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</si>
  <si>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</si>
  <si>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</si>
  <si>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</si>
  <si>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</si>
  <si>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</si>
  <si>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</si>
  <si>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</si>
  <si>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</si>
  <si>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</si>
  <si>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</si>
  <si>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</si>
  <si>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</si>
  <si>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</si>
  <si>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</si>
  <si>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</si>
  <si>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</si>
  <si>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</si>
  <si>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</si>
  <si>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</si>
  <si>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</si>
  <si>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</si>
  <si>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</si>
  <si>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</si>
  <si>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</si>
  <si>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</si>
  <si>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</si>
  <si>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</si>
  <si>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</si>
  <si>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</si>
  <si>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</si>
  <si>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</si>
  <si>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</si>
  <si>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</si>
  <si>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</si>
  <si>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</si>
  <si>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</si>
  <si>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</si>
  <si>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</si>
  <si>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</si>
  <si>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</si>
  <si>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</si>
  <si>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</si>
  <si>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</si>
  <si>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</si>
  <si>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</si>
  <si>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</si>
  <si>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</si>
  <si>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</si>
  <si>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</si>
  <si>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</si>
  <si>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</si>
  <si>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</si>
  <si>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</si>
  <si>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</si>
  <si>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</si>
  <si>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</si>
  <si>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</si>
  <si>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</si>
  <si>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</si>
  <si>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</si>
  <si>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</si>
  <si>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</si>
  <si>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</si>
  <si>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</si>
  <si>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</si>
  <si>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</si>
  <si>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</si>
  <si>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</si>
  <si>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</si>
  <si>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</si>
  <si>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</si>
  <si>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</si>
  <si>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</si>
  <si>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</si>
  <si>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</si>
  <si>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</si>
  <si>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</si>
  <si>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</si>
  <si>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</si>
  <si>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</si>
  <si>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</si>
  <si>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</si>
  <si>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</si>
  <si>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</si>
  <si>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</si>
  <si>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</si>
  <si>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</si>
  <si>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</si>
  <si>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</si>
  <si>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</si>
  <si>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</si>
  <si>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</si>
  <si>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</si>
  <si>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</si>
  <si>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</si>
  <si>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</si>
  <si>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/>
  </si>
  <si>
    <t>Tables ONF du tableur V3pour le Pin Maritime en classe 3(1/2/3/4/5) équivalence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</si>
</sst>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2.1940002830390566</c:v>
                </c:pt>
                <c:pt idx="2">
                  <c:v>3.1045686165948538</c:v>
                </c:pt>
                <c:pt idx="3">
                  <c:v>4.3947013277262581</c:v>
                </c:pt>
                <c:pt idx="4">
                  <c:v>6.2232657031808714</c:v>
                </c:pt>
                <c:pt idx="5">
                  <c:v>8.8158762058820344</c:v>
                </c:pt>
                <c:pt idx="6">
                  <c:v>12.493036245630696</c:v>
                </c:pt>
                <c:pt idx="7">
                  <c:v>17.710183078386564</c:v>
                </c:pt>
                <c:pt idx="8">
                  <c:v>25.114685188929467</c:v>
                </c:pt>
                <c:pt idx="9">
                  <c:v>35.626989116334002</c:v>
                </c:pt>
                <c:pt idx="10">
                  <c:v>50.556175876839468</c:v>
                </c:pt>
                <c:pt idx="11">
                  <c:v>71.76455709729801</c:v>
                </c:pt>
                <c:pt idx="12">
                  <c:v>101.90217630642276</c:v>
                </c:pt>
                <c:pt idx="13">
                  <c:v>126.6774958532839</c:v>
                </c:pt>
                <c:pt idx="14">
                  <c:v>151.33494848914387</c:v>
                </c:pt>
                <c:pt idx="15">
                  <c:v>128.49351401488124</c:v>
                </c:pt>
                <c:pt idx="16">
                  <c:v>152.53988816763055</c:v>
                </c:pt>
                <c:pt idx="17">
                  <c:v>176.49586999908544</c:v>
                </c:pt>
                <c:pt idx="18">
                  <c:v>200.37547244281248</c:v>
                </c:pt>
                <c:pt idx="19">
                  <c:v>224.18908393280142</c:v>
                </c:pt>
                <c:pt idx="20">
                  <c:v>175.85827410459771</c:v>
                </c:pt>
                <c:pt idx="21">
                  <c:v>198.54114021779469</c:v>
                </c:pt>
                <c:pt idx="22">
                  <c:v>221.16386637311743</c:v>
                </c:pt>
                <c:pt idx="23">
                  <c:v>243.73347018256243</c:v>
                </c:pt>
                <c:pt idx="24">
                  <c:v>266.25556181785299</c:v>
                </c:pt>
                <c:pt idx="25">
                  <c:v>288.73472412555719</c:v>
                </c:pt>
                <c:pt idx="26">
                  <c:v>241.51932285653808</c:v>
                </c:pt>
                <c:pt idx="27">
                  <c:v>262.27055676220425</c:v>
                </c:pt>
                <c:pt idx="28">
                  <c:v>282.98473984520757</c:v>
                </c:pt>
                <c:pt idx="29">
                  <c:v>303.66496471789884</c:v>
                </c:pt>
                <c:pt idx="30">
                  <c:v>325.42191379780735</c:v>
                </c:pt>
                <c:pt idx="31">
                  <c:v>347.14673459168239</c:v>
                </c:pt>
                <c:pt idx="32">
                  <c:v>368.84171929427953</c:v>
                </c:pt>
                <c:pt idx="33">
                  <c:v>305.96954323526342</c:v>
                </c:pt>
                <c:pt idx="34">
                  <c:v>324.75644088750363</c:v>
                </c:pt>
                <c:pt idx="35">
                  <c:v>343.51932983334808</c:v>
                </c:pt>
                <c:pt idx="36">
                  <c:v>362.25970543194381</c:v>
                </c:pt>
                <c:pt idx="37">
                  <c:v>380.97889573586764</c:v>
                </c:pt>
                <c:pt idx="38">
                  <c:v>399.67808768109103</c:v>
                </c:pt>
                <c:pt idx="39">
                  <c:v>418.90465558873092</c:v>
                </c:pt>
                <c:pt idx="40">
                  <c:v>438.1122169158316</c:v>
                </c:pt>
                <c:pt idx="41">
                  <c:v>457.3017217153261</c:v>
                </c:pt>
                <c:pt idx="42">
                  <c:v>476.47403384705132</c:v>
                </c:pt>
                <c:pt idx="43">
                  <c:v>495.62994202206011</c:v>
                </c:pt>
                <c:pt idx="44">
                  <c:v>514.77016905105791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1.717976552924626</c:v>
                </c:pt>
                <c:pt idx="2">
                  <c:v>2.2240299440090214</c:v>
                </c:pt>
                <c:pt idx="3">
                  <c:v>2.8797580405780443</c:v>
                </c:pt>
                <c:pt idx="4">
                  <c:v>3.7296002679201314</c:v>
                </c:pt>
                <c:pt idx="5">
                  <c:v>4.83123780824004</c:v>
                </c:pt>
                <c:pt idx="6">
                  <c:v>6.2595524240560687</c:v>
                </c:pt>
                <c:pt idx="7">
                  <c:v>34.340499100461251</c:v>
                </c:pt>
                <c:pt idx="8">
                  <c:v>69.596399363316891</c:v>
                </c:pt>
                <c:pt idx="9">
                  <c:v>111.06781871657756</c:v>
                </c:pt>
                <c:pt idx="10">
                  <c:v>151.04486212599508</c:v>
                </c:pt>
                <c:pt idx="11">
                  <c:v>197.36812151889237</c:v>
                </c:pt>
                <c:pt idx="12">
                  <c:v>240.1539339323198</c:v>
                </c:pt>
                <c:pt idx="13">
                  <c:v>286.03728369813439</c:v>
                </c:pt>
                <c:pt idx="14">
                  <c:v>325.23346359087509</c:v>
                </c:pt>
                <c:pt idx="15">
                  <c:v>365.40973944635829</c:v>
                </c:pt>
                <c:pt idx="16">
                  <c:v>402.24312155367915</c:v>
                </c:pt>
                <c:pt idx="17">
                  <c:v>439.00354443929672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3.2013545215281631</c:v>
                </c:pt>
                <c:pt idx="2">
                  <c:v>3.975083519455092</c:v>
                </c:pt>
                <c:pt idx="3">
                  <c:v>4.9365265690177713</c:v>
                </c:pt>
                <c:pt idx="4">
                  <c:v>6.1313877975862825</c:v>
                </c:pt>
                <c:pt idx="5">
                  <c:v>7.6165363309343919</c:v>
                </c:pt>
                <c:pt idx="6">
                  <c:v>9.4627421838924644</c:v>
                </c:pt>
                <c:pt idx="7">
                  <c:v>11.758084459033951</c:v>
                </c:pt>
                <c:pt idx="8">
                  <c:v>14.612197492265354</c:v>
                </c:pt>
                <c:pt idx="9">
                  <c:v>18.161561489451767</c:v>
                </c:pt>
                <c:pt idx="10">
                  <c:v>22.576095226778609</c:v>
                </c:pt>
                <c:pt idx="11">
                  <c:v>28.067372049582474</c:v>
                </c:pt>
                <c:pt idx="12">
                  <c:v>34.898859833525911</c:v>
                </c:pt>
                <c:pt idx="13">
                  <c:v>43.398684680485282</c:v>
                </c:pt>
                <c:pt idx="14">
                  <c:v>53.975541793951841</c:v>
                </c:pt>
                <c:pt idx="15">
                  <c:v>67.138531314061879</c:v>
                </c:pt>
                <c:pt idx="16">
                  <c:v>79.716765984526432</c:v>
                </c:pt>
                <c:pt idx="17">
                  <c:v>92.244595844645289</c:v>
                </c:pt>
                <c:pt idx="18">
                  <c:v>104.72985124964315</c:v>
                </c:pt>
                <c:pt idx="19">
                  <c:v>117.17833344816485</c:v>
                </c:pt>
                <c:pt idx="20">
                  <c:v>129.59450566158588</c:v>
                </c:pt>
                <c:pt idx="21">
                  <c:v>119.84152926671668</c:v>
                </c:pt>
                <c:pt idx="22">
                  <c:v>134.46424353098067</c:v>
                </c:pt>
                <c:pt idx="23">
                  <c:v>149.04862274326868</c:v>
                </c:pt>
                <c:pt idx="24">
                  <c:v>163.59894980144816</c:v>
                </c:pt>
                <c:pt idx="25">
                  <c:v>178.11868194628323</c:v>
                </c:pt>
                <c:pt idx="26">
                  <c:v>160.51517972277688</c:v>
                </c:pt>
                <c:pt idx="27">
                  <c:v>175.92057051227542</c:v>
                </c:pt>
                <c:pt idx="28">
                  <c:v>191.29429384952866</c:v>
                </c:pt>
                <c:pt idx="29">
                  <c:v>206.63925413557971</c:v>
                </c:pt>
                <c:pt idx="30">
                  <c:v>221.95788870113014</c:v>
                </c:pt>
                <c:pt idx="31">
                  <c:v>200.94289182717046</c:v>
                </c:pt>
                <c:pt idx="32">
                  <c:v>217.14616554866123</c:v>
                </c:pt>
                <c:pt idx="33">
                  <c:v>233.32164253354551</c:v>
                </c:pt>
                <c:pt idx="34">
                  <c:v>249.47152135339448</c:v>
                </c:pt>
                <c:pt idx="35">
                  <c:v>265.59769251928265</c:v>
                </c:pt>
                <c:pt idx="36">
                  <c:v>240.30839815246273</c:v>
                </c:pt>
                <c:pt idx="37">
                  <c:v>256.44780875667249</c:v>
                </c:pt>
                <c:pt idx="38">
                  <c:v>272.5642493587099</c:v>
                </c:pt>
                <c:pt idx="39">
                  <c:v>288.65926934113531</c:v>
                </c:pt>
                <c:pt idx="40">
                  <c:v>304.73423115701877</c:v>
                </c:pt>
                <c:pt idx="41">
                  <c:v>277.35142797945304</c:v>
                </c:pt>
                <c:pt idx="42">
                  <c:v>293.44034996889724</c:v>
                </c:pt>
                <c:pt idx="43">
                  <c:v>309.50958762804549</c:v>
                </c:pt>
                <c:pt idx="44">
                  <c:v>325.56030671869604</c:v>
                </c:pt>
                <c:pt idx="45">
                  <c:v>341.59354866525376</c:v>
                </c:pt>
                <c:pt idx="46">
                  <c:v>312.54759725153446</c:v>
                </c:pt>
                <c:pt idx="47">
                  <c:v>329.02840087393741</c:v>
                </c:pt>
                <c:pt idx="48">
                  <c:v>345.49099163191642</c:v>
                </c:pt>
                <c:pt idx="49">
                  <c:v>361.93635936439591</c:v>
                </c:pt>
                <c:pt idx="50">
                  <c:v>378.36539662842591</c:v>
                </c:pt>
                <c:pt idx="51">
                  <c:v>346.35695848873138</c:v>
                </c:pt>
                <c:pt idx="52">
                  <c:v>361.93635936439574</c:v>
                </c:pt>
                <c:pt idx="53">
                  <c:v>377.50110417225505</c:v>
                </c:pt>
                <c:pt idx="54">
                  <c:v>393.05188217941821</c:v>
                </c:pt>
                <c:pt idx="55">
                  <c:v>408.58932367001074</c:v>
                </c:pt>
                <c:pt idx="56">
                  <c:v>376.63676862375206</c:v>
                </c:pt>
                <c:pt idx="57">
                  <c:v>392.18830551891324</c:v>
                </c:pt>
                <c:pt idx="58">
                  <c:v>407.72647230225516</c:v>
                </c:pt>
                <c:pt idx="59">
                  <c:v>423.2518501321984</c:v>
                </c:pt>
                <c:pt idx="60">
                  <c:v>438.76497406308459</c:v>
                </c:pt>
                <c:pt idx="61">
                  <c:v>406.43212123270081</c:v>
                </c:pt>
                <c:pt idx="62">
                  <c:v>421.527422697134</c:v>
                </c:pt>
                <c:pt idx="63">
                  <c:v>436.61108755732977</c:v>
                </c:pt>
                <c:pt idx="64">
                  <c:v>451.68357434526939</c:v>
                </c:pt>
                <c:pt idx="65">
                  <c:v>466.74530850225352</c:v>
                </c:pt>
                <c:pt idx="66">
                  <c:v>433.59526300436556</c:v>
                </c:pt>
                <c:pt idx="67">
                  <c:v>447.80883549913892</c:v>
                </c:pt>
                <c:pt idx="68">
                  <c:v>462.0127547557633</c:v>
                </c:pt>
                <c:pt idx="69">
                  <c:v>476.20735929225475</c:v>
                </c:pt>
                <c:pt idx="70">
                  <c:v>490.39296580436979</c:v>
                </c:pt>
                <c:pt idx="71">
                  <c:v>457.27916621968069</c:v>
                </c:pt>
                <c:pt idx="72">
                  <c:v>471.47683944067609</c:v>
                </c:pt>
                <c:pt idx="73">
                  <c:v>485.66541136738351</c:v>
                </c:pt>
                <c:pt idx="74">
                  <c:v>499.84518527975439</c:v>
                </c:pt>
                <c:pt idx="75">
                  <c:v>514.0164458520336</c:v>
                </c:pt>
                <c:pt idx="76">
                  <c:v>480.07704059887783</c:v>
                </c:pt>
                <c:pt idx="77">
                  <c:v>493.40090557274078</c:v>
                </c:pt>
                <c:pt idx="78">
                  <c:v>506.71714576007918</c:v>
                </c:pt>
                <c:pt idx="79">
                  <c:v>520.02598972417468</c:v>
                </c:pt>
                <c:pt idx="80">
                  <c:v>533.32765337796275</c:v>
                </c:pt>
                <c:pt idx="81">
                  <c:v>500.70428912785269</c:v>
                </c:pt>
                <c:pt idx="82">
                  <c:v>513.15781891487723</c:v>
                </c:pt>
                <c:pt idx="83">
                  <c:v>525.60496890923457</c:v>
                </c:pt>
                <c:pt idx="84">
                  <c:v>538.04591145801066</c:v>
                </c:pt>
                <c:pt idx="85">
                  <c:v>550.48081028975685</c:v>
                </c:pt>
                <c:pt idx="86">
                  <c:v>519.59678538037394</c:v>
                </c:pt>
                <c:pt idx="87">
                  <c:v>531.61170588461891</c:v>
                </c:pt>
                <c:pt idx="88">
                  <c:v>543.62091435600757</c:v>
                </c:pt>
                <c:pt idx="89">
                  <c:v>555.62455474096134</c:v>
                </c:pt>
                <c:pt idx="90">
                  <c:v>567.62276426035055</c:v>
                </c:pt>
                <c:pt idx="91">
                  <c:v>536.33028230526634</c:v>
                </c:pt>
                <c:pt idx="92">
                  <c:v>547.90856070800544</c:v>
                </c:pt>
                <c:pt idx="93">
                  <c:v>559.4817079428916</c:v>
                </c:pt>
                <c:pt idx="94">
                  <c:v>571.0498450920021</c:v>
                </c:pt>
                <c:pt idx="95">
                  <c:v>582.61308793264277</c:v>
                </c:pt>
                <c:pt idx="96">
                  <c:v>552.19550325198713</c:v>
                </c:pt>
                <c:pt idx="97">
                  <c:v>562.48133093262652</c:v>
                </c:pt>
                <c:pt idx="98">
                  <c:v>572.76322420699773</c:v>
                </c:pt>
                <c:pt idx="99">
                  <c:v>583.04126365372724</c:v>
                </c:pt>
                <c:pt idx="100">
                  <c:v>593.31552677912634</c:v>
                </c:pt>
                <c:pt idx="101">
                  <c:v>560.98156139993364</c:v>
                </c:pt>
                <c:pt idx="102">
                  <c:v>567.19434879973289</c:v>
                </c:pt>
                <c:pt idx="103">
                  <c:v>573.40571375824447</c:v>
                </c:pt>
                <c:pt idx="104">
                  <c:v>579.61567386224544</c:v>
                </c:pt>
                <c:pt idx="105">
                  <c:v>585.82424629081231</c:v>
                </c:pt>
                <c:pt idx="106">
                  <c:v>592.03144782908828</c:v>
                </c:pt>
                <c:pt idx="107">
                  <c:v>598.23729488144193</c:v>
                </c:pt>
                <c:pt idx="108">
                  <c:v>604.44180348405177</c:v>
                </c:pt>
                <c:pt idx="109">
                  <c:v>610.64498931694811</c:v>
                </c:pt>
                <c:pt idx="110">
                  <c:v>616.84686771553925</c:v>
                </c:pt>
                <c:pt idx="111">
                  <c:v>585.82424629081208</c:v>
                </c:pt>
                <c:pt idx="112">
                  <c:v>591.1753629939825</c:v>
                </c:pt>
                <c:pt idx="113">
                  <c:v>596.52547143428853</c:v>
                </c:pt>
                <c:pt idx="114">
                  <c:v>601.87458193334089</c:v>
                </c:pt>
                <c:pt idx="115">
                  <c:v>607.22270461425842</c:v>
                </c:pt>
                <c:pt idx="116">
                  <c:v>612.56984940724101</c:v>
                </c:pt>
                <c:pt idx="117">
                  <c:v>617.91602605493199</c:v>
                </c:pt>
                <c:pt idx="118">
                  <c:v>623.26124411759019</c:v>
                </c:pt>
                <c:pt idx="119">
                  <c:v>628.60551297807217</c:v>
                </c:pt>
                <c:pt idx="120">
                  <c:v>633.94884184663954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2.8437102362060824</c:v>
                </c:pt>
                <c:pt idx="2">
                  <c:v>3.334185045959853</c:v>
                </c:pt>
                <c:pt idx="3">
                  <c:v>3.9095634367808625</c:v>
                </c:pt>
                <c:pt idx="4">
                  <c:v>4.5845929576223758</c:v>
                </c:pt>
                <c:pt idx="5">
                  <c:v>5.3765909664207072</c:v>
                </c:pt>
                <c:pt idx="6">
                  <c:v>6.3058937577067757</c:v>
                </c:pt>
                <c:pt idx="7">
                  <c:v>7.3963843997570935</c:v>
                </c:pt>
                <c:pt idx="8">
                  <c:v>8.6761131098177131</c:v>
                </c:pt>
                <c:pt idx="9">
                  <c:v>10.178026431060688</c:v>
                </c:pt>
                <c:pt idx="10">
                  <c:v>11.940824339766083</c:v>
                </c:pt>
                <c:pt idx="11">
                  <c:v>14.009967781733563</c:v>
                </c:pt>
                <c:pt idx="12">
                  <c:v>16.438863102541085</c:v>
                </c:pt>
                <c:pt idx="13">
                  <c:v>19.290254502248803</c:v>
                </c:pt>
                <c:pt idx="14">
                  <c:v>22.637861135409764</c:v>
                </c:pt>
                <c:pt idx="15">
                  <c:v>26.568301937671219</c:v>
                </c:pt>
                <c:pt idx="16">
                  <c:v>31.183358862564273</c:v>
                </c:pt>
                <c:pt idx="17">
                  <c:v>36.602638158465716</c:v>
                </c:pt>
                <c:pt idx="18">
                  <c:v>42.966699844208229</c:v>
                </c:pt>
                <c:pt idx="19">
                  <c:v>50.440737932668497</c:v>
                </c:pt>
                <c:pt idx="20">
                  <c:v>59.218908534847664</c:v>
                </c:pt>
                <c:pt idx="21">
                  <c:v>69.529420141002802</c:v>
                </c:pt>
                <c:pt idx="22">
                  <c:v>81.640520577767887</c:v>
                </c:pt>
                <c:pt idx="23">
                  <c:v>95.867538919606773</c:v>
                </c:pt>
                <c:pt idx="24">
                  <c:v>112.58116862370046</c:v>
                </c:pt>
                <c:pt idx="25">
                  <c:v>132.21721110646135</c:v>
                </c:pt>
                <c:pt idx="26">
                  <c:v>146.73924981884886</c:v>
                </c:pt>
                <c:pt idx="27">
                  <c:v>177.74673882318049</c:v>
                </c:pt>
                <c:pt idx="28">
                  <c:v>208.62706473142649</c:v>
                </c:pt>
                <c:pt idx="29">
                  <c:v>239.40172796913217</c:v>
                </c:pt>
                <c:pt idx="30">
                  <c:v>270.08622765058908</c:v>
                </c:pt>
                <c:pt idx="31">
                  <c:v>259.86729593392812</c:v>
                </c:pt>
                <c:pt idx="32">
                  <c:v>284.37819888953499</c:v>
                </c:pt>
                <c:pt idx="33">
                  <c:v>308.84180466613213</c:v>
                </c:pt>
                <c:pt idx="34">
                  <c:v>333.26238416035659</c:v>
                </c:pt>
                <c:pt idx="35">
                  <c:v>357.64353127694955</c:v>
                </c:pt>
                <c:pt idx="36">
                  <c:v>334.07570605191592</c:v>
                </c:pt>
                <c:pt idx="37">
                  <c:v>355.20710008373004</c:v>
                </c:pt>
                <c:pt idx="38">
                  <c:v>376.31096940375278</c:v>
                </c:pt>
                <c:pt idx="39">
                  <c:v>397.38907379199071</c:v>
                </c:pt>
                <c:pt idx="40">
                  <c:v>418.44297119801405</c:v>
                </c:pt>
                <c:pt idx="41">
                  <c:v>385.63705821229979</c:v>
                </c:pt>
                <c:pt idx="42">
                  <c:v>405.48951209335428</c:v>
                </c:pt>
                <c:pt idx="43">
                  <c:v>425.32096347765884</c:v>
                </c:pt>
                <c:pt idx="44">
                  <c:v>445.13252883817319</c:v>
                </c:pt>
                <c:pt idx="45">
                  <c:v>464.92521721380899</c:v>
                </c:pt>
                <c:pt idx="46">
                  <c:v>426.53447718930846</c:v>
                </c:pt>
                <c:pt idx="47">
                  <c:v>444.72840313442015</c:v>
                </c:pt>
                <c:pt idx="48">
                  <c:v>462.9063927324849</c:v>
                </c:pt>
                <c:pt idx="49">
                  <c:v>481.06915953635774</c:v>
                </c:pt>
                <c:pt idx="50">
                  <c:v>499.21735885305549</c:v>
                </c:pt>
                <c:pt idx="51">
                  <c:v>456.04097852954527</c:v>
                </c:pt>
                <c:pt idx="52">
                  <c:v>473.40224929775815</c:v>
                </c:pt>
                <c:pt idx="53">
                  <c:v>490.74997248101175</c:v>
                </c:pt>
                <c:pt idx="54">
                  <c:v>508.08469414781183</c:v>
                </c:pt>
                <c:pt idx="55">
                  <c:v>525.40692008667077</c:v>
                </c:pt>
                <c:pt idx="56">
                  <c:v>481.47260879367838</c:v>
                </c:pt>
                <c:pt idx="57">
                  <c:v>498.00791974705584</c:v>
                </c:pt>
                <c:pt idx="58">
                  <c:v>514.53160747513641</c:v>
                </c:pt>
                <c:pt idx="59">
                  <c:v>531.04409761975774</c:v>
                </c:pt>
                <c:pt idx="60">
                  <c:v>547.54578720789482</c:v>
                </c:pt>
                <c:pt idx="61">
                  <c:v>501.23295290548816</c:v>
                </c:pt>
                <c:pt idx="62">
                  <c:v>517.3515944862055</c:v>
                </c:pt>
                <c:pt idx="63">
                  <c:v>533.45964452335932</c:v>
                </c:pt>
                <c:pt idx="64">
                  <c:v>549.55746771122097</c:v>
                </c:pt>
                <c:pt idx="65">
                  <c:v>565.64540564760989</c:v>
                </c:pt>
                <c:pt idx="66">
                  <c:v>518.56006095402699</c:v>
                </c:pt>
                <c:pt idx="67">
                  <c:v>533.86221327471173</c:v>
                </c:pt>
                <c:pt idx="68">
                  <c:v>549.15514398564085</c:v>
                </c:pt>
                <c:pt idx="69">
                  <c:v>564.43914594243518</c:v>
                </c:pt>
                <c:pt idx="70">
                  <c:v>579.71449485526762</c:v>
                </c:pt>
                <c:pt idx="71">
                  <c:v>531.84930555696292</c:v>
                </c:pt>
                <c:pt idx="72">
                  <c:v>546.33870450994402</c:v>
                </c:pt>
                <c:pt idx="73">
                  <c:v>560.82004275683403</c:v>
                </c:pt>
                <c:pt idx="74">
                  <c:v>575.29355767229902</c:v>
                </c:pt>
                <c:pt idx="75">
                  <c:v>589.75947371847678</c:v>
                </c:pt>
                <c:pt idx="76">
                  <c:v>542.31469049904456</c:v>
                </c:pt>
                <c:pt idx="77">
                  <c:v>557.20045067599415</c:v>
                </c:pt>
                <c:pt idx="78">
                  <c:v>572.07788542675723</c:v>
                </c:pt>
                <c:pt idx="79">
                  <c:v>586.94724165778496</c:v>
                </c:pt>
                <c:pt idx="80">
                  <c:v>601.80875275182643</c:v>
                </c:pt>
                <c:pt idx="81">
                  <c:v>553.58036607052361</c:v>
                </c:pt>
                <c:pt idx="82">
                  <c:v>567.65571901573014</c:v>
                </c:pt>
                <c:pt idx="83">
                  <c:v>581.72377892545001</c:v>
                </c:pt>
                <c:pt idx="84">
                  <c:v>595.7847469423931</c:v>
                </c:pt>
                <c:pt idx="85">
                  <c:v>609.83881394520893</c:v>
                </c:pt>
                <c:pt idx="86">
                  <c:v>562.83071576489817</c:v>
                </c:pt>
                <c:pt idx="87">
                  <c:v>576.09741701420523</c:v>
                </c:pt>
                <c:pt idx="88">
                  <c:v>589.35774341261913</c:v>
                </c:pt>
                <c:pt idx="89">
                  <c:v>602.61185854782025</c:v>
                </c:pt>
                <c:pt idx="90">
                  <c:v>615.85991822759115</c:v>
                </c:pt>
                <c:pt idx="91">
                  <c:v>568.86183556500612</c:v>
                </c:pt>
                <c:pt idx="92">
                  <c:v>582.12561835537451</c:v>
                </c:pt>
                <c:pt idx="93">
                  <c:v>595.38310165344728</c:v>
                </c:pt>
                <c:pt idx="94">
                  <c:v>608.63444544128674</c:v>
                </c:pt>
                <c:pt idx="95">
                  <c:v>621.87980216948142</c:v>
                </c:pt>
                <c:pt idx="96">
                  <c:v>576.09741701420546</c:v>
                </c:pt>
                <c:pt idx="97">
                  <c:v>588.55426568732616</c:v>
                </c:pt>
                <c:pt idx="98">
                  <c:v>601.00562468188207</c:v>
                </c:pt>
                <c:pt idx="99">
                  <c:v>613.45162372006382</c:v>
                </c:pt>
                <c:pt idx="100">
                  <c:v>625.89238683301301</c:v>
                </c:pt>
                <c:pt idx="101">
                  <c:v>580.11636327398162</c:v>
                </c:pt>
                <c:pt idx="102">
                  <c:v>592.57142654607583</c:v>
                </c:pt>
                <c:pt idx="103">
                  <c:v>605.02104263059414</c:v>
                </c:pt>
                <c:pt idx="104">
                  <c:v>617.4653393726137</c:v>
                </c:pt>
                <c:pt idx="105">
                  <c:v>629.90443904577694</c:v>
                </c:pt>
                <c:pt idx="106">
                  <c:v>585.7419134883047</c:v>
                </c:pt>
                <c:pt idx="107">
                  <c:v>597.79288898117727</c:v>
                </c:pt>
                <c:pt idx="108">
                  <c:v>609.83881394520915</c:v>
                </c:pt>
                <c:pt idx="109">
                  <c:v>621.8798021694812</c:v>
                </c:pt>
                <c:pt idx="110">
                  <c:v>633.91596267885609</c:v>
                </c:pt>
                <c:pt idx="111">
                  <c:v>590.96463046211295</c:v>
                </c:pt>
                <c:pt idx="112">
                  <c:v>602.21030843194649</c:v>
                </c:pt>
                <c:pt idx="113">
                  <c:v>613.45162372006382</c:v>
                </c:pt>
                <c:pt idx="114">
                  <c:v>624.68866751882388</c:v>
                </c:pt>
                <c:pt idx="115">
                  <c:v>635.92152747320313</c:v>
                </c:pt>
                <c:pt idx="116">
                  <c:v>594.98145072732621</c:v>
                </c:pt>
                <c:pt idx="117">
                  <c:v>606.22555989627028</c:v>
                </c:pt>
                <c:pt idx="118">
                  <c:v>617.46533937261427</c:v>
                </c:pt>
                <c:pt idx="119">
                  <c:v>628.70087905791468</c:v>
                </c:pt>
                <c:pt idx="120">
                  <c:v>639.93226537936891</c:v>
                </c:pt>
                <c:pt idx="121">
                  <c:v>6.7737255858274096E-12</c:v>
                </c:pt>
                <c:pt idx="122">
                  <c:v>6.7737255858274096E-12</c:v>
                </c:pt>
                <c:pt idx="123">
                  <c:v>6.7737255858274096E-12</c:v>
                </c:pt>
                <c:pt idx="124">
                  <c:v>6.7737255858274096E-12</c:v>
                </c:pt>
                <c:pt idx="125">
                  <c:v>6.7737255858274096E-12</c:v>
                </c:pt>
                <c:pt idx="126">
                  <c:v>6.7737255858274096E-12</c:v>
                </c:pt>
                <c:pt idx="127">
                  <c:v>6.7737255858274096E-12</c:v>
                </c:pt>
                <c:pt idx="128">
                  <c:v>6.7737255858274096E-12</c:v>
                </c:pt>
                <c:pt idx="129">
                  <c:v>6.7737255858274096E-12</c:v>
                </c:pt>
                <c:pt idx="130">
                  <c:v>6.7737255858274096E-12</c:v>
                </c:pt>
                <c:pt idx="131">
                  <c:v>6.7737255858274096E-12</c:v>
                </c:pt>
                <c:pt idx="132">
                  <c:v>6.7737255858274096E-12</c:v>
                </c:pt>
                <c:pt idx="133">
                  <c:v>6.7737255858274096E-12</c:v>
                </c:pt>
                <c:pt idx="134">
                  <c:v>6.7737255858274096E-12</c:v>
                </c:pt>
                <c:pt idx="135">
                  <c:v>6.7737255858274096E-12</c:v>
                </c:pt>
                <c:pt idx="136">
                  <c:v>6.7737255858274096E-12</c:v>
                </c:pt>
                <c:pt idx="137">
                  <c:v>6.7737255858274096E-12</c:v>
                </c:pt>
                <c:pt idx="138">
                  <c:v>6.7737255858274096E-12</c:v>
                </c:pt>
                <c:pt idx="139">
                  <c:v>6.7737255858274096E-12</c:v>
                </c:pt>
                <c:pt idx="140">
                  <c:v>6.7737255858274096E-12</c:v>
                </c:pt>
                <c:pt idx="141">
                  <c:v>6.7737255858274096E-12</c:v>
                </c:pt>
                <c:pt idx="142">
                  <c:v>6.7737255858274096E-12</c:v>
                </c:pt>
                <c:pt idx="143">
                  <c:v>6.7737255858274096E-12</c:v>
                </c:pt>
                <c:pt idx="144">
                  <c:v>6.7737255858274096E-12</c:v>
                </c:pt>
                <c:pt idx="145">
                  <c:v>6.7737255858274096E-12</c:v>
                </c:pt>
                <c:pt idx="146">
                  <c:v>6.7737255858274096E-12</c:v>
                </c:pt>
                <c:pt idx="147">
                  <c:v>6.7737255858274096E-12</c:v>
                </c:pt>
                <c:pt idx="148">
                  <c:v>6.7737255858274096E-12</c:v>
                </c:pt>
                <c:pt idx="149">
                  <c:v>6.7737255858274096E-12</c:v>
                </c:pt>
                <c:pt idx="150">
                  <c:v>6.7737255858274096E-12</c:v>
                </c:pt>
                <c:pt idx="151">
                  <c:v>6.7737255858274096E-12</c:v>
                </c:pt>
                <c:pt idx="152">
                  <c:v>6.7737255858274096E-12</c:v>
                </c:pt>
                <c:pt idx="153">
                  <c:v>6.7737255858274096E-12</c:v>
                </c:pt>
                <c:pt idx="154">
                  <c:v>6.7737255858274096E-12</c:v>
                </c:pt>
                <c:pt idx="155">
                  <c:v>6.7737255858274096E-12</c:v>
                </c:pt>
                <c:pt idx="156">
                  <c:v>6.7737255858274096E-12</c:v>
                </c:pt>
                <c:pt idx="157">
                  <c:v>6.7737255858274096E-12</c:v>
                </c:pt>
                <c:pt idx="158">
                  <c:v>6.7737255858274096E-12</c:v>
                </c:pt>
                <c:pt idx="159">
                  <c:v>6.7737255858274096E-12</c:v>
                </c:pt>
                <c:pt idx="160">
                  <c:v>6.7737255858274096E-12</c:v>
                </c:pt>
                <c:pt idx="161">
                  <c:v>6.7737255858274096E-12</c:v>
                </c:pt>
                <c:pt idx="162">
                  <c:v>6.7737255858274096E-12</c:v>
                </c:pt>
                <c:pt idx="163">
                  <c:v>6.7737255858274096E-12</c:v>
                </c:pt>
                <c:pt idx="164">
                  <c:v>6.7737255858274096E-12</c:v>
                </c:pt>
                <c:pt idx="165">
                  <c:v>6.7737255858274096E-12</c:v>
                </c:pt>
                <c:pt idx="166">
                  <c:v>6.7737255858274096E-12</c:v>
                </c:pt>
                <c:pt idx="167">
                  <c:v>6.7737255858274096E-12</c:v>
                </c:pt>
                <c:pt idx="168">
                  <c:v>6.7737255858274096E-12</c:v>
                </c:pt>
                <c:pt idx="169">
                  <c:v>6.7737255858274096E-12</c:v>
                </c:pt>
                <c:pt idx="170">
                  <c:v>6.7737255858274096E-12</c:v>
                </c:pt>
                <c:pt idx="171">
                  <c:v>6.7737255858274096E-12</c:v>
                </c:pt>
                <c:pt idx="172">
                  <c:v>6.7737255858274096E-12</c:v>
                </c:pt>
                <c:pt idx="173">
                  <c:v>6.7737255858274096E-12</c:v>
                </c:pt>
                <c:pt idx="174">
                  <c:v>6.7737255858274096E-12</c:v>
                </c:pt>
                <c:pt idx="175">
                  <c:v>6.7737255858274096E-12</c:v>
                </c:pt>
                <c:pt idx="176">
                  <c:v>6.7737255858274096E-12</c:v>
                </c:pt>
                <c:pt idx="177">
                  <c:v>6.7737255858274096E-12</c:v>
                </c:pt>
                <c:pt idx="178">
                  <c:v>6.7737255858274096E-12</c:v>
                </c:pt>
                <c:pt idx="179">
                  <c:v>6.7737255858274096E-12</c:v>
                </c:pt>
                <c:pt idx="180">
                  <c:v>6.7737255858274096E-12</c:v>
                </c:pt>
                <c:pt idx="181">
                  <c:v>6.7737255858274096E-12</c:v>
                </c:pt>
                <c:pt idx="182">
                  <c:v>6.7737255858274096E-12</c:v>
                </c:pt>
                <c:pt idx="183">
                  <c:v>6.7737255858274096E-12</c:v>
                </c:pt>
                <c:pt idx="184">
                  <c:v>6.7737255858274096E-12</c:v>
                </c:pt>
                <c:pt idx="185">
                  <c:v>6.7737255858274096E-12</c:v>
                </c:pt>
                <c:pt idx="186">
                  <c:v>6.7737255858274096E-12</c:v>
                </c:pt>
                <c:pt idx="187">
                  <c:v>6.7737255858274096E-12</c:v>
                </c:pt>
                <c:pt idx="188">
                  <c:v>6.7737255858274096E-12</c:v>
                </c:pt>
                <c:pt idx="189">
                  <c:v>6.7737255858274096E-12</c:v>
                </c:pt>
                <c:pt idx="190">
                  <c:v>6.7737255858274096E-12</c:v>
                </c:pt>
                <c:pt idx="191">
                  <c:v>6.7737255858274096E-12</c:v>
                </c:pt>
                <c:pt idx="192">
                  <c:v>6.7737255858274096E-12</c:v>
                </c:pt>
                <c:pt idx="193">
                  <c:v>6.7737255858274096E-12</c:v>
                </c:pt>
                <c:pt idx="194">
                  <c:v>6.7737255858274096E-12</c:v>
                </c:pt>
                <c:pt idx="195">
                  <c:v>6.7737255858274096E-12</c:v>
                </c:pt>
                <c:pt idx="196">
                  <c:v>6.7737255858274096E-12</c:v>
                </c:pt>
                <c:pt idx="197">
                  <c:v>6.7737255858274096E-12</c:v>
                </c:pt>
                <c:pt idx="198">
                  <c:v>6.7737255858274096E-12</c:v>
                </c:pt>
                <c:pt idx="199">
                  <c:v>6.7737255858274096E-12</c:v>
                </c:pt>
                <c:pt idx="200">
                  <c:v>6.7737255858274096E-12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E23" sqref="E23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5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138</v>
      </c>
      <c r="C9" s="35">
        <v>0.5</v>
      </c>
      <c r="D9" s="36">
        <f t="shared" ref="D9:D18" si="0">C9*$C$5</f>
        <v>2.5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H9" s="250" t="s">
        <v>325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112</v>
      </c>
      <c r="C10" s="35">
        <v>0.4</v>
      </c>
      <c r="D10" s="36">
        <f t="shared" si="0"/>
        <v>2</v>
      </c>
      <c r="E10" s="37">
        <v>17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12</v>
      </c>
      <c r="C11" s="35">
        <v>0.05</v>
      </c>
      <c r="D11" s="36">
        <f t="shared" si="0"/>
        <v>0.25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6</v>
      </c>
      <c r="C12" s="35">
        <v>0.05</v>
      </c>
      <c r="D12" s="36">
        <f t="shared" si="0"/>
        <v>0.25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5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taeda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 t="s">
        <v>325</v>
      </c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12</v>
      </c>
      <c r="B36" s="63">
        <v>75.507692307692309</v>
      </c>
      <c r="C36" s="63">
        <v>0</v>
      </c>
      <c r="D36" s="63">
        <v>0</v>
      </c>
      <c r="E36" s="54">
        <v>0</v>
      </c>
      <c r="F36" s="54">
        <v>0</v>
      </c>
      <c r="G36" s="54">
        <v>0</v>
      </c>
      <c r="H36" s="54">
        <v>0</v>
      </c>
      <c r="I36" s="52">
        <f>IFERROR(B36/A36,"")</f>
        <v>6.2923076923076922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14</v>
      </c>
      <c r="B37" s="63">
        <v>113.33076923076923</v>
      </c>
      <c r="C37" s="63">
        <v>1</v>
      </c>
      <c r="D37" s="63">
        <v>35.969230769230769</v>
      </c>
      <c r="E37" s="54">
        <v>0</v>
      </c>
      <c r="F37" s="54">
        <v>0</v>
      </c>
      <c r="G37" s="54">
        <v>0.5</v>
      </c>
      <c r="H37" s="54">
        <v>0.5</v>
      </c>
      <c r="I37" s="56">
        <f t="shared" ref="I37:I55" si="1">IF(A37&lt;&gt;0,(B37-(B36-D36))/(A37-A36),"")</f>
        <v>18.911538461538463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19</v>
      </c>
      <c r="B38" s="63">
        <v>169.6</v>
      </c>
      <c r="C38" s="63">
        <v>2</v>
      </c>
      <c r="D38" s="63">
        <v>54.907692307692301</v>
      </c>
      <c r="E38" s="54">
        <v>0</v>
      </c>
      <c r="F38" s="54">
        <v>0.2</v>
      </c>
      <c r="G38" s="54">
        <v>0.5</v>
      </c>
      <c r="H38" s="54">
        <v>0.3</v>
      </c>
      <c r="I38" s="56">
        <f t="shared" si="1"/>
        <v>18.447692307692307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25</v>
      </c>
      <c r="B39" s="63">
        <v>219.8153846153846</v>
      </c>
      <c r="C39" s="63">
        <v>3</v>
      </c>
      <c r="D39" s="63">
        <v>52.9</v>
      </c>
      <c r="E39" s="54">
        <v>0.2</v>
      </c>
      <c r="F39" s="54">
        <v>0.3</v>
      </c>
      <c r="G39" s="54">
        <v>0.5</v>
      </c>
      <c r="H39" s="54">
        <v>0</v>
      </c>
      <c r="I39" s="52">
        <f t="shared" si="1"/>
        <v>17.520512820512817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29</v>
      </c>
      <c r="B40" s="63">
        <v>231.46923076923079</v>
      </c>
      <c r="C40" s="63">
        <v>0</v>
      </c>
      <c r="D40" s="63">
        <v>0</v>
      </c>
      <c r="E40" s="54">
        <v>0</v>
      </c>
      <c r="F40" s="54">
        <v>0</v>
      </c>
      <c r="G40" s="54">
        <v>0</v>
      </c>
      <c r="H40" s="54">
        <v>0</v>
      </c>
      <c r="I40" s="52">
        <f t="shared" si="1"/>
        <v>16.138461538461549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32</v>
      </c>
      <c r="B41" s="63">
        <v>282.48461538461538</v>
      </c>
      <c r="C41" s="63">
        <v>4</v>
      </c>
      <c r="D41" s="63">
        <v>63.899999999999991</v>
      </c>
      <c r="E41" s="54" t="s">
        <v>324</v>
      </c>
      <c r="F41" s="54" t="s">
        <v>324</v>
      </c>
      <c r="G41" s="54" t="s">
        <v>324</v>
      </c>
      <c r="H41" s="54" t="s">
        <v>324</v>
      </c>
      <c r="I41" s="56">
        <f t="shared" si="1"/>
        <v>17.005128205128198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38</v>
      </c>
      <c r="B42" s="63">
        <v>306.69230769230768</v>
      </c>
      <c r="C42" s="63">
        <v>0</v>
      </c>
      <c r="D42" s="63">
        <v>0</v>
      </c>
      <c r="E42" s="54" t="s">
        <v>324</v>
      </c>
      <c r="F42" s="54" t="s">
        <v>324</v>
      </c>
      <c r="G42" s="54" t="s">
        <v>324</v>
      </c>
      <c r="H42" s="54" t="s">
        <v>324</v>
      </c>
      <c r="I42" s="56">
        <f t="shared" si="1"/>
        <v>14.684615384615379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45</v>
      </c>
      <c r="B43" s="63">
        <v>412.49230769230769</v>
      </c>
      <c r="C43" s="63">
        <v>5</v>
      </c>
      <c r="D43" s="63">
        <v>412.49230769230769</v>
      </c>
      <c r="E43" s="54" t="s">
        <v>324</v>
      </c>
      <c r="F43" s="54" t="s">
        <v>324</v>
      </c>
      <c r="G43" s="54" t="s">
        <v>324</v>
      </c>
      <c r="H43" s="54" t="s">
        <v>324</v>
      </c>
      <c r="I43" s="52">
        <f t="shared" si="1"/>
        <v>15.114285714285716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Peuplier Koster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6</v>
      </c>
      <c r="B62" s="63">
        <v>5</v>
      </c>
      <c r="C62" s="63"/>
      <c r="D62" s="63"/>
      <c r="E62" s="54"/>
      <c r="F62" s="54"/>
      <c r="G62" s="54"/>
      <c r="H62" s="54"/>
      <c r="I62" s="56">
        <f>IFERROR(B62/A62,"")</f>
        <v>0.83333333333333337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7</v>
      </c>
      <c r="B63" s="63">
        <v>29</v>
      </c>
      <c r="C63" s="63"/>
      <c r="D63" s="63"/>
      <c r="E63" s="54"/>
      <c r="F63" s="54"/>
      <c r="G63" s="54"/>
      <c r="H63" s="54"/>
      <c r="I63" s="52">
        <f>IF(A63&lt;&gt;0,(B63-(B62-D62))/(A63-A62),"")</f>
        <v>24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8</v>
      </c>
      <c r="B64" s="63">
        <v>60</v>
      </c>
      <c r="C64" s="63"/>
      <c r="D64" s="63"/>
      <c r="E64" s="54"/>
      <c r="F64" s="54"/>
      <c r="G64" s="54"/>
      <c r="H64" s="54"/>
      <c r="I64" s="52">
        <f>IF(A64&lt;&gt;0,(B64-(B63-D63))/(A64-A63),"")</f>
        <v>31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9</v>
      </c>
      <c r="B65" s="63">
        <v>97</v>
      </c>
      <c r="C65" s="63"/>
      <c r="D65" s="63"/>
      <c r="E65" s="54"/>
      <c r="F65" s="54"/>
      <c r="G65" s="54"/>
      <c r="H65" s="54"/>
      <c r="I65" s="52">
        <f>IF(A65&lt;&gt;0,(B65-(B64-D64))/(A65-A64),"")</f>
        <v>37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10</v>
      </c>
      <c r="B66" s="63">
        <v>133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36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11</v>
      </c>
      <c r="B67" s="63">
        <v>175</v>
      </c>
      <c r="C67" s="63"/>
      <c r="D67" s="63"/>
      <c r="E67" s="54"/>
      <c r="F67" s="54"/>
      <c r="G67" s="54"/>
      <c r="H67" s="54"/>
      <c r="I67" s="52">
        <f t="shared" si="2"/>
        <v>42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12</v>
      </c>
      <c r="B68" s="63">
        <v>214</v>
      </c>
      <c r="C68" s="63"/>
      <c r="D68" s="63"/>
      <c r="E68" s="54"/>
      <c r="F68" s="54"/>
      <c r="G68" s="54"/>
      <c r="H68" s="54"/>
      <c r="I68" s="52">
        <f t="shared" si="2"/>
        <v>39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13</v>
      </c>
      <c r="B69" s="53">
        <v>256</v>
      </c>
      <c r="C69" s="53"/>
      <c r="D69" s="53"/>
      <c r="E69" s="54"/>
      <c r="F69" s="54"/>
      <c r="G69" s="54"/>
      <c r="H69" s="54"/>
      <c r="I69" s="52">
        <f t="shared" si="2"/>
        <v>42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14</v>
      </c>
      <c r="B70" s="53">
        <v>292</v>
      </c>
      <c r="C70" s="53"/>
      <c r="D70" s="53"/>
      <c r="E70" s="54"/>
      <c r="F70" s="54"/>
      <c r="G70" s="54"/>
      <c r="H70" s="54"/>
      <c r="I70" s="52">
        <f t="shared" si="2"/>
        <v>36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15</v>
      </c>
      <c r="B71" s="53">
        <v>329</v>
      </c>
      <c r="C71" s="53"/>
      <c r="D71" s="53"/>
      <c r="E71" s="54"/>
      <c r="F71" s="54"/>
      <c r="G71" s="54"/>
      <c r="H71" s="54"/>
      <c r="I71" s="52">
        <f t="shared" si="2"/>
        <v>37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16</v>
      </c>
      <c r="B72" s="53">
        <v>363</v>
      </c>
      <c r="C72" s="53"/>
      <c r="D72" s="53"/>
      <c r="E72" s="54"/>
      <c r="F72" s="54"/>
      <c r="G72" s="54"/>
      <c r="H72" s="54"/>
      <c r="I72" s="52">
        <f t="shared" si="2"/>
        <v>34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17</v>
      </c>
      <c r="B73" s="53">
        <v>397</v>
      </c>
      <c r="C73" s="53">
        <v>1</v>
      </c>
      <c r="D73" s="53">
        <v>397</v>
      </c>
      <c r="E73" s="54">
        <v>0.47</v>
      </c>
      <c r="F73" s="54">
        <v>0.21</v>
      </c>
      <c r="G73" s="54"/>
      <c r="H73" s="54">
        <v>0.31</v>
      </c>
      <c r="I73" s="52">
        <f t="shared" si="2"/>
        <v>34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Chêne pubescent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15</v>
      </c>
      <c r="B88" s="63">
        <v>29</v>
      </c>
      <c r="C88" s="63">
        <v>1</v>
      </c>
      <c r="D88" s="63">
        <v>0</v>
      </c>
      <c r="E88" s="54">
        <v>0</v>
      </c>
      <c r="F88" s="54"/>
      <c r="G88" s="54"/>
      <c r="H88" s="93">
        <v>1</v>
      </c>
      <c r="I88" s="56">
        <f>IFERROR(B88/A88,"")</f>
        <v>1.9333333333333333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20</v>
      </c>
      <c r="B89" s="63">
        <v>57</v>
      </c>
      <c r="C89" s="63">
        <v>2</v>
      </c>
      <c r="D89" s="63">
        <v>11</v>
      </c>
      <c r="E89" s="54">
        <v>0</v>
      </c>
      <c r="F89" s="54"/>
      <c r="G89" s="54"/>
      <c r="H89" s="93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25</v>
      </c>
      <c r="B90" s="63">
        <v>79</v>
      </c>
      <c r="C90" s="63">
        <v>3</v>
      </c>
      <c r="D90" s="63">
        <v>15</v>
      </c>
      <c r="E90" s="93">
        <v>0</v>
      </c>
      <c r="F90" s="93"/>
      <c r="G90" s="93"/>
      <c r="H90" s="93">
        <v>1</v>
      </c>
      <c r="I90" s="56">
        <f t="shared" si="3"/>
        <v>6.6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30</v>
      </c>
      <c r="B91" s="63">
        <v>99</v>
      </c>
      <c r="C91" s="63">
        <v>4</v>
      </c>
      <c r="D91" s="63">
        <v>17</v>
      </c>
      <c r="E91" s="93">
        <v>0</v>
      </c>
      <c r="F91" s="93"/>
      <c r="G91" s="93"/>
      <c r="H91" s="93">
        <v>1</v>
      </c>
      <c r="I91" s="56">
        <f t="shared" si="3"/>
        <v>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35</v>
      </c>
      <c r="B92" s="63">
        <v>119</v>
      </c>
      <c r="C92" s="63">
        <v>5</v>
      </c>
      <c r="D92" s="63">
        <v>19</v>
      </c>
      <c r="E92" s="93">
        <v>0.2</v>
      </c>
      <c r="F92" s="93"/>
      <c r="G92" s="93"/>
      <c r="H92" s="93">
        <v>0.8</v>
      </c>
      <c r="I92" s="56">
        <f t="shared" si="3"/>
        <v>7.4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40</v>
      </c>
      <c r="B93" s="63">
        <v>137</v>
      </c>
      <c r="C93" s="63">
        <v>6</v>
      </c>
      <c r="D93" s="63">
        <v>20</v>
      </c>
      <c r="E93" s="93">
        <v>0.2</v>
      </c>
      <c r="F93" s="93"/>
      <c r="G93" s="93"/>
      <c r="H93" s="93">
        <v>0.8</v>
      </c>
      <c r="I93" s="56">
        <f t="shared" si="3"/>
        <v>7.4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45</v>
      </c>
      <c r="B94" s="63">
        <v>154</v>
      </c>
      <c r="C94" s="63">
        <v>7</v>
      </c>
      <c r="D94" s="63">
        <v>21</v>
      </c>
      <c r="E94" s="93">
        <v>0.3</v>
      </c>
      <c r="F94" s="93"/>
      <c r="G94" s="93"/>
      <c r="H94" s="93">
        <v>0.7</v>
      </c>
      <c r="I94" s="56">
        <f t="shared" si="3"/>
        <v>7.4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50</v>
      </c>
      <c r="B95" s="63">
        <v>171</v>
      </c>
      <c r="C95" s="63">
        <v>8</v>
      </c>
      <c r="D95" s="63">
        <v>22</v>
      </c>
      <c r="E95" s="93">
        <v>0.3</v>
      </c>
      <c r="F95" s="93"/>
      <c r="G95" s="93"/>
      <c r="H95" s="93">
        <v>0.7</v>
      </c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55</v>
      </c>
      <c r="B96" s="63">
        <v>185</v>
      </c>
      <c r="C96" s="63">
        <v>9</v>
      </c>
      <c r="D96" s="63">
        <v>22</v>
      </c>
      <c r="E96" s="93">
        <v>0.4</v>
      </c>
      <c r="F96" s="93"/>
      <c r="G96" s="93"/>
      <c r="H96" s="93">
        <v>0.6</v>
      </c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60</v>
      </c>
      <c r="B97" s="63">
        <v>199</v>
      </c>
      <c r="C97" s="63">
        <v>10</v>
      </c>
      <c r="D97" s="63">
        <v>22</v>
      </c>
      <c r="E97" s="93">
        <v>0.4</v>
      </c>
      <c r="F97" s="93"/>
      <c r="G97" s="93"/>
      <c r="H97" s="93">
        <v>0.6</v>
      </c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65</v>
      </c>
      <c r="B98" s="63">
        <v>212</v>
      </c>
      <c r="C98" s="63">
        <v>11</v>
      </c>
      <c r="D98" s="63">
        <v>22</v>
      </c>
      <c r="E98" s="93">
        <v>0.5</v>
      </c>
      <c r="F98" s="93"/>
      <c r="G98" s="93"/>
      <c r="H98" s="93">
        <v>0.5</v>
      </c>
      <c r="I98" s="56">
        <f t="shared" si="3"/>
        <v>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70</v>
      </c>
      <c r="B99" s="63">
        <v>223</v>
      </c>
      <c r="C99" s="63">
        <v>12</v>
      </c>
      <c r="D99" s="63">
        <v>22</v>
      </c>
      <c r="E99" s="93">
        <v>0.5</v>
      </c>
      <c r="F99" s="93"/>
      <c r="G99" s="93"/>
      <c r="H99" s="93">
        <v>0.5</v>
      </c>
      <c r="I99" s="56">
        <f t="shared" si="3"/>
        <v>6.6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75</v>
      </c>
      <c r="B100" s="63">
        <v>234</v>
      </c>
      <c r="C100" s="63">
        <v>13</v>
      </c>
      <c r="D100" s="63">
        <v>22</v>
      </c>
      <c r="E100" s="68">
        <v>0.6</v>
      </c>
      <c r="F100" s="68"/>
      <c r="G100" s="68"/>
      <c r="H100" s="68">
        <v>0.4</v>
      </c>
      <c r="I100" s="56">
        <f t="shared" si="3"/>
        <v>6.6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80</v>
      </c>
      <c r="B101" s="63">
        <v>243</v>
      </c>
      <c r="C101" s="63">
        <v>14</v>
      </c>
      <c r="D101" s="63">
        <v>21</v>
      </c>
      <c r="E101" s="68">
        <v>0.6</v>
      </c>
      <c r="F101" s="68"/>
      <c r="G101" s="68"/>
      <c r="H101" s="68">
        <v>0.4</v>
      </c>
      <c r="I101" s="56">
        <f t="shared" si="3"/>
        <v>6.2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>
        <v>85</v>
      </c>
      <c r="B102" s="53">
        <v>251</v>
      </c>
      <c r="C102" s="63">
        <v>15</v>
      </c>
      <c r="D102" s="53">
        <v>20</v>
      </c>
      <c r="E102" s="57">
        <v>0.7</v>
      </c>
      <c r="F102" s="57"/>
      <c r="G102" s="57"/>
      <c r="H102" s="57">
        <v>0.3</v>
      </c>
      <c r="I102" s="56">
        <f t="shared" si="3"/>
        <v>5.8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>
        <v>90</v>
      </c>
      <c r="B103" s="53">
        <v>259</v>
      </c>
      <c r="C103" s="63">
        <v>16</v>
      </c>
      <c r="D103" s="53">
        <v>20</v>
      </c>
      <c r="E103" s="57">
        <v>0.7</v>
      </c>
      <c r="F103" s="57"/>
      <c r="G103" s="57"/>
      <c r="H103" s="57">
        <v>0.3</v>
      </c>
      <c r="I103" s="56">
        <f t="shared" si="3"/>
        <v>5.6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>
        <v>95</v>
      </c>
      <c r="B104" s="53">
        <v>266</v>
      </c>
      <c r="C104" s="63">
        <v>17</v>
      </c>
      <c r="D104" s="53">
        <v>19</v>
      </c>
      <c r="E104" s="57">
        <v>0.8</v>
      </c>
      <c r="F104" s="57"/>
      <c r="G104" s="57"/>
      <c r="H104" s="57">
        <v>0.2</v>
      </c>
      <c r="I104" s="56">
        <f t="shared" si="3"/>
        <v>5.4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>
        <v>100</v>
      </c>
      <c r="B105" s="53">
        <v>271</v>
      </c>
      <c r="C105" s="53">
        <v>18</v>
      </c>
      <c r="D105" s="53">
        <v>18</v>
      </c>
      <c r="E105" s="57">
        <v>0.8</v>
      </c>
      <c r="F105" s="57"/>
      <c r="G105" s="57"/>
      <c r="H105" s="57">
        <v>0.2</v>
      </c>
      <c r="I105" s="56">
        <f t="shared" si="3"/>
        <v>4.8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>
        <v>110</v>
      </c>
      <c r="B106" s="53">
        <v>282</v>
      </c>
      <c r="C106" s="53">
        <v>19</v>
      </c>
      <c r="D106" s="53">
        <v>17</v>
      </c>
      <c r="E106" s="57">
        <v>0.8</v>
      </c>
      <c r="F106" s="57"/>
      <c r="G106" s="57"/>
      <c r="H106" s="57">
        <v>0.2</v>
      </c>
      <c r="I106" s="56">
        <f t="shared" si="3"/>
        <v>2.9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>
        <v>120</v>
      </c>
      <c r="B107" s="53">
        <v>290</v>
      </c>
      <c r="C107" s="53">
        <v>20</v>
      </c>
      <c r="D107" s="53">
        <v>290</v>
      </c>
      <c r="E107" s="57">
        <v>0.8</v>
      </c>
      <c r="F107" s="57"/>
      <c r="G107" s="57"/>
      <c r="H107" s="57">
        <v>0.2</v>
      </c>
      <c r="I107" s="56">
        <f t="shared" si="3"/>
        <v>2.5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Charme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25</v>
      </c>
      <c r="B114" s="63">
        <v>62</v>
      </c>
      <c r="C114" s="53">
        <v>1</v>
      </c>
      <c r="D114" s="63">
        <v>8</v>
      </c>
      <c r="E114" s="54">
        <v>0</v>
      </c>
      <c r="F114" s="54"/>
      <c r="G114" s="54"/>
      <c r="H114" s="54">
        <v>1</v>
      </c>
      <c r="I114" s="56">
        <f>IFERROR(B114/A114,"")</f>
        <v>2.48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30</v>
      </c>
      <c r="B115" s="63">
        <v>129</v>
      </c>
      <c r="C115" s="53">
        <v>2</v>
      </c>
      <c r="D115" s="63">
        <v>17</v>
      </c>
      <c r="E115" s="54">
        <v>0</v>
      </c>
      <c r="F115" s="54"/>
      <c r="G115" s="54"/>
      <c r="H115" s="54">
        <v>1</v>
      </c>
      <c r="I115" s="56">
        <f t="shared" ref="I115:I133" si="4">IF(A115&lt;&gt;0,(B115-(B114-D114))/(A115-A114),"")</f>
        <v>15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35</v>
      </c>
      <c r="B116" s="63">
        <v>172</v>
      </c>
      <c r="C116" s="53">
        <v>3</v>
      </c>
      <c r="D116" s="63">
        <v>22</v>
      </c>
      <c r="E116" s="54">
        <v>0.2</v>
      </c>
      <c r="F116" s="54"/>
      <c r="G116" s="54"/>
      <c r="H116" s="54">
        <v>0.8</v>
      </c>
      <c r="I116" s="56">
        <f t="shared" si="4"/>
        <v>12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40</v>
      </c>
      <c r="B117" s="63">
        <v>202</v>
      </c>
      <c r="C117" s="53">
        <v>4</v>
      </c>
      <c r="D117" s="63">
        <v>26</v>
      </c>
      <c r="E117" s="54">
        <v>0.2</v>
      </c>
      <c r="F117" s="54"/>
      <c r="G117" s="54"/>
      <c r="H117" s="54">
        <v>0.8</v>
      </c>
      <c r="I117" s="56">
        <f t="shared" si="4"/>
        <v>10.4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45</v>
      </c>
      <c r="B118" s="63">
        <v>225</v>
      </c>
      <c r="C118" s="53">
        <v>5</v>
      </c>
      <c r="D118" s="63">
        <v>28</v>
      </c>
      <c r="E118" s="54">
        <v>0.2</v>
      </c>
      <c r="F118" s="54"/>
      <c r="G118" s="54"/>
      <c r="H118" s="54">
        <v>0.8</v>
      </c>
      <c r="I118" s="56">
        <f t="shared" si="4"/>
        <v>9.8000000000000007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50</v>
      </c>
      <c r="B119" s="63">
        <v>242</v>
      </c>
      <c r="C119" s="53">
        <v>6</v>
      </c>
      <c r="D119" s="63">
        <v>30</v>
      </c>
      <c r="E119" s="54">
        <v>0.3</v>
      </c>
      <c r="F119" s="54"/>
      <c r="G119" s="54"/>
      <c r="H119" s="54">
        <v>0.7</v>
      </c>
      <c r="I119" s="56">
        <f t="shared" si="4"/>
        <v>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55</v>
      </c>
      <c r="B120" s="63">
        <v>255</v>
      </c>
      <c r="C120" s="63">
        <v>7</v>
      </c>
      <c r="D120" s="63">
        <v>30</v>
      </c>
      <c r="E120" s="93">
        <v>0.4</v>
      </c>
      <c r="F120" s="93"/>
      <c r="G120" s="93"/>
      <c r="H120" s="93">
        <v>0.6</v>
      </c>
      <c r="I120" s="56">
        <f t="shared" si="4"/>
        <v>8.6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60</v>
      </c>
      <c r="B121" s="63">
        <v>266</v>
      </c>
      <c r="C121" s="63">
        <v>8</v>
      </c>
      <c r="D121" s="63">
        <v>31</v>
      </c>
      <c r="E121" s="93">
        <v>0.4</v>
      </c>
      <c r="F121" s="93"/>
      <c r="G121" s="93"/>
      <c r="H121" s="93">
        <v>0.6</v>
      </c>
      <c r="I121" s="56">
        <f t="shared" si="4"/>
        <v>8.1999999999999993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65</v>
      </c>
      <c r="B122" s="63">
        <v>275</v>
      </c>
      <c r="C122" s="63">
        <v>9</v>
      </c>
      <c r="D122" s="63">
        <v>31</v>
      </c>
      <c r="E122" s="93">
        <v>0.5</v>
      </c>
      <c r="F122" s="93"/>
      <c r="G122" s="93"/>
      <c r="H122" s="93">
        <v>0.5</v>
      </c>
      <c r="I122" s="56">
        <f t="shared" si="4"/>
        <v>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>
        <v>70</v>
      </c>
      <c r="B123" s="63">
        <v>282</v>
      </c>
      <c r="C123" s="63">
        <v>10</v>
      </c>
      <c r="D123" s="63">
        <v>31</v>
      </c>
      <c r="E123" s="93">
        <v>0.5</v>
      </c>
      <c r="F123" s="93"/>
      <c r="G123" s="93"/>
      <c r="H123" s="93">
        <v>0.5</v>
      </c>
      <c r="I123" s="56">
        <f t="shared" si="4"/>
        <v>7.6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>
        <v>75</v>
      </c>
      <c r="B124" s="63">
        <v>287</v>
      </c>
      <c r="C124" s="63">
        <v>11</v>
      </c>
      <c r="D124" s="63">
        <v>31</v>
      </c>
      <c r="E124" s="93">
        <v>0.6</v>
      </c>
      <c r="F124" s="93"/>
      <c r="G124" s="93"/>
      <c r="H124" s="93">
        <v>0.4</v>
      </c>
      <c r="I124" s="56">
        <f t="shared" si="4"/>
        <v>7.2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>
        <v>80</v>
      </c>
      <c r="B125" s="63">
        <v>293</v>
      </c>
      <c r="C125" s="63">
        <v>12</v>
      </c>
      <c r="D125" s="63">
        <v>31</v>
      </c>
      <c r="E125" s="93">
        <v>0.7</v>
      </c>
      <c r="F125" s="93"/>
      <c r="G125" s="93"/>
      <c r="H125" s="93">
        <v>0.3</v>
      </c>
      <c r="I125" s="56">
        <f t="shared" si="4"/>
        <v>7.4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>
        <v>85</v>
      </c>
      <c r="B126" s="63">
        <v>297</v>
      </c>
      <c r="C126" s="63">
        <v>13</v>
      </c>
      <c r="D126" s="63">
        <v>30</v>
      </c>
      <c r="E126" s="68">
        <v>0.7</v>
      </c>
      <c r="F126" s="68"/>
      <c r="G126" s="68"/>
      <c r="H126" s="68">
        <v>0.3</v>
      </c>
      <c r="I126" s="56">
        <f t="shared" si="4"/>
        <v>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>
        <v>90</v>
      </c>
      <c r="B127" s="63">
        <v>300</v>
      </c>
      <c r="C127" s="63">
        <v>14</v>
      </c>
      <c r="D127" s="63">
        <v>30</v>
      </c>
      <c r="E127" s="68">
        <v>0.7</v>
      </c>
      <c r="F127" s="68"/>
      <c r="G127" s="68"/>
      <c r="H127" s="68">
        <v>0.3</v>
      </c>
      <c r="I127" s="56">
        <f t="shared" si="4"/>
        <v>6.6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>
        <v>95</v>
      </c>
      <c r="B128" s="53">
        <v>303</v>
      </c>
      <c r="C128" s="53">
        <v>15</v>
      </c>
      <c r="D128" s="53">
        <v>29</v>
      </c>
      <c r="E128" s="57">
        <v>0.7</v>
      </c>
      <c r="F128" s="57"/>
      <c r="G128" s="57"/>
      <c r="H128" s="57">
        <v>0.3</v>
      </c>
      <c r="I128" s="56">
        <f t="shared" si="4"/>
        <v>6.6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>
        <v>100</v>
      </c>
      <c r="B129" s="53">
        <v>305</v>
      </c>
      <c r="C129" s="53">
        <v>16</v>
      </c>
      <c r="D129" s="53">
        <v>29</v>
      </c>
      <c r="E129" s="57">
        <v>0.8</v>
      </c>
      <c r="F129" s="57"/>
      <c r="G129" s="57"/>
      <c r="H129" s="57">
        <v>0.2</v>
      </c>
      <c r="I129" s="56">
        <f t="shared" si="4"/>
        <v>6.2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>
        <v>105</v>
      </c>
      <c r="B130" s="53">
        <v>307</v>
      </c>
      <c r="C130" s="53">
        <v>17</v>
      </c>
      <c r="D130" s="53">
        <v>28</v>
      </c>
      <c r="E130" s="57">
        <v>0.8</v>
      </c>
      <c r="F130" s="57"/>
      <c r="G130" s="57"/>
      <c r="H130" s="57">
        <v>0.2</v>
      </c>
      <c r="I130" s="56">
        <f t="shared" si="4"/>
        <v>6.2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>
        <v>110</v>
      </c>
      <c r="B131" s="53">
        <v>309</v>
      </c>
      <c r="C131" s="53">
        <v>18</v>
      </c>
      <c r="D131" s="53">
        <v>27</v>
      </c>
      <c r="E131" s="57">
        <v>0.8</v>
      </c>
      <c r="F131" s="57"/>
      <c r="G131" s="57"/>
      <c r="H131" s="57">
        <v>0.2</v>
      </c>
      <c r="I131" s="56">
        <f t="shared" si="4"/>
        <v>6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>
        <v>115</v>
      </c>
      <c r="B132" s="53">
        <v>310</v>
      </c>
      <c r="C132" s="53">
        <v>19</v>
      </c>
      <c r="D132" s="53">
        <v>26</v>
      </c>
      <c r="E132" s="57">
        <v>0.8</v>
      </c>
      <c r="F132" s="57"/>
      <c r="G132" s="57"/>
      <c r="H132" s="57">
        <v>0.2</v>
      </c>
      <c r="I132" s="56">
        <f t="shared" si="4"/>
        <v>5.6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>
        <v>120</v>
      </c>
      <c r="B133" s="53">
        <v>312</v>
      </c>
      <c r="C133" s="53">
        <v>20</v>
      </c>
      <c r="D133" s="53">
        <v>312</v>
      </c>
      <c r="E133" s="57">
        <v>0.8</v>
      </c>
      <c r="F133" s="57"/>
      <c r="G133" s="57"/>
      <c r="H133" s="57">
        <v>0.2</v>
      </c>
      <c r="I133" s="56">
        <f t="shared" si="4"/>
        <v>5.6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6" sqref="C26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0.84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0.16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0.78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0.06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0.84000000000000008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Pin taeda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Peuplier Koster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Chêne pubescent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Charme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3.9000000000000004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12.012</v>
      </c>
      <c r="H3" s="70">
        <f>(B3+E3+F3)*44/12+(C3+D3)*0.475*44/12</f>
        <v>199.46666666666667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185.16666666666666</v>
      </c>
      <c r="S3" s="62">
        <f ca="1">AVERAGE(OFFSET($R$3,0,0,'Données projet'!$E$9+1,1))-AVERAGE(OFFSET($H$3,0,0,'Données projet'!$E$9+1,1))</f>
        <v>251.99201350544561</v>
      </c>
      <c r="T3" s="62">
        <f>IF('Données projet'!E9&gt;30,$R$33-$H$33,LOOKUP('Données projet'!$E$9,$A$3:$A$203,R3:R203)-LOOKUP('Données projet'!$E$9,$A$3:$A$203,$H$3:$H$203))</f>
        <v>366.66533117979162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185.16666666666666</v>
      </c>
      <c r="AN3" s="62">
        <f ca="1">AVERAGE(OFFSET($AM$3,0,0,'Données projet'!$E$10+1,1))-AVERAGE(OFFSET($H$3,0,0,'Données projet'!$E$10+1,1))</f>
        <v>149.52545095126411</v>
      </c>
      <c r="AO3" s="62">
        <f>IF('Données projet'!E10&gt;30,$AM$33-$H$33,LOOKUP('Données projet'!$E$10,$A$3:$A$203,AM3:AM203)-LOOKUP('Données projet'!$E$10,$A$3:$A$203,$H$3:$H$203))</f>
        <v>457.9161829331029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185.16666666666666</v>
      </c>
      <c r="BI3" s="62">
        <f ca="1">AVERAGE(OFFSET($BH$3,0,0,'Données projet'!$E$11+1,1))-AVERAGE(OFFSET($H$3,0,0,'Données projet'!$E$11+1,1))</f>
        <v>408.82357969905803</v>
      </c>
      <c r="BJ3" s="62">
        <f>IF('Données projet'!E11&gt;30,$BH$33-$H$33,LOOKUP('Données projet'!$E$11,$A$3:$A$203,BH3:BH203)-LOOKUP('Données projet'!$E$11,$A$3:$A$203,$H$3:$H$203))</f>
        <v>263.2013060831145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185.16666666666666</v>
      </c>
      <c r="CD3" s="62">
        <f ca="1">AVERAGE(OFFSET($CC$3,0,0,'Données projet'!$E$12+1,1))-AVERAGE(OFFSET($H$3,0,0,'Données projet'!$E$12+1,1))</f>
        <v>451.95887041951761</v>
      </c>
      <c r="CE3" s="62">
        <f>IF('Données projet'!E12&gt;30,$CC$33-$H$33,LOOKUP('Données projet'!$E$12,$A$3:$A$203,CC3:CC203)-LOOKUP('Données projet'!$E$12,$A$3:$A$203,$H$3:$H$203))</f>
        <v>311.32964503257341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50.5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3.9000000000000004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0.14227199999999998</v>
      </c>
      <c r="D4" s="12">
        <f>IFERROR(EXP(-1.0587+0.8836*LN(C4)+0.284),0)</f>
        <v>8.2271307446827868E-2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12.289330681478187</v>
      </c>
      <c r="H4" s="70">
        <f t="shared" ref="H4:H67" si="1">(B4+E4+F4)*44/12+(C4+D4)*0.475*44/12</f>
        <v>199.8577462604699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50.838281404531074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6.2923076923076922</v>
      </c>
      <c r="N4" s="14">
        <f>IF('Données projet'!$A$36&gt;35,N3+M4-V3,IF(A4&lt;'Données projet'!$A$36,$K$205^A4,IF(A4='Données projet'!$A$36,'Données projet'!$B$36,N3+M4-V3)))</f>
        <v>1.4338352942213981</v>
      </c>
      <c r="O4" s="14">
        <f>N4*VLOOKUP('Données projet'!$B$9,Paramètres!$A$1:$I$89,3,0)*VLOOKUP('Données projet'!$B$9,Paramètres!$A$1:$I$89,5,0)</f>
        <v>0.85743350594439616</v>
      </c>
      <c r="P4" s="14">
        <f>EXP(-1.0587+0.8836*LN(O4)+0.284)</f>
        <v>0.4022795752263541</v>
      </c>
      <c r="Q4" s="22">
        <f t="shared" ref="Q4:Q34" si="2">(O4+P4)*0.475*44/12</f>
        <v>2.1940002830390566</v>
      </c>
      <c r="R4" s="62">
        <f t="shared" si="0"/>
        <v>189.82325432187523</v>
      </c>
      <c r="S4" s="62">
        <f ca="1">AVERAGE(OFFSET($R$3,0,0,'Données projet'!$E$9+1,1))-AVERAGE(OFFSET($H$3,0,0,'Données projet'!$E$9+1,1))</f>
        <v>251.99201350544561</v>
      </c>
      <c r="T4" s="62">
        <f>$T$3</f>
        <v>366.66533117979162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50.838281404531074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0.83333333333333337</v>
      </c>
      <c r="AI4" s="14">
        <f>IF('Données projet'!$A$62&gt;35,AI3+AH4-AQ3,IF(A4&lt;'Données projet'!$A$62,$AF$205^A4,IF(A4='Données projet'!$A$62,'Données projet'!$B$62,AI3+AH4-AQ3)))</f>
        <v>1.3076604860118306</v>
      </c>
      <c r="AJ4" s="14">
        <f>AI4*VLOOKUP('Données projet'!$B$10,Paramètres!$A$1:$I$89,3,0)*VLOOKUP('Données projet'!$B$10,Paramètres!$A$1:$I$89,5,0)</f>
        <v>0.66502381676617661</v>
      </c>
      <c r="AK4" s="14">
        <f>EXP(-1.0587+0.8836*LN(AJ4)+0.284)</f>
        <v>0.32137420405179057</v>
      </c>
      <c r="AL4" s="22">
        <f t="shared" ref="AL4:AL67" si="4">(AJ4+AK4)*0.475*44/12</f>
        <v>1.717976552924626</v>
      </c>
      <c r="AM4" s="62">
        <f t="shared" ref="AM4:AM67" si="5">AL4+(AD4+AE4)*44/12</f>
        <v>189.34723059176079</v>
      </c>
      <c r="AN4" s="62">
        <f ca="1">AVERAGE(OFFSET($AM$3,0,0,'Données projet'!$E$10+1,1))-AVERAGE(OFFSET($H$3,0,0,'Données projet'!$E$10+1,1))</f>
        <v>149.52545095126411</v>
      </c>
      <c r="AO4" s="62">
        <f>$AO$3</f>
        <v>457.9161829331029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50.838281404531074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1.9333333333333333</v>
      </c>
      <c r="BD4" s="13">
        <f>IF('Données projet'!$A$88&gt;35,BD3+BC4-BL3,IF(A4&lt;'Données projet'!$A$88,$BA$205^A4,IF(A4='Données projet'!$A$88,'Données projet'!$B$88,BD3+BC4-BL3)))</f>
        <v>1.2516796742016716</v>
      </c>
      <c r="BE4" s="14">
        <f>BD4*VLOOKUP('Données projet'!$B$11,Paramètres!$A$1:$I$89,3,0)*VLOOKUP('Données projet'!$B$11,Paramètres!$A$1:$I$89,5,0)</f>
        <v>1.2692031896404952</v>
      </c>
      <c r="BF4" s="14">
        <f>EXP(-1.0587+0.8836*LN(BE4)+0.284)</f>
        <v>0.56889510023213452</v>
      </c>
      <c r="BG4" s="22">
        <f t="shared" ref="BG4:BG67" si="7">(BE4+BF4)*0.475*44/12</f>
        <v>3.2013545215281631</v>
      </c>
      <c r="BH4" s="62">
        <f t="shared" ref="BH4:BH67" si="8">BG4+(AY4+AZ4)*44/12</f>
        <v>190.83060856036434</v>
      </c>
      <c r="BI4" s="62">
        <f ca="1">AVERAGE(OFFSET($BH$3,0,0,'Données projet'!$E$11+1,1))-AVERAGE(OFFSET($H$3,0,0,'Données projet'!$E$11+1,1))</f>
        <v>408.82357969905803</v>
      </c>
      <c r="BJ4" s="62">
        <f>$BJ$3</f>
        <v>263.2013060831145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50.838281404531074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2.48</v>
      </c>
      <c r="BY4" s="13">
        <f>IF('Données projet'!$A$114&gt;35,BY3+BX4-CG3,IF(A4&lt;'Données projet'!$A$114,$BV$205^A4,IF(A4='Données projet'!$A$114,'Données projet'!$B$114,BY3+BX4-CG3)))</f>
        <v>1.1794938141711815</v>
      </c>
      <c r="BZ4" s="14">
        <f>BY4*VLOOKUP('Données projet'!$B$12,Paramètres!$A$1:$I$89,3,0)*VLOOKUP('Données projet'!$B$12,Paramètres!$A$1:$I$89,5,0)</f>
        <v>1.1224063135652962</v>
      </c>
      <c r="CA4" s="14">
        <f>EXP(-1.0587+0.8836*LN(BZ4)+0.284)</f>
        <v>0.51034597516546876</v>
      </c>
      <c r="CB4" s="22">
        <f t="shared" ref="CB4:CB67" si="10">(BZ4+CA4)*0.475*44/12</f>
        <v>2.8437102362060824</v>
      </c>
      <c r="CC4" s="62">
        <f t="shared" ref="CC4:CC67" si="11">CB4+(BT4+BU4)*44/12</f>
        <v>190.47296427504224</v>
      </c>
      <c r="CD4" s="62">
        <f ca="1">AVERAGE(OFFSET($CC$3,0,0,'Données projet'!$E$12+1,1))-AVERAGE(OFFSET($H$3,0,0,'Données projet'!$E$12+1,1))</f>
        <v>451.95887041951761</v>
      </c>
      <c r="CE4" s="62">
        <f>$CE$3</f>
        <v>311.32964503257341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50.838281404531074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50.838281404531074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50.838281404531074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50.838281404531074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50.838281404531074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50.838281404531074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3.9000000000000004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0.28454399999999996</v>
      </c>
      <c r="D5" s="12">
        <f t="shared" ref="D5:D68" si="32">IFERROR(EXP(-1.0587+0.8836*LN(C5)+0.284),0)</f>
        <v>0.15178837210716517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12.550908754321833</v>
      </c>
      <c r="H5" s="70">
        <f t="shared" si="1"/>
        <v>200.22661221475332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51.170694382977452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6.2923076923076922</v>
      </c>
      <c r="N5" s="14">
        <f>IF('Données projet'!$A$36&gt;35,N4+M5-V4,IF(A5&lt;'Données projet'!$A$36,$K$205^A5,IF(A5='Données projet'!$A$36,'Données projet'!$B$36,N4+M5-V4)))</f>
        <v>2.0558836509549634</v>
      </c>
      <c r="O5" s="14">
        <f>N5*VLOOKUP('Données projet'!$B$9,Paramètres!$A$1:$I$89,3,0)*VLOOKUP('Données projet'!$B$9,Paramètres!$A$1:$I$89,5,0)</f>
        <v>1.2294184232710683</v>
      </c>
      <c r="P5" s="14">
        <f t="shared" ref="P5:P68" si="33">EXP(-1.0587+0.8836*LN(O5)+0.284)</f>
        <v>0.55310901209439789</v>
      </c>
      <c r="Q5" s="22">
        <f t="shared" si="2"/>
        <v>3.1045686165948538</v>
      </c>
      <c r="R5" s="62">
        <f t="shared" si="0"/>
        <v>193.17489246528996</v>
      </c>
      <c r="S5" s="62">
        <f ca="1">AVERAGE(OFFSET($R$3,0,0,'Données projet'!$E$9+1,1))-AVERAGE(OFFSET($H$3,0,0,'Données projet'!$E$9+1,1))</f>
        <v>251.99201350544561</v>
      </c>
      <c r="T5" s="62">
        <f t="shared" ref="T5:T68" si="34">$T$3</f>
        <v>366.66533117979162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51.170694382977452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0.83333333333333337</v>
      </c>
      <c r="AI5" s="14">
        <f>IF('Données projet'!$A$62&gt;35,AI4+AH5-AQ4,IF(A5&lt;'Données projet'!$A$62,$AF$205^A5,IF(A5='Données projet'!$A$62,'Données projet'!$B$62,AI4+AH5-AQ4)))</f>
        <v>1.7099759466766971</v>
      </c>
      <c r="AJ5" s="14">
        <f>AI5*VLOOKUP('Données projet'!$B$10,Paramètres!$A$1:$I$89,3,0)*VLOOKUP('Données projet'!$B$10,Paramètres!$A$1:$I$89,5,0)</f>
        <v>0.86962536744190111</v>
      </c>
      <c r="AK5" s="14">
        <f t="shared" ref="AK5:AK68" si="35">EXP(-1.0587+0.8836*LN(AJ5)+0.284)</f>
        <v>0.4073296243336133</v>
      </c>
      <c r="AL5" s="22">
        <f t="shared" si="4"/>
        <v>2.2240299440090214</v>
      </c>
      <c r="AM5" s="62">
        <f t="shared" si="5"/>
        <v>192.29435379270413</v>
      </c>
      <c r="AN5" s="62">
        <f ca="1">AVERAGE(OFFSET($AM$3,0,0,'Données projet'!$E$10+1,1))-AVERAGE(OFFSET($H$3,0,0,'Données projet'!$E$10+1,1))</f>
        <v>149.52545095126411</v>
      </c>
      <c r="AO5" s="62">
        <f t="shared" ref="AO5:AO68" si="36">$AO$3</f>
        <v>457.9161829331029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51.170694382977452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1.9333333333333333</v>
      </c>
      <c r="BD5" s="13">
        <f>IF('Données projet'!$A$88&gt;35,BD4+BC5-BL4,IF(A5&lt;'Données projet'!$A$88,$BA$205^A5,IF(A5='Données projet'!$A$88,'Données projet'!$B$88,BD4+BC5-BL4)))</f>
        <v>1.5667020068096027</v>
      </c>
      <c r="BE5" s="14">
        <f>BD5*VLOOKUP('Données projet'!$B$11,Paramètres!$A$1:$I$89,3,0)*VLOOKUP('Données projet'!$B$11,Paramètres!$A$1:$I$89,5,0)</f>
        <v>1.5886358349049372</v>
      </c>
      <c r="BF5" s="14">
        <f t="shared" ref="BF5:BF68" si="37">EXP(-1.0587+0.8836*LN(BE5)+0.284)</f>
        <v>0.69370876956688587</v>
      </c>
      <c r="BG5" s="22">
        <f t="shared" si="7"/>
        <v>3.975083519455092</v>
      </c>
      <c r="BH5" s="62">
        <f t="shared" si="8"/>
        <v>194.04540736815019</v>
      </c>
      <c r="BI5" s="62">
        <f ca="1">AVERAGE(OFFSET($BH$3,0,0,'Données projet'!$E$11+1,1))-AVERAGE(OFFSET($H$3,0,0,'Données projet'!$E$11+1,1))</f>
        <v>408.82357969905803</v>
      </c>
      <c r="BJ5" s="62">
        <f t="shared" ref="BJ5:BJ68" si="38">$BJ$3</f>
        <v>263.2013060831145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51.170694382977452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2.48</v>
      </c>
      <c r="BY5" s="13">
        <f>IF('Données projet'!$A$114&gt;35,BY4+BX5-CG4,IF(A5&lt;'Données projet'!$A$114,$BV$205^A5,IF(A5='Données projet'!$A$114,'Données projet'!$B$114,BY4+BX5-CG4)))</f>
        <v>1.3912056576680816</v>
      </c>
      <c r="BZ5" s="14">
        <f>BY5*VLOOKUP('Données projet'!$B$12,Paramètres!$A$1:$I$89,3,0)*VLOOKUP('Données projet'!$B$12,Paramètres!$A$1:$I$89,5,0)</f>
        <v>1.3238713038369463</v>
      </c>
      <c r="CA5" s="14">
        <f t="shared" ref="CA5:CA68" si="39">EXP(-1.0587+0.8836*LN(BZ5)+0.284)</f>
        <v>0.59049331585292164</v>
      </c>
      <c r="CB5" s="22">
        <f t="shared" si="10"/>
        <v>3.334185045959853</v>
      </c>
      <c r="CC5" s="62">
        <f t="shared" si="11"/>
        <v>193.40450889465495</v>
      </c>
      <c r="CD5" s="62">
        <f ca="1">AVERAGE(OFFSET($CC$3,0,0,'Données projet'!$E$12+1,1))-AVERAGE(OFFSET($H$3,0,0,'Données projet'!$E$12+1,1))</f>
        <v>451.95887041951761</v>
      </c>
      <c r="CE5" s="62">
        <f t="shared" ref="CE5:CE68" si="40">$CE$3</f>
        <v>311.32964503257341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51.170694382977452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51.170694382977452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51.170694382977452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51.170694382977452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51.170694382977452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51.170694382977452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3.9000000000000004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0.42681599999999997</v>
      </c>
      <c r="D6" s="12">
        <f t="shared" si="32"/>
        <v>0.21718645657040395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12.807399525308009</v>
      </c>
      <c r="H6" s="70">
        <f t="shared" si="1"/>
        <v>200.58830427852678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51.497340739411875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6.2923076923076922</v>
      </c>
      <c r="N6" s="14">
        <f>IF('Données projet'!$A$36&gt;35,N5+M6-V5,IF(A6&lt;'Données projet'!$A$36,$K$205^A6,IF(A6='Données projet'!$A$36,'Données projet'!$B$36,N5+M6-V5)))</f>
        <v>2.9477985395519721</v>
      </c>
      <c r="O6" s="14">
        <f>N6*VLOOKUP('Données projet'!$B$9,Paramètres!$A$1:$I$89,3,0)*VLOOKUP('Données projet'!$B$9,Paramètres!$A$1:$I$89,5,0)</f>
        <v>1.7627835266520795</v>
      </c>
      <c r="P6" s="14">
        <f t="shared" si="33"/>
        <v>0.76048996295151394</v>
      </c>
      <c r="Q6" s="22">
        <f t="shared" si="2"/>
        <v>4.3947013277262581</v>
      </c>
      <c r="R6" s="62">
        <f t="shared" si="0"/>
        <v>196.88495070556979</v>
      </c>
      <c r="S6" s="62">
        <f ca="1">AVERAGE(OFFSET($R$3,0,0,'Données projet'!$E$9+1,1))-AVERAGE(OFFSET($H$3,0,0,'Données projet'!$E$9+1,1))</f>
        <v>251.99201350544561</v>
      </c>
      <c r="T6" s="62">
        <f t="shared" si="34"/>
        <v>366.66533117979162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51.497340739411875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0.83333333333333337</v>
      </c>
      <c r="AI6" s="14">
        <f>IF('Données projet'!$A$62&gt;35,AI5+AH6-AQ5,IF(A6&lt;'Données projet'!$A$62,$AF$205^A6,IF(A6='Données projet'!$A$62,'Données projet'!$B$62,AI5+AH6-AQ5)))</f>
        <v>2.2360679774997898</v>
      </c>
      <c r="AJ6" s="14">
        <f>AI6*VLOOKUP('Données projet'!$B$10,Paramètres!$A$1:$I$89,3,0)*VLOOKUP('Données projet'!$B$10,Paramètres!$A$1:$I$89,5,0)</f>
        <v>1.137174730637293</v>
      </c>
      <c r="AK6" s="14">
        <f t="shared" si="35"/>
        <v>0.51627486203909612</v>
      </c>
      <c r="AL6" s="22">
        <f t="shared" si="4"/>
        <v>2.8797580405780443</v>
      </c>
      <c r="AM6" s="62">
        <f t="shared" si="5"/>
        <v>195.37000741842158</v>
      </c>
      <c r="AN6" s="62">
        <f ca="1">AVERAGE(OFFSET($AM$3,0,0,'Données projet'!$E$10+1,1))-AVERAGE(OFFSET($H$3,0,0,'Données projet'!$E$10+1,1))</f>
        <v>149.52545095126411</v>
      </c>
      <c r="AO6" s="62">
        <f t="shared" si="36"/>
        <v>457.9161829331029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51.497340739411875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1.9333333333333333</v>
      </c>
      <c r="BD6" s="13">
        <f>IF('Données projet'!$A$88&gt;35,BD5+BC6-BL5,IF(A6&lt;'Données projet'!$A$88,$BA$205^A6,IF(A6='Données projet'!$A$88,'Données projet'!$B$88,BD5+BC6-BL5)))</f>
        <v>1.9610090574545487</v>
      </c>
      <c r="BE6" s="14">
        <f>BD6*VLOOKUP('Données projet'!$B$11,Paramètres!$A$1:$I$89,3,0)*VLOOKUP('Données projet'!$B$11,Paramètres!$A$1:$I$89,5,0)</f>
        <v>1.9884631842589127</v>
      </c>
      <c r="BF6" s="14">
        <f t="shared" si="37"/>
        <v>0.84590613766516665</v>
      </c>
      <c r="BG6" s="22">
        <f t="shared" si="7"/>
        <v>4.9365265690177713</v>
      </c>
      <c r="BH6" s="62">
        <f t="shared" si="8"/>
        <v>197.42677594686128</v>
      </c>
      <c r="BI6" s="62">
        <f ca="1">AVERAGE(OFFSET($BH$3,0,0,'Données projet'!$E$11+1,1))-AVERAGE(OFFSET($H$3,0,0,'Données projet'!$E$11+1,1))</f>
        <v>408.82357969905803</v>
      </c>
      <c r="BJ6" s="62">
        <f t="shared" si="38"/>
        <v>263.2013060831145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51.497340739411875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2.48</v>
      </c>
      <c r="BY6" s="13">
        <f>IF('Données projet'!$A$114&gt;35,BY5+BX6-CG5,IF(A6&lt;'Données projet'!$A$114,$BV$205^A6,IF(A6='Données projet'!$A$114,'Données projet'!$B$114,BY5+BX6-CG5)))</f>
        <v>1.6409184674594526</v>
      </c>
      <c r="BZ6" s="14">
        <f>BY6*VLOOKUP('Données projet'!$B$12,Paramètres!$A$1:$I$89,3,0)*VLOOKUP('Données projet'!$B$12,Paramètres!$A$1:$I$89,5,0)</f>
        <v>1.561498013634415</v>
      </c>
      <c r="CA6" s="14">
        <f t="shared" si="39"/>
        <v>0.68322740461296982</v>
      </c>
      <c r="CB6" s="22">
        <f t="shared" si="10"/>
        <v>3.9095634367808625</v>
      </c>
      <c r="CC6" s="62">
        <f t="shared" si="11"/>
        <v>196.3998128146244</v>
      </c>
      <c r="CD6" s="62">
        <f ca="1">AVERAGE(OFFSET($CC$3,0,0,'Données projet'!$E$12+1,1))-AVERAGE(OFFSET($H$3,0,0,'Données projet'!$E$12+1,1))</f>
        <v>451.95887041951761</v>
      </c>
      <c r="CE6" s="62">
        <f t="shared" si="40"/>
        <v>311.32964503257341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51.497340739411875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51.497340739411875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51.497340739411875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51.497340739411875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51.497340739411875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51.497340739411875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3.9000000000000004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0.56908799999999993</v>
      </c>
      <c r="D7" s="12">
        <f t="shared" si="32"/>
        <v>0.28004550580205417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13.060754365060783</v>
      </c>
      <c r="H7" s="70">
        <f t="shared" si="1"/>
        <v>200.94557418927192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51.81832051183401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6.2923076923076922</v>
      </c>
      <c r="N7" s="14">
        <f>IF('Données projet'!$A$36&gt;35,N6+M7-V6,IF(A7&lt;'Données projet'!$A$36,$K$205^A7,IF(A7='Données projet'!$A$36,'Données projet'!$B$36,N6+M7-V6)))</f>
        <v>4.2266575862639097</v>
      </c>
      <c r="O7" s="14">
        <f>N7*VLOOKUP('Données projet'!$B$9,Paramètres!$A$1:$I$89,3,0)*VLOOKUP('Données projet'!$B$9,Paramètres!$A$1:$I$89,5,0)</f>
        <v>2.5275412365858183</v>
      </c>
      <c r="P7" s="14">
        <f t="shared" si="33"/>
        <v>1.0456256743314287</v>
      </c>
      <c r="Q7" s="22">
        <f t="shared" si="2"/>
        <v>6.2232657031808714</v>
      </c>
      <c r="R7" s="62">
        <f t="shared" si="0"/>
        <v>201.1126631354611</v>
      </c>
      <c r="S7" s="62">
        <f ca="1">AVERAGE(OFFSET($R$3,0,0,'Données projet'!$E$9+1,1))-AVERAGE(OFFSET($H$3,0,0,'Données projet'!$E$9+1,1))</f>
        <v>251.99201350544561</v>
      </c>
      <c r="T7" s="62">
        <f t="shared" si="34"/>
        <v>366.66533117979162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51.81832051183401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0.83333333333333337</v>
      </c>
      <c r="AI7" s="14">
        <f>IF('Données projet'!$A$62&gt;35,AI6+AH7-AQ6,IF(A7&lt;'Données projet'!$A$62,$AF$205^A7,IF(A7='Données projet'!$A$62,'Données projet'!$B$62,AI6+AH7-AQ6)))</f>
        <v>2.9240177382128665</v>
      </c>
      <c r="AJ7" s="14">
        <f>AI7*VLOOKUP('Données projet'!$B$10,Paramètres!$A$1:$I$89,3,0)*VLOOKUP('Données projet'!$B$10,Paramètres!$A$1:$I$89,5,0)</f>
        <v>1.4870384609455356</v>
      </c>
      <c r="AK7" s="14">
        <f t="shared" si="35"/>
        <v>0.65435882207080776</v>
      </c>
      <c r="AL7" s="22">
        <f t="shared" si="4"/>
        <v>3.7296002679201314</v>
      </c>
      <c r="AM7" s="62">
        <f t="shared" si="5"/>
        <v>198.61899770020037</v>
      </c>
      <c r="AN7" s="62">
        <f ca="1">AVERAGE(OFFSET($AM$3,0,0,'Données projet'!$E$10+1,1))-AVERAGE(OFFSET($H$3,0,0,'Données projet'!$E$10+1,1))</f>
        <v>149.52545095126411</v>
      </c>
      <c r="AO7" s="62">
        <f t="shared" si="36"/>
        <v>457.9161829331029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51.81832051183401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1.9333333333333333</v>
      </c>
      <c r="BD7" s="13">
        <f>IF('Données projet'!$A$88&gt;35,BD6+BC7-BL6,IF(A7&lt;'Données projet'!$A$88,$BA$205^A7,IF(A7='Données projet'!$A$88,'Données projet'!$B$88,BD6+BC7-BL6)))</f>
        <v>2.4545551781412365</v>
      </c>
      <c r="BE7" s="14">
        <f>BD7*VLOOKUP('Données projet'!$B$11,Paramètres!$A$1:$I$89,3,0)*VLOOKUP('Données projet'!$B$11,Paramètres!$A$1:$I$89,5,0)</f>
        <v>2.4889189506352136</v>
      </c>
      <c r="BF7" s="14">
        <f t="shared" si="37"/>
        <v>1.0314950958258102</v>
      </c>
      <c r="BG7" s="22">
        <f t="shared" si="7"/>
        <v>6.1313877975862825</v>
      </c>
      <c r="BH7" s="62">
        <f t="shared" si="8"/>
        <v>201.02078522986653</v>
      </c>
      <c r="BI7" s="62">
        <f ca="1">AVERAGE(OFFSET($BH$3,0,0,'Données projet'!$E$11+1,1))-AVERAGE(OFFSET($H$3,0,0,'Données projet'!$E$11+1,1))</f>
        <v>408.82357969905803</v>
      </c>
      <c r="BJ7" s="62">
        <f t="shared" si="38"/>
        <v>263.2013060831145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51.81832051183401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2.48</v>
      </c>
      <c r="BY7" s="13">
        <f>IF('Données projet'!$A$114&gt;35,BY6+BX7-CG6,IF(A7&lt;'Données projet'!$A$114,$BV$205^A7,IF(A7='Données projet'!$A$114,'Données projet'!$B$114,BY6+BX7-CG6)))</f>
        <v>1.9354531819276795</v>
      </c>
      <c r="BZ7" s="14">
        <f>BY7*VLOOKUP('Données projet'!$B$12,Paramètres!$A$1:$I$89,3,0)*VLOOKUP('Données projet'!$B$12,Paramètres!$A$1:$I$89,5,0)</f>
        <v>1.8417772479223797</v>
      </c>
      <c r="CA7" s="14">
        <f t="shared" si="39"/>
        <v>0.79052492870290825</v>
      </c>
      <c r="CB7" s="22">
        <f t="shared" si="10"/>
        <v>4.5845929576223758</v>
      </c>
      <c r="CC7" s="62">
        <f t="shared" si="11"/>
        <v>199.47399038990261</v>
      </c>
      <c r="CD7" s="62">
        <f ca="1">AVERAGE(OFFSET($CC$3,0,0,'Données projet'!$E$12+1,1))-AVERAGE(OFFSET($H$3,0,0,'Données projet'!$E$12+1,1))</f>
        <v>451.95887041951761</v>
      </c>
      <c r="CE7" s="62">
        <f t="shared" si="40"/>
        <v>311.32964503257341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51.81832051183401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51.81832051183401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51.81832051183401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51.81832051183401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51.81832051183401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51.81832051183401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3.9000000000000004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0.71135999999999988</v>
      </c>
      <c r="D8" s="12">
        <f t="shared" si="32"/>
        <v>0.34108160265450554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13.311857698717144</v>
      </c>
      <c r="H8" s="70">
        <f t="shared" si="1"/>
        <v>201.29966912462328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52.133732002807889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6.2923076923076922</v>
      </c>
      <c r="N8" s="14">
        <f>IF('Données projet'!$A$36&gt;35,N7+M8-V7,IF(A8&lt;'Données projet'!$A$36,$K$205^A8,IF(A8='Données projet'!$A$36,'Données projet'!$B$36,N7+M8-V7)))</f>
        <v>6.0603308237738176</v>
      </c>
      <c r="O8" s="14">
        <f>N8*VLOOKUP('Données projet'!$B$9,Paramètres!$A$1:$I$89,3,0)*VLOOKUP('Données projet'!$B$9,Paramètres!$A$1:$I$89,5,0)</f>
        <v>3.6240778326167429</v>
      </c>
      <c r="P8" s="14">
        <f t="shared" si="33"/>
        <v>1.4376692712389705</v>
      </c>
      <c r="Q8" s="22">
        <f t="shared" si="2"/>
        <v>8.8158762058820344</v>
      </c>
      <c r="R8" s="62">
        <f t="shared" si="0"/>
        <v>206.08400466062207</v>
      </c>
      <c r="S8" s="62">
        <f ca="1">AVERAGE(OFFSET($R$3,0,0,'Données projet'!$E$9+1,1))-AVERAGE(OFFSET($H$3,0,0,'Données projet'!$E$9+1,1))</f>
        <v>251.99201350544561</v>
      </c>
      <c r="T8" s="62">
        <f t="shared" si="34"/>
        <v>366.66533117979162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52.133732002807889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0.83333333333333337</v>
      </c>
      <c r="AI8" s="14">
        <f>IF('Données projet'!$A$62&gt;35,AI7+AH8-AQ7,IF(A8&lt;'Données projet'!$A$62,$AF$205^A8,IF(A8='Données projet'!$A$62,'Données projet'!$B$62,AI7+AH8-AQ7)))</f>
        <v>3.8236224566586507</v>
      </c>
      <c r="AJ8" s="14">
        <f>AI8*VLOOKUP('Données projet'!$B$10,Paramètres!$A$1:$I$89,3,0)*VLOOKUP('Données projet'!$B$10,Paramètres!$A$1:$I$89,5,0)</f>
        <v>1.9445414365583238</v>
      </c>
      <c r="AK8" s="14">
        <f t="shared" si="35"/>
        <v>0.82937500836418721</v>
      </c>
      <c r="AL8" s="22">
        <f t="shared" si="4"/>
        <v>4.83123780824004</v>
      </c>
      <c r="AM8" s="62">
        <f t="shared" si="5"/>
        <v>202.09936626298008</v>
      </c>
      <c r="AN8" s="62">
        <f ca="1">AVERAGE(OFFSET($AM$3,0,0,'Données projet'!$E$10+1,1))-AVERAGE(OFFSET($H$3,0,0,'Données projet'!$E$10+1,1))</f>
        <v>149.52545095126411</v>
      </c>
      <c r="AO8" s="62">
        <f t="shared" si="36"/>
        <v>457.9161829331029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52.133732002807889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1.9333333333333333</v>
      </c>
      <c r="BD8" s="13">
        <f>IF('Données projet'!$A$88&gt;35,BD7+BC8-BL7,IF(A8&lt;'Données projet'!$A$88,$BA$205^A8,IF(A8='Données projet'!$A$88,'Données projet'!$B$88,BD7+BC8-BL7)))</f>
        <v>3.0723168256858489</v>
      </c>
      <c r="BE8" s="14">
        <f>BD8*VLOOKUP('Données projet'!$B$11,Paramètres!$A$1:$I$89,3,0)*VLOOKUP('Données projet'!$B$11,Paramètres!$A$1:$I$89,5,0)</f>
        <v>3.1153292612454506</v>
      </c>
      <c r="BF8" s="14">
        <f t="shared" si="37"/>
        <v>1.2578016464680757</v>
      </c>
      <c r="BG8" s="22">
        <f t="shared" si="7"/>
        <v>7.6165363309343919</v>
      </c>
      <c r="BH8" s="62">
        <f t="shared" si="8"/>
        <v>204.88466478567443</v>
      </c>
      <c r="BI8" s="62">
        <f ca="1">AVERAGE(OFFSET($BH$3,0,0,'Données projet'!$E$11+1,1))-AVERAGE(OFFSET($H$3,0,0,'Données projet'!$E$11+1,1))</f>
        <v>408.82357969905803</v>
      </c>
      <c r="BJ8" s="62">
        <f t="shared" si="38"/>
        <v>263.2013060831145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52.133732002807889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2.48</v>
      </c>
      <c r="BY8" s="13">
        <f>IF('Données projet'!$A$114&gt;35,BY7+BX8-CG7,IF(A8&lt;'Données projet'!$A$114,$BV$205^A8,IF(A8='Données projet'!$A$114,'Données projet'!$B$114,BY7+BX8-CG7)))</f>
        <v>2.2828550557016283</v>
      </c>
      <c r="BZ8" s="14">
        <f>BY8*VLOOKUP('Données projet'!$B$12,Paramètres!$A$1:$I$89,3,0)*VLOOKUP('Données projet'!$B$12,Paramètres!$A$1:$I$89,5,0)</f>
        <v>2.1723648710056698</v>
      </c>
      <c r="CA8" s="14">
        <f t="shared" si="39"/>
        <v>0.91467300445119615</v>
      </c>
      <c r="CB8" s="22">
        <f t="shared" si="10"/>
        <v>5.3765909664207072</v>
      </c>
      <c r="CC8" s="62">
        <f t="shared" si="11"/>
        <v>202.64471942116074</v>
      </c>
      <c r="CD8" s="62">
        <f ca="1">AVERAGE(OFFSET($CC$3,0,0,'Données projet'!$E$12+1,1))-AVERAGE(OFFSET($H$3,0,0,'Données projet'!$E$12+1,1))</f>
        <v>451.95887041951761</v>
      </c>
      <c r="CE8" s="62">
        <f t="shared" si="40"/>
        <v>311.32964503257341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52.133732002807889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52.133732002807889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52.133732002807889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52.133732002807889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52.133732002807889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52.133732002807889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3.9000000000000004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0.85363199999999984</v>
      </c>
      <c r="D9" s="12">
        <f t="shared" si="32"/>
        <v>0.4007032306840555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13.56121403930101</v>
      </c>
      <c r="H9" s="70">
        <f t="shared" si="1"/>
        <v>201.65130052677472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52.443671809567817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6.2923076923076922</v>
      </c>
      <c r="N9" s="14">
        <f>IF('Données projet'!$A$36&gt;35,N8+M9-V8,IF(A9&lt;'Données projet'!$A$36,$K$205^A9,IF(A9='Données projet'!$A$36,'Données projet'!$B$36,N8+M9-V8)))</f>
        <v>8.6895162297847399</v>
      </c>
      <c r="O9" s="14">
        <f>N9*VLOOKUP('Données projet'!$B$9,Paramètres!$A$1:$I$89,3,0)*VLOOKUP('Données projet'!$B$9,Paramètres!$A$1:$I$89,5,0)</f>
        <v>5.1963307054112748</v>
      </c>
      <c r="P9" s="14">
        <f t="shared" si="33"/>
        <v>1.9767044595441492</v>
      </c>
      <c r="Q9" s="22">
        <f t="shared" si="2"/>
        <v>12.493036245630696</v>
      </c>
      <c r="R9" s="62">
        <f t="shared" si="0"/>
        <v>212.11983288071269</v>
      </c>
      <c r="S9" s="62">
        <f ca="1">AVERAGE(OFFSET($R$3,0,0,'Données projet'!$E$9+1,1))-AVERAGE(OFFSET($H$3,0,0,'Données projet'!$E$9+1,1))</f>
        <v>251.99201350544561</v>
      </c>
      <c r="T9" s="62">
        <f t="shared" si="34"/>
        <v>366.66533117979162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52.443671809567817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>
        <f>VLOOKUP(A9,'Données projet'!$A$61:$I$81,2,0)</f>
        <v>5</v>
      </c>
      <c r="AG9" s="13">
        <f>VLOOKUP(A9,'Données projet'!$A$61:$I$81,9,0)</f>
        <v>0.83333333333333337</v>
      </c>
      <c r="AH9" s="13">
        <f t="array" ref="AH9">INDEX(AG:AG,MIN(IF(ISNUMBER(AG9:AG205),ROW(AG9:AG205),"")))</f>
        <v>0.83333333333333337</v>
      </c>
      <c r="AI9" s="14">
        <f>IF('Données projet'!$A$62&gt;35,AI8+AH9-AQ8,IF(A9&lt;'Données projet'!$A$62,$AF$205^A9,IF(A9='Données projet'!$A$62,'Données projet'!$B$62,AI8+AH9-AQ8)))</f>
        <v>5</v>
      </c>
      <c r="AJ9" s="14">
        <f>AI9*VLOOKUP('Données projet'!$B$10,Paramètres!$A$1:$I$89,3,0)*VLOOKUP('Données projet'!$B$10,Paramètres!$A$1:$I$89,5,0)</f>
        <v>2.5428000000000002</v>
      </c>
      <c r="AK9" s="14">
        <f t="shared" si="35"/>
        <v>1.0512013918025274</v>
      </c>
      <c r="AL9" s="22">
        <f t="shared" si="4"/>
        <v>6.2595524240560687</v>
      </c>
      <c r="AM9" s="62">
        <f t="shared" si="5"/>
        <v>205.88634905913807</v>
      </c>
      <c r="AN9" s="62">
        <f ca="1">AVERAGE(OFFSET($AM$3,0,0,'Données projet'!$E$10+1,1))-AVERAGE(OFFSET($H$3,0,0,'Données projet'!$E$10+1,1))</f>
        <v>149.52545095126411</v>
      </c>
      <c r="AO9" s="62">
        <f t="shared" si="36"/>
        <v>457.9161829331029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52.443671809567817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1.9333333333333333</v>
      </c>
      <c r="BD9" s="13">
        <f>IF('Données projet'!$A$88&gt;35,BD8+BC9-BL8,IF(A9&lt;'Données projet'!$A$88,$BA$205^A9,IF(A9='Données projet'!$A$88,'Données projet'!$B$88,BD8+BC9-BL8)))</f>
        <v>3.845556523418777</v>
      </c>
      <c r="BE9" s="14">
        <f>BD9*VLOOKUP('Données projet'!$B$11,Paramètres!$A$1:$I$89,3,0)*VLOOKUP('Données projet'!$B$11,Paramètres!$A$1:$I$89,5,0)</f>
        <v>3.8993943147466399</v>
      </c>
      <c r="BF9" s="14">
        <f t="shared" si="37"/>
        <v>1.533759092272958</v>
      </c>
      <c r="BG9" s="22">
        <f t="shared" si="7"/>
        <v>9.4627421838924644</v>
      </c>
      <c r="BH9" s="62">
        <f t="shared" si="8"/>
        <v>209.08953881897446</v>
      </c>
      <c r="BI9" s="62">
        <f ca="1">AVERAGE(OFFSET($BH$3,0,0,'Données projet'!$E$11+1,1))-AVERAGE(OFFSET($H$3,0,0,'Données projet'!$E$11+1,1))</f>
        <v>408.82357969905803</v>
      </c>
      <c r="BJ9" s="62">
        <f t="shared" si="38"/>
        <v>263.2013060831145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52.443671809567817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2.48</v>
      </c>
      <c r="BY9" s="13">
        <f>IF('Données projet'!$A$114&gt;35,BY8+BX9-CG8,IF(A9&lt;'Données projet'!$A$114,$BV$205^A9,IF(A9='Données projet'!$A$114,'Données projet'!$B$114,BY8+BX9-CG8)))</f>
        <v>2.6926134168494786</v>
      </c>
      <c r="BZ9" s="14">
        <f>BY9*VLOOKUP('Données projet'!$B$12,Paramètres!$A$1:$I$89,3,0)*VLOOKUP('Données projet'!$B$12,Paramètres!$A$1:$I$89,5,0)</f>
        <v>2.5622909274739638</v>
      </c>
      <c r="CA9" s="14">
        <f t="shared" si="39"/>
        <v>1.0583179286256201</v>
      </c>
      <c r="CB9" s="22">
        <f t="shared" si="10"/>
        <v>6.3058937577067757</v>
      </c>
      <c r="CC9" s="62">
        <f t="shared" si="11"/>
        <v>205.93269039278877</v>
      </c>
      <c r="CD9" s="62">
        <f ca="1">AVERAGE(OFFSET($CC$3,0,0,'Données projet'!$E$12+1,1))-AVERAGE(OFFSET($H$3,0,0,'Données projet'!$E$12+1,1))</f>
        <v>451.95887041951761</v>
      </c>
      <c r="CE9" s="62">
        <f t="shared" si="40"/>
        <v>311.32964503257341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52.443671809567817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52.443671809567817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52.443671809567817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52.443671809567817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52.443671809567817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52.443671809567817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3.9000000000000004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0.99590399999999979</v>
      </c>
      <c r="D10" s="12">
        <f t="shared" si="32"/>
        <v>0.45917372344520174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13.809148626851618</v>
      </c>
      <c r="H10" s="70">
        <f t="shared" si="1"/>
        <v>202.00092703500039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52.748234853602071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6.2923076923076922</v>
      </c>
      <c r="N10" s="14">
        <f>IF('Données projet'!$A$36&gt;35,N9+M10-V9,IF(A10&lt;'Données projet'!$A$36,$K$205^A10,IF(A10='Données projet'!$A$36,'Données projet'!$B$36,N9+M10-V9)))</f>
        <v>12.459335059975016</v>
      </c>
      <c r="O10" s="14">
        <f>N10*VLOOKUP('Données projet'!$B$9,Paramètres!$A$1:$I$89,3,0)*VLOOKUP('Données projet'!$B$9,Paramètres!$A$1:$I$89,5,0)</f>
        <v>7.4506823658650605</v>
      </c>
      <c r="P10" s="14">
        <f t="shared" si="33"/>
        <v>2.7178438035434924</v>
      </c>
      <c r="Q10" s="22">
        <f t="shared" si="2"/>
        <v>17.710183078386564</v>
      </c>
      <c r="R10" s="62">
        <f t="shared" si="0"/>
        <v>219.67593309714974</v>
      </c>
      <c r="S10" s="62">
        <f ca="1">AVERAGE(OFFSET($R$3,0,0,'Données projet'!$E$9+1,1))-AVERAGE(OFFSET($H$3,0,0,'Données projet'!$E$9+1,1))</f>
        <v>251.99201350544561</v>
      </c>
      <c r="T10" s="62">
        <f t="shared" si="34"/>
        <v>366.66533117979162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52.748234853602071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>
        <f>VLOOKUP(A10,'Données projet'!$A$61:$I$81,2,0)</f>
        <v>29</v>
      </c>
      <c r="AG10" s="13">
        <f>VLOOKUP(A10,'Données projet'!$A$61:$I$81,9,0)</f>
        <v>24</v>
      </c>
      <c r="AH10" s="13">
        <f t="array" ref="AH10">INDEX(AG:AG,MIN(IF(ISNUMBER(AG10:AG206),ROW(AG10:AG206),"")))</f>
        <v>24</v>
      </c>
      <c r="AI10" s="14">
        <f>IF('Données projet'!$A$62&gt;35,AI9+AH10-AQ9,IF(A10&lt;'Données projet'!$A$62,$AF$205^A10,IF(A10='Données projet'!$A$62,'Données projet'!$B$62,AI9+AH10-AQ9)))</f>
        <v>29</v>
      </c>
      <c r="AJ10" s="14">
        <f>AI10*VLOOKUP('Données projet'!$B$10,Paramètres!$A$1:$I$89,3,0)*VLOOKUP('Données projet'!$B$10,Paramètres!$A$1:$I$89,5,0)</f>
        <v>14.748240000000001</v>
      </c>
      <c r="AK10" s="14">
        <f t="shared" si="35"/>
        <v>4.9687929763413896</v>
      </c>
      <c r="AL10" s="22">
        <f t="shared" si="4"/>
        <v>34.340499100461251</v>
      </c>
      <c r="AM10" s="62">
        <f t="shared" si="5"/>
        <v>236.30624911922442</v>
      </c>
      <c r="AN10" s="62">
        <f ca="1">AVERAGE(OFFSET($AM$3,0,0,'Données projet'!$E$10+1,1))-AVERAGE(OFFSET($H$3,0,0,'Données projet'!$E$10+1,1))</f>
        <v>149.52545095126411</v>
      </c>
      <c r="AO10" s="62">
        <f t="shared" si="36"/>
        <v>457.9161829331029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52.748234853602071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1.9333333333333333</v>
      </c>
      <c r="BD10" s="13">
        <f>IF('Données projet'!$A$88&gt;35,BD9+BC10-BL9,IF(A10&lt;'Données projet'!$A$88,$BA$205^A10,IF(A10='Données projet'!$A$88,'Données projet'!$B$88,BD9+BC10-BL9)))</f>
        <v>4.8134049363569282</v>
      </c>
      <c r="BE10" s="14">
        <f>BD10*VLOOKUP('Données projet'!$B$11,Paramètres!$A$1:$I$89,3,0)*VLOOKUP('Données projet'!$B$11,Paramètres!$A$1:$I$89,5,0)</f>
        <v>4.8807926054659259</v>
      </c>
      <c r="BF10" s="14">
        <f t="shared" si="37"/>
        <v>1.8702606724483051</v>
      </c>
      <c r="BG10" s="22">
        <f t="shared" si="7"/>
        <v>11.758084459033951</v>
      </c>
      <c r="BH10" s="62">
        <f t="shared" si="8"/>
        <v>213.72383447779711</v>
      </c>
      <c r="BI10" s="62">
        <f ca="1">AVERAGE(OFFSET($BH$3,0,0,'Données projet'!$E$11+1,1))-AVERAGE(OFFSET($H$3,0,0,'Données projet'!$E$11+1,1))</f>
        <v>408.82357969905803</v>
      </c>
      <c r="BJ10" s="62">
        <f t="shared" si="38"/>
        <v>263.2013060831145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52.748234853602071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2.48</v>
      </c>
      <c r="BY10" s="13">
        <f>IF('Données projet'!$A$114&gt;35,BY9+BX10-CG9,IF(A10&lt;'Données projet'!$A$114,$BV$205^A10,IF(A10='Données projet'!$A$114,'Données projet'!$B$114,BY9+BX10-CG9)))</f>
        <v>3.175920869128289</v>
      </c>
      <c r="BZ10" s="14">
        <f>BY10*VLOOKUP('Données projet'!$B$12,Paramètres!$A$1:$I$89,3,0)*VLOOKUP('Données projet'!$B$12,Paramètres!$A$1:$I$89,5,0)</f>
        <v>3.0222062990624798</v>
      </c>
      <c r="CA10" s="14">
        <f t="shared" si="39"/>
        <v>1.224521585965517</v>
      </c>
      <c r="CB10" s="22">
        <f t="shared" si="10"/>
        <v>7.3963843997570935</v>
      </c>
      <c r="CC10" s="62">
        <f t="shared" si="11"/>
        <v>209.36213441852027</v>
      </c>
      <c r="CD10" s="62">
        <f ca="1">AVERAGE(OFFSET($CC$3,0,0,'Données projet'!$E$12+1,1))-AVERAGE(OFFSET($H$3,0,0,'Données projet'!$E$12+1,1))</f>
        <v>451.95887041951761</v>
      </c>
      <c r="CE10" s="62">
        <f t="shared" si="40"/>
        <v>311.32964503257341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52.748234853602071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52.748234853602071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52.748234853602071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52.748234853602071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52.748234853602071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52.748234853602071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3.9000000000000004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1.1381759999999999</v>
      </c>
      <c r="D11" s="12">
        <f t="shared" si="32"/>
        <v>0.51667650315505487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14.05588800389677</v>
      </c>
      <c r="H11" s="70">
        <f t="shared" si="1"/>
        <v>202.34886810966171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53.047514409723291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6.2923076923076922</v>
      </c>
      <c r="N11" s="14">
        <f>IF('Données projet'!$A$36&gt;35,N10+M11-V10,IF(A11&lt;'Données projet'!$A$36,$K$205^A11,IF(A11='Données projet'!$A$36,'Données projet'!$B$36,N10+M11-V10)))</f>
        <v>17.864634351522259</v>
      </c>
      <c r="O11" s="14">
        <f>N11*VLOOKUP('Données projet'!$B$9,Paramètres!$A$1:$I$89,3,0)*VLOOKUP('Données projet'!$B$9,Paramètres!$A$1:$I$89,5,0)</f>
        <v>10.683051342210311</v>
      </c>
      <c r="P11" s="14">
        <f t="shared" si="33"/>
        <v>3.7368635988018237</v>
      </c>
      <c r="Q11" s="22">
        <f t="shared" si="2"/>
        <v>25.114685188929467</v>
      </c>
      <c r="R11" s="62">
        <f t="shared" si="0"/>
        <v>229.40001580235932</v>
      </c>
      <c r="S11" s="62">
        <f ca="1">AVERAGE(OFFSET($R$3,0,0,'Données projet'!$E$9+1,1))-AVERAGE(OFFSET($H$3,0,0,'Données projet'!$E$9+1,1))</f>
        <v>251.99201350544561</v>
      </c>
      <c r="T11" s="62">
        <f t="shared" si="34"/>
        <v>366.66533117979162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53.047514409723291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60</v>
      </c>
      <c r="AG11" s="13">
        <f>VLOOKUP(A11,'Données projet'!$A$61:$I$81,9,0)</f>
        <v>31</v>
      </c>
      <c r="AH11" s="13">
        <f t="array" ref="AH11">INDEX(AG:AG,MIN(IF(ISNUMBER(AG11:AG207),ROW(AG11:AG207),"")))</f>
        <v>31</v>
      </c>
      <c r="AI11" s="14">
        <f>IF('Données projet'!$A$62&gt;35,AI10+AH11-AQ10,IF(A11&lt;'Données projet'!$A$62,$AF$205^A11,IF(A11='Données projet'!$A$62,'Données projet'!$B$62,AI10+AH11-AQ10)))</f>
        <v>60</v>
      </c>
      <c r="AJ11" s="14">
        <f>AI11*VLOOKUP('Données projet'!$B$10,Paramètres!$A$1:$I$89,3,0)*VLOOKUP('Données projet'!$B$10,Paramètres!$A$1:$I$89,5,0)</f>
        <v>30.513600000000004</v>
      </c>
      <c r="AK11" s="14">
        <f t="shared" si="35"/>
        <v>9.4460551368326602</v>
      </c>
      <c r="AL11" s="22">
        <f t="shared" si="4"/>
        <v>69.596399363316891</v>
      </c>
      <c r="AM11" s="62">
        <f t="shared" si="5"/>
        <v>273.88172997674678</v>
      </c>
      <c r="AN11" s="62">
        <f ca="1">AVERAGE(OFFSET($AM$3,0,0,'Données projet'!$E$10+1,1))-AVERAGE(OFFSET($H$3,0,0,'Données projet'!$E$10+1,1))</f>
        <v>149.52545095126411</v>
      </c>
      <c r="AO11" s="62">
        <f t="shared" si="36"/>
        <v>457.9161829331029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53.047514409723291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1.9333333333333333</v>
      </c>
      <c r="BD11" s="13">
        <f>IF('Données projet'!$A$88&gt;35,BD10+BC11-BL10,IF(A11&lt;'Données projet'!$A$88,$BA$205^A11,IF(A11='Données projet'!$A$88,'Données projet'!$B$88,BD10+BC11-BL10)))</f>
        <v>6.0248411225399572</v>
      </c>
      <c r="BE11" s="14">
        <f>BD11*VLOOKUP('Données projet'!$B$11,Paramètres!$A$1:$I$89,3,0)*VLOOKUP('Données projet'!$B$11,Paramètres!$A$1:$I$89,5,0)</f>
        <v>6.1091888982555176</v>
      </c>
      <c r="BF11" s="14">
        <f t="shared" si="37"/>
        <v>2.2805895662030604</v>
      </c>
      <c r="BG11" s="22">
        <f t="shared" si="7"/>
        <v>14.612197492265354</v>
      </c>
      <c r="BH11" s="62">
        <f t="shared" si="8"/>
        <v>218.89752810569522</v>
      </c>
      <c r="BI11" s="62">
        <f ca="1">AVERAGE(OFFSET($BH$3,0,0,'Données projet'!$E$11+1,1))-AVERAGE(OFFSET($H$3,0,0,'Données projet'!$E$11+1,1))</f>
        <v>408.82357969905803</v>
      </c>
      <c r="BJ11" s="62">
        <f t="shared" si="38"/>
        <v>263.2013060831145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53.047514409723291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2.48</v>
      </c>
      <c r="BY11" s="13">
        <f>IF('Données projet'!$A$114&gt;35,BY10+BX11-CG10,IF(A11&lt;'Données projet'!$A$114,$BV$205^A11,IF(A11='Données projet'!$A$114,'Données projet'!$B$114,BY10+BX11-CG10)))</f>
        <v>3.745979019433979</v>
      </c>
      <c r="BZ11" s="14">
        <f>BY11*VLOOKUP('Données projet'!$B$12,Paramètres!$A$1:$I$89,3,0)*VLOOKUP('Données projet'!$B$12,Paramètres!$A$1:$I$89,5,0)</f>
        <v>3.5646736348933747</v>
      </c>
      <c r="CA11" s="14">
        <f t="shared" si="39"/>
        <v>1.4168267152411973</v>
      </c>
      <c r="CB11" s="22">
        <f t="shared" si="10"/>
        <v>8.6761131098177131</v>
      </c>
      <c r="CC11" s="62">
        <f t="shared" si="11"/>
        <v>212.96144372324758</v>
      </c>
      <c r="CD11" s="62">
        <f ca="1">AVERAGE(OFFSET($CC$3,0,0,'Données projet'!$E$12+1,1))-AVERAGE(OFFSET($H$3,0,0,'Données projet'!$E$12+1,1))</f>
        <v>451.95887041951761</v>
      </c>
      <c r="CE11" s="62">
        <f t="shared" si="40"/>
        <v>311.32964503257341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53.047514409723291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53.047514409723291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53.047514409723291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53.047514409723291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53.047514409723291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53.047514409723291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3.9000000000000004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1.2804479999999998</v>
      </c>
      <c r="D12" s="12">
        <f t="shared" si="32"/>
        <v>0.57334638747650846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14.30159868207625</v>
      </c>
      <c r="H12" s="70">
        <f t="shared" si="1"/>
        <v>202.69535855818825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53.341602134634648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6.2923076923076922</v>
      </c>
      <c r="N12" s="14">
        <f>IF('Données projet'!$A$36&gt;35,N11+M12-V11,IF(A12&lt;'Données projet'!$A$36,$K$205^A12,IF(A12='Données projet'!$A$36,'Données projet'!$B$36,N11+M12-V11)))</f>
        <v>25.614943251572615</v>
      </c>
      <c r="O12" s="14">
        <f>N12*VLOOKUP('Données projet'!$B$9,Paramètres!$A$1:$I$89,3,0)*VLOOKUP('Données projet'!$B$9,Paramètres!$A$1:$I$89,5,0)</f>
        <v>15.317736064440425</v>
      </c>
      <c r="P12" s="14">
        <f t="shared" si="33"/>
        <v>5.1379514664690502</v>
      </c>
      <c r="Q12" s="22">
        <f t="shared" si="2"/>
        <v>35.626989116334002</v>
      </c>
      <c r="R12" s="62">
        <f t="shared" si="0"/>
        <v>242.21286360999437</v>
      </c>
      <c r="S12" s="62">
        <f ca="1">AVERAGE(OFFSET($R$3,0,0,'Données projet'!$E$9+1,1))-AVERAGE(OFFSET($H$3,0,0,'Données projet'!$E$9+1,1))</f>
        <v>251.99201350544561</v>
      </c>
      <c r="T12" s="62">
        <f t="shared" si="34"/>
        <v>366.66533117979162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53.341602134634648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97</v>
      </c>
      <c r="AG12" s="13">
        <f>VLOOKUP(A12,'Données projet'!$A$61:$I$81,9,0)</f>
        <v>37</v>
      </c>
      <c r="AH12" s="13">
        <f t="array" ref="AH12">INDEX(AG:AG,MIN(IF(ISNUMBER(AG12:AG208),ROW(AG12:AG208),"")))</f>
        <v>37</v>
      </c>
      <c r="AI12" s="14">
        <f>IF('Données projet'!$A$62&gt;35,AI11+AH12-AQ11,IF(A12&lt;'Données projet'!$A$62,$AF$205^A12,IF(A12='Données projet'!$A$62,'Données projet'!$B$62,AI11+AH12-AQ11)))</f>
        <v>97</v>
      </c>
      <c r="AJ12" s="14">
        <f>AI12*VLOOKUP('Données projet'!$B$10,Paramètres!$A$1:$I$89,3,0)*VLOOKUP('Données projet'!$B$10,Paramètres!$A$1:$I$89,5,0)</f>
        <v>49.33032</v>
      </c>
      <c r="AK12" s="14">
        <f t="shared" si="35"/>
        <v>14.440676392293337</v>
      </c>
      <c r="AL12" s="22">
        <f t="shared" si="4"/>
        <v>111.06781871657756</v>
      </c>
      <c r="AM12" s="62">
        <f t="shared" si="5"/>
        <v>317.65369321023798</v>
      </c>
      <c r="AN12" s="62">
        <f ca="1">AVERAGE(OFFSET($AM$3,0,0,'Données projet'!$E$10+1,1))-AVERAGE(OFFSET($H$3,0,0,'Données projet'!$E$10+1,1))</f>
        <v>149.52545095126411</v>
      </c>
      <c r="AO12" s="62">
        <f t="shared" si="36"/>
        <v>457.9161829331029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53.341602134634648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1.9333333333333333</v>
      </c>
      <c r="BD12" s="13">
        <f>IF('Données projet'!$A$88&gt;35,BD11+BC12-BL11,IF(A12&lt;'Données projet'!$A$88,$BA$205^A12,IF(A12='Données projet'!$A$88,'Données projet'!$B$88,BD11+BC12-BL11)))</f>
        <v>7.5411711733776468</v>
      </c>
      <c r="BE12" s="14">
        <f>BD12*VLOOKUP('Données projet'!$B$11,Paramètres!$A$1:$I$89,3,0)*VLOOKUP('Données projet'!$B$11,Paramètres!$A$1:$I$89,5,0)</f>
        <v>7.6467475698049343</v>
      </c>
      <c r="BF12" s="14">
        <f t="shared" si="37"/>
        <v>2.7809432375357956</v>
      </c>
      <c r="BG12" s="22">
        <f t="shared" si="7"/>
        <v>18.161561489451767</v>
      </c>
      <c r="BH12" s="62">
        <f t="shared" si="8"/>
        <v>224.74743598311215</v>
      </c>
      <c r="BI12" s="62">
        <f ca="1">AVERAGE(OFFSET($BH$3,0,0,'Données projet'!$E$11+1,1))-AVERAGE(OFFSET($H$3,0,0,'Données projet'!$E$11+1,1))</f>
        <v>408.82357969905803</v>
      </c>
      <c r="BJ12" s="62">
        <f t="shared" si="38"/>
        <v>263.2013060831145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53.341602134634648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2.48</v>
      </c>
      <c r="BY12" s="13">
        <f>IF('Données projet'!$A$114&gt;35,BY11+BX12-CG11,IF(A12&lt;'Données projet'!$A$114,$BV$205^A12,IF(A12='Données projet'!$A$114,'Données projet'!$B$114,BY11+BX12-CG11)))</f>
        <v>4.4183590814374067</v>
      </c>
      <c r="BZ12" s="14">
        <f>BY12*VLOOKUP('Données projet'!$B$12,Paramètres!$A$1:$I$89,3,0)*VLOOKUP('Données projet'!$B$12,Paramètres!$A$1:$I$89,5,0)</f>
        <v>4.204510501895836</v>
      </c>
      <c r="CA12" s="14">
        <f t="shared" si="39"/>
        <v>1.6393324250289611</v>
      </c>
      <c r="CB12" s="22">
        <f t="shared" si="10"/>
        <v>10.178026431060688</v>
      </c>
      <c r="CC12" s="62">
        <f t="shared" si="11"/>
        <v>216.76390092472107</v>
      </c>
      <c r="CD12" s="62">
        <f ca="1">AVERAGE(OFFSET($CC$3,0,0,'Données projet'!$E$12+1,1))-AVERAGE(OFFSET($H$3,0,0,'Données projet'!$E$12+1,1))</f>
        <v>451.95887041951761</v>
      </c>
      <c r="CE12" s="62">
        <f t="shared" si="40"/>
        <v>311.32964503257341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53.341602134634648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53.341602134634648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53.341602134634648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53.341602134634648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53.341602134634648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53.341602134634648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3.9000000000000004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1.4227199999999998</v>
      </c>
      <c r="D13" s="12">
        <f t="shared" si="32"/>
        <v>0.62928647701497642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14.546407999681655</v>
      </c>
      <c r="H13" s="70">
        <f t="shared" si="1"/>
        <v>203.04057794746774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53.630588095000462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6.2923076923076922</v>
      </c>
      <c r="N13" s="14">
        <f>IF('Données projet'!$A$36&gt;35,N12+M13-V12,IF(A13&lt;'Données projet'!$A$36,$K$205^A13,IF(A13='Données projet'!$A$36,'Données projet'!$B$36,N12+M13-V12)))</f>
        <v>36.727609693583034</v>
      </c>
      <c r="O13" s="14">
        <f>N13*VLOOKUP('Données projet'!$B$9,Paramètres!$A$1:$I$89,3,0)*VLOOKUP('Données projet'!$B$9,Paramètres!$A$1:$I$89,5,0)</f>
        <v>21.963110596762654</v>
      </c>
      <c r="P13" s="14">
        <f t="shared" si="33"/>
        <v>7.0643588062073803</v>
      </c>
      <c r="Q13" s="22">
        <f t="shared" si="2"/>
        <v>50.556175876839468</v>
      </c>
      <c r="R13" s="62">
        <f t="shared" si="0"/>
        <v>259.42388778073007</v>
      </c>
      <c r="S13" s="62">
        <f ca="1">AVERAGE(OFFSET($R$3,0,0,'Données projet'!$E$9+1,1))-AVERAGE(OFFSET($H$3,0,0,'Données projet'!$E$9+1,1))</f>
        <v>251.99201350544561</v>
      </c>
      <c r="T13" s="62">
        <f t="shared" si="34"/>
        <v>366.66533117979162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53.630588095000462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133</v>
      </c>
      <c r="AG13" s="13">
        <f>VLOOKUP(A13,'Données projet'!$A$61:$I$81,9,0)</f>
        <v>36</v>
      </c>
      <c r="AH13" s="13">
        <f t="array" ref="AH13">INDEX(AG:AG,MIN(IF(ISNUMBER(AG13:AG209),ROW(AG13:AG209),"")))</f>
        <v>36</v>
      </c>
      <c r="AI13" s="14">
        <f>IF('Données projet'!$A$62&gt;35,AI12+AH13-AQ12,IF(A13&lt;'Données projet'!$A$62,$AF$205^A13,IF(A13='Données projet'!$A$62,'Données projet'!$B$62,AI12+AH13-AQ12)))</f>
        <v>133</v>
      </c>
      <c r="AJ13" s="14">
        <f>AI13*VLOOKUP('Données projet'!$B$10,Paramètres!$A$1:$I$89,3,0)*VLOOKUP('Données projet'!$B$10,Paramètres!$A$1:$I$89,5,0)</f>
        <v>67.638480000000015</v>
      </c>
      <c r="AK13" s="14">
        <f t="shared" si="35"/>
        <v>19.085842751767505</v>
      </c>
      <c r="AL13" s="22">
        <f t="shared" si="4"/>
        <v>151.04486212599508</v>
      </c>
      <c r="AM13" s="62">
        <f t="shared" si="5"/>
        <v>359.91257402988572</v>
      </c>
      <c r="AN13" s="62">
        <f ca="1">AVERAGE(OFFSET($AM$3,0,0,'Données projet'!$E$10+1,1))-AVERAGE(OFFSET($H$3,0,0,'Données projet'!$E$10+1,1))</f>
        <v>149.52545095126411</v>
      </c>
      <c r="AO13" s="62">
        <f t="shared" si="36"/>
        <v>457.9161829331029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53.630588095000462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1.9333333333333333</v>
      </c>
      <c r="BD13" s="13">
        <f>IF('Données projet'!$A$88&gt;35,BD12+BC13-BL12,IF(A13&lt;'Données projet'!$A$88,$BA$205^A13,IF(A13='Données projet'!$A$88,'Données projet'!$B$88,BD12+BC13-BL12)))</f>
        <v>9.4391306773923702</v>
      </c>
      <c r="BE13" s="14">
        <f>BD13*VLOOKUP('Données projet'!$B$11,Paramètres!$A$1:$I$89,3,0)*VLOOKUP('Données projet'!$B$11,Paramètres!$A$1:$I$89,5,0)</f>
        <v>9.5712785068758635</v>
      </c>
      <c r="BF13" s="14">
        <f t="shared" si="37"/>
        <v>3.3910728195041986</v>
      </c>
      <c r="BG13" s="22">
        <f t="shared" si="7"/>
        <v>22.576095226778609</v>
      </c>
      <c r="BH13" s="62">
        <f t="shared" si="8"/>
        <v>231.44380713066923</v>
      </c>
      <c r="BI13" s="62">
        <f ca="1">AVERAGE(OFFSET($BH$3,0,0,'Données projet'!$E$11+1,1))-AVERAGE(OFFSET($H$3,0,0,'Données projet'!$E$11+1,1))</f>
        <v>408.82357969905803</v>
      </c>
      <c r="BJ13" s="62">
        <f t="shared" si="38"/>
        <v>263.2013060831145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53.630588095000462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2.48</v>
      </c>
      <c r="BY13" s="13">
        <f>IF('Données projet'!$A$114&gt;35,BY12+BX13-CG12,IF(A13&lt;'Données projet'!$A$114,$BV$205^A13,IF(A13='Données projet'!$A$114,'Données projet'!$B$114,BY12+BX13-CG12)))</f>
        <v>5.2114272053424839</v>
      </c>
      <c r="BZ13" s="14">
        <f>BY13*VLOOKUP('Données projet'!$B$12,Paramètres!$A$1:$I$89,3,0)*VLOOKUP('Données projet'!$B$12,Paramètres!$A$1:$I$89,5,0)</f>
        <v>4.9591941286039081</v>
      </c>
      <c r="CA13" s="14">
        <f t="shared" si="39"/>
        <v>1.8967815688694409</v>
      </c>
      <c r="CB13" s="22">
        <f t="shared" si="10"/>
        <v>11.940824339766083</v>
      </c>
      <c r="CC13" s="62">
        <f t="shared" si="11"/>
        <v>220.8085362436567</v>
      </c>
      <c r="CD13" s="62">
        <f ca="1">AVERAGE(OFFSET($CC$3,0,0,'Données projet'!$E$12+1,1))-AVERAGE(OFFSET($H$3,0,0,'Données projet'!$E$12+1,1))</f>
        <v>451.95887041951761</v>
      </c>
      <c r="CE13" s="62">
        <f t="shared" si="40"/>
        <v>311.32964503257341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53.630588095000462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53.630588095000462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53.630588095000462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53.630588095000462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53.630588095000462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53.630588095000462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3.9000000000000004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1.5649919999999997</v>
      </c>
      <c r="D14" s="12">
        <f t="shared" si="32"/>
        <v>0.68457805902349322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14.790416353600946</v>
      </c>
      <c r="H14" s="70">
        <f t="shared" si="1"/>
        <v>203.38466785279925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53.914560795029736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6.2923076923076922</v>
      </c>
      <c r="N14" s="14">
        <f>IF('Données projet'!$A$36&gt;35,N13+M14-V13,IF(A14&lt;'Données projet'!$A$36,$K$205^A14,IF(A14='Données projet'!$A$36,'Données projet'!$B$36,N13+M14-V13)))</f>
        <v>52.661343051047311</v>
      </c>
      <c r="O14" s="14">
        <f>N14*VLOOKUP('Données projet'!$B$9,Paramètres!$A$1:$I$89,3,0)*VLOOKUP('Données projet'!$B$9,Paramètres!$A$1:$I$89,5,0)</f>
        <v>31.491483144526295</v>
      </c>
      <c r="P14" s="14">
        <f t="shared" si="33"/>
        <v>9.7130472462668216</v>
      </c>
      <c r="Q14" s="22">
        <f t="shared" si="2"/>
        <v>71.76455709729801</v>
      </c>
      <c r="R14" s="62">
        <f t="shared" si="0"/>
        <v>282.8957244568515</v>
      </c>
      <c r="S14" s="62">
        <f ca="1">AVERAGE(OFFSET($R$3,0,0,'Données projet'!$E$9+1,1))-AVERAGE(OFFSET($H$3,0,0,'Données projet'!$E$9+1,1))</f>
        <v>251.99201350544561</v>
      </c>
      <c r="T14" s="62">
        <f t="shared" si="34"/>
        <v>366.66533117979162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53.914560795029736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175</v>
      </c>
      <c r="AG14" s="13">
        <f>VLOOKUP(A14,'Données projet'!$A$61:$I$81,9,0)</f>
        <v>42</v>
      </c>
      <c r="AH14" s="13">
        <f t="array" ref="AH14">INDEX(AG:AG,MIN(IF(ISNUMBER(AG14:AG210),ROW(AG14:AG210),"")))</f>
        <v>42</v>
      </c>
      <c r="AI14" s="14">
        <f>IF('Données projet'!$A$62&gt;35,AI13+AH14-AQ13,IF(A14&lt;'Données projet'!$A$62,$AF$205^A14,IF(A14='Données projet'!$A$62,'Données projet'!$B$62,AI13+AH14-AQ13)))</f>
        <v>175</v>
      </c>
      <c r="AJ14" s="14">
        <f>AI14*VLOOKUP('Données projet'!$B$10,Paramètres!$A$1:$I$89,3,0)*VLOOKUP('Données projet'!$B$10,Paramètres!$A$1:$I$89,5,0)</f>
        <v>88.998000000000005</v>
      </c>
      <c r="AK14" s="14">
        <f t="shared" si="35"/>
        <v>24.323409484531489</v>
      </c>
      <c r="AL14" s="22">
        <f t="shared" si="4"/>
        <v>197.36812151889237</v>
      </c>
      <c r="AM14" s="62">
        <f t="shared" si="5"/>
        <v>408.49928887844584</v>
      </c>
      <c r="AN14" s="62">
        <f ca="1">AVERAGE(OFFSET($AM$3,0,0,'Données projet'!$E$10+1,1))-AVERAGE(OFFSET($H$3,0,0,'Données projet'!$E$10+1,1))</f>
        <v>149.52545095126411</v>
      </c>
      <c r="AO14" s="62">
        <f t="shared" si="36"/>
        <v>457.9161829331029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53.914560795029736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1.9333333333333333</v>
      </c>
      <c r="BD14" s="13">
        <f>IF('Données projet'!$A$88&gt;35,BD13+BC14-BL13,IF(A14&lt;'Données projet'!$A$88,$BA$205^A14,IF(A14='Données projet'!$A$88,'Données projet'!$B$88,BD13+BC14-BL13)))</f>
        <v>11.814768011025487</v>
      </c>
      <c r="BE14" s="14">
        <f>BD14*VLOOKUP('Données projet'!$B$11,Paramètres!$A$1:$I$89,3,0)*VLOOKUP('Données projet'!$B$11,Paramètres!$A$1:$I$89,5,0)</f>
        <v>11.980174763179845</v>
      </c>
      <c r="BF14" s="14">
        <f t="shared" si="37"/>
        <v>4.135062777250285</v>
      </c>
      <c r="BG14" s="22">
        <f t="shared" si="7"/>
        <v>28.067372049582474</v>
      </c>
      <c r="BH14" s="62">
        <f t="shared" si="8"/>
        <v>239.19853940913595</v>
      </c>
      <c r="BI14" s="62">
        <f ca="1">AVERAGE(OFFSET($BH$3,0,0,'Données projet'!$E$11+1,1))-AVERAGE(OFFSET($H$3,0,0,'Données projet'!$E$11+1,1))</f>
        <v>408.82357969905803</v>
      </c>
      <c r="BJ14" s="62">
        <f t="shared" si="38"/>
        <v>263.2013060831145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53.914560795029736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2.48</v>
      </c>
      <c r="BY14" s="13">
        <f>IF('Données projet'!$A$114&gt;35,BY13+BX14-CG13,IF(A14&lt;'Données projet'!$A$114,$BV$205^A14,IF(A14='Données projet'!$A$114,'Données projet'!$B$114,BY13+BX14-CG13)))</f>
        <v>6.1468461517048683</v>
      </c>
      <c r="BZ14" s="14">
        <f>BY14*VLOOKUP('Données projet'!$B$12,Paramètres!$A$1:$I$89,3,0)*VLOOKUP('Données projet'!$B$12,Paramètres!$A$1:$I$89,5,0)</f>
        <v>5.8493387979623526</v>
      </c>
      <c r="CA14" s="14">
        <f t="shared" si="39"/>
        <v>2.1946618422674447</v>
      </c>
      <c r="CB14" s="22">
        <f t="shared" si="10"/>
        <v>14.009967781733563</v>
      </c>
      <c r="CC14" s="62">
        <f t="shared" si="11"/>
        <v>225.14113514128704</v>
      </c>
      <c r="CD14" s="62">
        <f ca="1">AVERAGE(OFFSET($CC$3,0,0,'Données projet'!$E$12+1,1))-AVERAGE(OFFSET($H$3,0,0,'Données projet'!$E$12+1,1))</f>
        <v>451.95887041951761</v>
      </c>
      <c r="CE14" s="62">
        <f t="shared" si="40"/>
        <v>311.32964503257341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53.914560795029736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53.914560795029736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53.914560795029736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53.914560795029736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53.914560795029736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53.914560795029736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3.9000000000000004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1.7072639999999997</v>
      </c>
      <c r="D15" s="12">
        <f t="shared" si="32"/>
        <v>0.73928679355100879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15.033704839754229</v>
      </c>
      <c r="H15" s="70">
        <f t="shared" si="1"/>
        <v>203.72774263210135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54.193607203581351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75.507692307692309</v>
      </c>
      <c r="L15" s="13">
        <f>VLOOKUP(A15,'Données projet'!$A$35:$I$55,9,0)</f>
        <v>6.2923076923076922</v>
      </c>
      <c r="M15" s="13">
        <f t="array" ref="M15">INDEX(L:L,MIN(IF(ISNUMBER(L15:L211),ROW(L15:L211),"")))</f>
        <v>6.2923076923076922</v>
      </c>
      <c r="N15" s="14">
        <f>IF('Données projet'!$A$36&gt;35,N14+M15-V14,IF(A15&lt;'Données projet'!$A$36,$K$205^A15,IF(A15='Données projet'!$A$36,'Données projet'!$B$36,N14+M15-V14)))</f>
        <v>75.507692307692309</v>
      </c>
      <c r="O15" s="14">
        <f>N15*VLOOKUP('Données projet'!$B$9,Paramètres!$A$1:$I$89,3,0)*VLOOKUP('Données projet'!$B$9,Paramètres!$A$1:$I$89,5,0)</f>
        <v>45.153600000000004</v>
      </c>
      <c r="P15" s="14">
        <f t="shared" si="33"/>
        <v>13.354826587419776</v>
      </c>
      <c r="Q15" s="22">
        <f t="shared" si="2"/>
        <v>101.90217630642276</v>
      </c>
      <c r="R15" s="62">
        <f t="shared" si="0"/>
        <v>315.27873605288772</v>
      </c>
      <c r="S15" s="62">
        <f ca="1">AVERAGE(OFFSET($R$3,0,0,'Données projet'!$E$9+1,1))-AVERAGE(OFFSET($H$3,0,0,'Données projet'!$E$9+1,1))</f>
        <v>251.99201350544561</v>
      </c>
      <c r="T15" s="62">
        <f t="shared" si="34"/>
        <v>366.66533117979162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54.193607203581351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214</v>
      </c>
      <c r="AG15" s="13">
        <f>VLOOKUP(A15,'Données projet'!$A$61:$I$81,9,0)</f>
        <v>39</v>
      </c>
      <c r="AH15" s="13">
        <f t="array" ref="AH15">INDEX(AG:AG,MIN(IF(ISNUMBER(AG15:AG211),ROW(AG15:AG211),"")))</f>
        <v>39</v>
      </c>
      <c r="AI15" s="14">
        <f>IF('Données projet'!$A$62&gt;35,AI14+AH15-AQ14,IF(A15&lt;'Données projet'!$A$62,$AF$205^A15,IF(A15='Données projet'!$A$62,'Données projet'!$B$62,AI14+AH15-AQ14)))</f>
        <v>214</v>
      </c>
      <c r="AJ15" s="14">
        <f>AI15*VLOOKUP('Données projet'!$B$10,Paramètres!$A$1:$I$89,3,0)*VLOOKUP('Données projet'!$B$10,Paramètres!$A$1:$I$89,5,0)</f>
        <v>108.83184</v>
      </c>
      <c r="AK15" s="14">
        <f t="shared" si="35"/>
        <v>29.055586181236279</v>
      </c>
      <c r="AL15" s="22">
        <f t="shared" si="4"/>
        <v>240.1539339323198</v>
      </c>
      <c r="AM15" s="62">
        <f t="shared" si="5"/>
        <v>453.53049367878475</v>
      </c>
      <c r="AN15" s="62">
        <f ca="1">AVERAGE(OFFSET($AM$3,0,0,'Données projet'!$E$10+1,1))-AVERAGE(OFFSET($H$3,0,0,'Données projet'!$E$10+1,1))</f>
        <v>149.52545095126411</v>
      </c>
      <c r="AO15" s="62">
        <f t="shared" si="36"/>
        <v>457.9161829331029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54.193607203581351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1.9333333333333333</v>
      </c>
      <c r="BD15" s="13">
        <f>IF('Données projet'!$A$88&gt;35,BD14+BC15-BL14,IF(A15&lt;'Données projet'!$A$88,$BA$205^A15,IF(A15='Données projet'!$A$88,'Données projet'!$B$88,BD14+BC15-BL14)))</f>
        <v>14.788304974808712</v>
      </c>
      <c r="BE15" s="14">
        <f>BD15*VLOOKUP('Données projet'!$B$11,Paramètres!$A$1:$I$89,3,0)*VLOOKUP('Données projet'!$B$11,Paramètres!$A$1:$I$89,5,0)</f>
        <v>14.995341244456036</v>
      </c>
      <c r="BF15" s="14">
        <f t="shared" si="37"/>
        <v>5.0422816264679318</v>
      </c>
      <c r="BG15" s="22">
        <f t="shared" si="7"/>
        <v>34.898859833525911</v>
      </c>
      <c r="BH15" s="62">
        <f t="shared" si="8"/>
        <v>248.27541957999085</v>
      </c>
      <c r="BI15" s="62">
        <f ca="1">AVERAGE(OFFSET($BH$3,0,0,'Données projet'!$E$11+1,1))-AVERAGE(OFFSET($H$3,0,0,'Données projet'!$E$11+1,1))</f>
        <v>408.82357969905803</v>
      </c>
      <c r="BJ15" s="62">
        <f t="shared" si="38"/>
        <v>263.2013060831145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54.193607203581351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2.48</v>
      </c>
      <c r="BY15" s="13">
        <f>IF('Données projet'!$A$114&gt;35,BY14+BX15-CG14,IF(A15&lt;'Données projet'!$A$114,$BV$205^A15,IF(A15='Données projet'!$A$114,'Données projet'!$B$114,BY14+BX15-CG14)))</f>
        <v>7.2501670125978235</v>
      </c>
      <c r="BZ15" s="14">
        <f>BY15*VLOOKUP('Données projet'!$B$12,Paramètres!$A$1:$I$89,3,0)*VLOOKUP('Données projet'!$B$12,Paramètres!$A$1:$I$89,5,0)</f>
        <v>6.8992589291880879</v>
      </c>
      <c r="CA15" s="14">
        <f t="shared" si="39"/>
        <v>2.5393227564814365</v>
      </c>
      <c r="CB15" s="22">
        <f t="shared" si="10"/>
        <v>16.438863102541085</v>
      </c>
      <c r="CC15" s="62">
        <f t="shared" si="11"/>
        <v>229.81542284900604</v>
      </c>
      <c r="CD15" s="62">
        <f ca="1">AVERAGE(OFFSET($CC$3,0,0,'Données projet'!$E$12+1,1))-AVERAGE(OFFSET($H$3,0,0,'Données projet'!$E$12+1,1))</f>
        <v>451.95887041951761</v>
      </c>
      <c r="CE15" s="62">
        <f t="shared" si="40"/>
        <v>311.32964503257341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54.193607203581351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54.193607203581351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54.193607203581351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54.193607203581351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54.193607203581351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54.193607203581351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3.9000000000000004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1.8495359999999996</v>
      </c>
      <c r="D16" s="12">
        <f t="shared" si="32"/>
        <v>0.79346677326947668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15.276340267336336</v>
      </c>
      <c r="H16" s="70">
        <f t="shared" si="1"/>
        <v>204.06989649677766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54.467812780798909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18.911538461538463</v>
      </c>
      <c r="N16" s="14">
        <f>IF('Données projet'!$A$36&gt;35,N15+M16-V15,IF(A16&lt;'Données projet'!$A$36,$K$205^A16,IF(A16='Données projet'!$A$36,'Données projet'!$B$36,N15+M16-V15)))</f>
        <v>94.419230769230779</v>
      </c>
      <c r="O16" s="14">
        <f>N16*VLOOKUP('Données projet'!$B$9,Paramètres!$A$1:$I$89,3,0)*VLOOKUP('Données projet'!$B$9,Paramètres!$A$1:$I$89,5,0)</f>
        <v>56.462700000000012</v>
      </c>
      <c r="P16" s="14">
        <f t="shared" si="33"/>
        <v>16.27079044207688</v>
      </c>
      <c r="Q16" s="22">
        <f t="shared" si="2"/>
        <v>126.6774958532839</v>
      </c>
      <c r="R16" s="62">
        <f t="shared" si="0"/>
        <v>342.28169827176879</v>
      </c>
      <c r="S16" s="62">
        <f ca="1">AVERAGE(OFFSET($R$3,0,0,'Données projet'!$E$9+1,1))-AVERAGE(OFFSET($H$3,0,0,'Données projet'!$E$9+1,1))</f>
        <v>251.99201350544561</v>
      </c>
      <c r="T16" s="62">
        <f t="shared" si="34"/>
        <v>366.66533117979162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54.467812780798909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256</v>
      </c>
      <c r="AG16" s="13">
        <f>VLOOKUP(A16,'Données projet'!$A$61:$I$81,9,0)</f>
        <v>42</v>
      </c>
      <c r="AH16" s="13">
        <f t="array" ref="AH16">INDEX(AG:AG,MIN(IF(ISNUMBER(AG16:AG212),ROW(AG16:AG212),"")))</f>
        <v>42</v>
      </c>
      <c r="AI16" s="14">
        <f>IF('Données projet'!$A$62&gt;35,AI15+AH16-AQ15,IF(A16&lt;'Données projet'!$A$62,$AF$205^A16,IF(A16='Données projet'!$A$62,'Données projet'!$B$62,AI15+AH16-AQ15)))</f>
        <v>256</v>
      </c>
      <c r="AJ16" s="14">
        <f>AI16*VLOOKUP('Données projet'!$B$10,Paramètres!$A$1:$I$89,3,0)*VLOOKUP('Données projet'!$B$10,Paramètres!$A$1:$I$89,5,0)</f>
        <v>130.19136</v>
      </c>
      <c r="AK16" s="14">
        <f t="shared" si="35"/>
        <v>34.040573223809218</v>
      </c>
      <c r="AL16" s="22">
        <f t="shared" si="4"/>
        <v>286.03728369813439</v>
      </c>
      <c r="AM16" s="62">
        <f t="shared" si="5"/>
        <v>501.64148611661926</v>
      </c>
      <c r="AN16" s="62">
        <f ca="1">AVERAGE(OFFSET($AM$3,0,0,'Données projet'!$E$10+1,1))-AVERAGE(OFFSET($H$3,0,0,'Données projet'!$E$10+1,1))</f>
        <v>149.52545095126411</v>
      </c>
      <c r="AO16" s="62">
        <f t="shared" si="36"/>
        <v>457.9161829331029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54.467812780798909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1.9333333333333333</v>
      </c>
      <c r="BD16" s="13">
        <f>IF('Données projet'!$A$88&gt;35,BD15+BC16-BL15,IF(A16&lt;'Données projet'!$A$88,$BA$205^A16,IF(A16='Données projet'!$A$88,'Données projet'!$B$88,BD15+BC16-BL15)))</f>
        <v>18.510220752863528</v>
      </c>
      <c r="BE16" s="14">
        <f>BD16*VLOOKUP('Données projet'!$B$11,Paramètres!$A$1:$I$89,3,0)*VLOOKUP('Données projet'!$B$11,Paramètres!$A$1:$I$89,5,0)</f>
        <v>18.769363843403617</v>
      </c>
      <c r="BF16" s="14">
        <f t="shared" si="37"/>
        <v>6.1485412363008507</v>
      </c>
      <c r="BG16" s="22">
        <f t="shared" si="7"/>
        <v>43.398684680485282</v>
      </c>
      <c r="BH16" s="62">
        <f t="shared" si="8"/>
        <v>259.00288709897018</v>
      </c>
      <c r="BI16" s="62">
        <f ca="1">AVERAGE(OFFSET($BH$3,0,0,'Données projet'!$E$11+1,1))-AVERAGE(OFFSET($H$3,0,0,'Données projet'!$E$11+1,1))</f>
        <v>408.82357969905803</v>
      </c>
      <c r="BJ16" s="62">
        <f t="shared" si="38"/>
        <v>263.2013060831145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54.467812780798909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2.48</v>
      </c>
      <c r="BY16" s="13">
        <f>IF('Données projet'!$A$114&gt;35,BY15+BX16-CG15,IF(A16&lt;'Données projet'!$A$114,$BV$205^A16,IF(A16='Données projet'!$A$114,'Données projet'!$B$114,BY15+BX16-CG15)))</f>
        <v>8.5515271430670872</v>
      </c>
      <c r="BZ16" s="14">
        <f>BY16*VLOOKUP('Données projet'!$B$12,Paramètres!$A$1:$I$89,3,0)*VLOOKUP('Données projet'!$B$12,Paramètres!$A$1:$I$89,5,0)</f>
        <v>8.1376332293426401</v>
      </c>
      <c r="CA16" s="14">
        <f t="shared" si="39"/>
        <v>2.9381109824748579</v>
      </c>
      <c r="CB16" s="22">
        <f t="shared" si="10"/>
        <v>19.290254502248803</v>
      </c>
      <c r="CC16" s="62">
        <f t="shared" si="11"/>
        <v>234.89445692073372</v>
      </c>
      <c r="CD16" s="62">
        <f ca="1">AVERAGE(OFFSET($CC$3,0,0,'Données projet'!$E$12+1,1))-AVERAGE(OFFSET($H$3,0,0,'Données projet'!$E$12+1,1))</f>
        <v>451.95887041951761</v>
      </c>
      <c r="CE16" s="62">
        <f t="shared" si="40"/>
        <v>311.32964503257341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54.467812780798909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54.467812780798909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54.467812780798909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54.467812780798909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54.467812780798909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54.467812780798909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3.9000000000000004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1.9918079999999996</v>
      </c>
      <c r="D17" s="12">
        <f t="shared" si="32"/>
        <v>0.84716329616103714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15.518378583328719</v>
      </c>
      <c r="H17" s="70">
        <f t="shared" si="1"/>
        <v>204.4112083408138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54.737261504283573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113.33076923076923</v>
      </c>
      <c r="L17" s="13">
        <f>VLOOKUP(A17,'Données projet'!$A$35:$I$55,9,0)</f>
        <v>18.911538461538463</v>
      </c>
      <c r="M17" s="13">
        <f t="array" ref="M17">INDEX(L:L,MIN(IF(ISNUMBER(L17:L213),ROW(L17:L213),"")))</f>
        <v>18.911538461538463</v>
      </c>
      <c r="N17" s="14">
        <f>IF('Données projet'!$A$36&gt;35,N16+M17-V16,IF(A17&lt;'Données projet'!$A$36,$K$205^A17,IF(A17='Données projet'!$A$36,'Données projet'!$B$36,N16+M17-V16)))</f>
        <v>113.33076923076925</v>
      </c>
      <c r="O17" s="14">
        <f>N17*VLOOKUP('Données projet'!$B$9,Paramètres!$A$1:$I$89,3,0)*VLOOKUP('Données projet'!$B$9,Paramètres!$A$1:$I$89,5,0)</f>
        <v>67.771800000000013</v>
      </c>
      <c r="P17" s="14">
        <f t="shared" si="33"/>
        <v>19.119079515297894</v>
      </c>
      <c r="Q17" s="22">
        <f t="shared" si="2"/>
        <v>151.33494848914387</v>
      </c>
      <c r="R17" s="62">
        <f t="shared" si="0"/>
        <v>369.14935178262806</v>
      </c>
      <c r="S17" s="62">
        <f ca="1">AVERAGE(OFFSET($R$3,0,0,'Données projet'!$E$9+1,1))-AVERAGE(OFFSET($H$3,0,0,'Données projet'!$E$9+1,1))</f>
        <v>251.99201350544561</v>
      </c>
      <c r="T17" s="62">
        <f t="shared" si="34"/>
        <v>366.66533117979162</v>
      </c>
      <c r="U17" s="16">
        <f>IF(ISNA(VLOOKUP(A17,'Données projet'!$A$35:$I$55,3,0)),0,VLOOKUP(A17,'Données projet'!$A$35:$I$55,3,0))</f>
        <v>1</v>
      </c>
      <c r="V17" s="16">
        <f>IF(ISNA(VLOOKUP(A17,'Données projet'!$A$35:$I$55,4,0)),0,VLOOKUP(A17,'Données projet'!$A$35:$I$55,4,0))</f>
        <v>35.969230769230769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0.5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12.176931913437635</v>
      </c>
      <c r="AC17" s="24">
        <f t="shared" si="3"/>
        <v>12.176931913437635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54.737261504283573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292</v>
      </c>
      <c r="AG17" s="13">
        <f>VLOOKUP(A17,'Données projet'!$A$61:$I$81,9,0)</f>
        <v>36</v>
      </c>
      <c r="AH17" s="13">
        <f t="array" ref="AH17">INDEX(AG:AG,MIN(IF(ISNUMBER(AG17:AG213),ROW(AG17:AG213),"")))</f>
        <v>36</v>
      </c>
      <c r="AI17" s="14">
        <f>IF('Données projet'!$A$62&gt;35,AI16+AH17-AQ16,IF(A17&lt;'Données projet'!$A$62,$AF$205^A17,IF(A17='Données projet'!$A$62,'Données projet'!$B$62,AI16+AH17-AQ16)))</f>
        <v>292</v>
      </c>
      <c r="AJ17" s="14">
        <f>AI17*VLOOKUP('Données projet'!$B$10,Paramètres!$A$1:$I$89,3,0)*VLOOKUP('Données projet'!$B$10,Paramètres!$A$1:$I$89,5,0)</f>
        <v>148.49952000000002</v>
      </c>
      <c r="AK17" s="14">
        <f t="shared" si="35"/>
        <v>38.237396894282334</v>
      </c>
      <c r="AL17" s="22">
        <f t="shared" si="4"/>
        <v>325.23346359087509</v>
      </c>
      <c r="AM17" s="62">
        <f t="shared" si="5"/>
        <v>543.04786688435934</v>
      </c>
      <c r="AN17" s="62">
        <f ca="1">AVERAGE(OFFSET($AM$3,0,0,'Données projet'!$E$10+1,1))-AVERAGE(OFFSET($H$3,0,0,'Données projet'!$E$10+1,1))</f>
        <v>149.52545095126411</v>
      </c>
      <c r="AO17" s="62">
        <f t="shared" si="36"/>
        <v>457.9161829331029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54.737261504283573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1.9333333333333333</v>
      </c>
      <c r="BD17" s="13">
        <f>IF('Données projet'!$A$88&gt;35,BD16+BC17-BL16,IF(A17&lt;'Données projet'!$A$88,$BA$205^A17,IF(A17='Données projet'!$A$88,'Données projet'!$B$88,BD16+BC17-BL16)))</f>
        <v>23.16886708134524</v>
      </c>
      <c r="BE17" s="14">
        <f>BD17*VLOOKUP('Données projet'!$B$11,Paramètres!$A$1:$I$89,3,0)*VLOOKUP('Données projet'!$B$11,Paramètres!$A$1:$I$89,5,0)</f>
        <v>23.493231220484073</v>
      </c>
      <c r="BF17" s="14">
        <f t="shared" si="37"/>
        <v>7.4975104793925835</v>
      </c>
      <c r="BG17" s="22">
        <f t="shared" si="7"/>
        <v>53.975541793951841</v>
      </c>
      <c r="BH17" s="62">
        <f t="shared" si="8"/>
        <v>271.78994508743608</v>
      </c>
      <c r="BI17" s="62">
        <f ca="1">AVERAGE(OFFSET($BH$3,0,0,'Données projet'!$E$11+1,1))-AVERAGE(OFFSET($H$3,0,0,'Données projet'!$E$11+1,1))</f>
        <v>408.82357969905803</v>
      </c>
      <c r="BJ17" s="62">
        <f t="shared" si="38"/>
        <v>263.2013060831145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54.737261504283573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2.48</v>
      </c>
      <c r="BY17" s="13">
        <f>IF('Données projet'!$A$114&gt;35,BY16+BX17-CG16,IF(A17&lt;'Données projet'!$A$114,$BV$205^A17,IF(A17='Données projet'!$A$114,'Données projet'!$B$114,BY16+BX17-CG16)))</f>
        <v>10.086473366964587</v>
      </c>
      <c r="BZ17" s="14">
        <f>BY17*VLOOKUP('Données projet'!$B$12,Paramètres!$A$1:$I$89,3,0)*VLOOKUP('Données projet'!$B$12,Paramètres!$A$1:$I$89,5,0)</f>
        <v>9.5982880560035007</v>
      </c>
      <c r="CA17" s="14">
        <f t="shared" si="39"/>
        <v>3.3995269499733971</v>
      </c>
      <c r="CB17" s="22">
        <f t="shared" si="10"/>
        <v>22.637861135409764</v>
      </c>
      <c r="CC17" s="62">
        <f t="shared" si="11"/>
        <v>240.45226442889398</v>
      </c>
      <c r="CD17" s="62">
        <f ca="1">AVERAGE(OFFSET($CC$3,0,0,'Données projet'!$E$12+1,1))-AVERAGE(OFFSET($H$3,0,0,'Données projet'!$E$12+1,1))</f>
        <v>451.95887041951761</v>
      </c>
      <c r="CE17" s="62">
        <f t="shared" si="40"/>
        <v>311.32964503257341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54.737261504283573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54.737261504283573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54.737261504283573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54.737261504283573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54.737261504283573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54.737261504283573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3.9000000000000004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2.1340799999999995</v>
      </c>
      <c r="D18" s="12">
        <f t="shared" si="32"/>
        <v>0.90041482238219528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15.759867289398361</v>
      </c>
      <c r="H18" s="70">
        <f t="shared" si="1"/>
        <v>204.75174514898234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55.002035894812877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18.447692307692307</v>
      </c>
      <c r="N18" s="14">
        <f>IF('Données projet'!$A$36&gt;35,N17+M18-V17,IF(A18&lt;'Données projet'!$A$36,$K$205^A18,IF(A18='Données projet'!$A$36,'Données projet'!$B$36,N17+M18-V17)))</f>
        <v>95.809230769230794</v>
      </c>
      <c r="O18" s="14">
        <f>N18*VLOOKUP('Données projet'!$B$9,Paramètres!$A$1:$I$89,3,0)*VLOOKUP('Données projet'!$B$9,Paramètres!$A$1:$I$89,5,0)</f>
        <v>57.293920000000014</v>
      </c>
      <c r="P18" s="14">
        <f t="shared" si="33"/>
        <v>16.482260295625579</v>
      </c>
      <c r="Q18" s="22">
        <f t="shared" si="2"/>
        <v>128.49351401488124</v>
      </c>
      <c r="R18" s="62">
        <f t="shared" si="0"/>
        <v>348.50097896252845</v>
      </c>
      <c r="S18" s="62">
        <f ca="1">AVERAGE(OFFSET($R$3,0,0,'Données projet'!$E$9+1,1))-AVERAGE(OFFSET($H$3,0,0,'Données projet'!$E$9+1,1))</f>
        <v>251.99201350544561</v>
      </c>
      <c r="T18" s="62">
        <f t="shared" si="34"/>
        <v>366.66533117979162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8.610391130038634</v>
      </c>
      <c r="AC18" s="24">
        <f t="shared" si="3"/>
        <v>8.610391130038634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55.002035894812877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329</v>
      </c>
      <c r="AG18" s="13">
        <f>VLOOKUP(A18,'Données projet'!$A$61:$I$81,9,0)</f>
        <v>37</v>
      </c>
      <c r="AH18" s="13">
        <f t="array" ref="AH18">INDEX(AG:AG,MIN(IF(ISNUMBER(AG18:AG214),ROW(AG18:AG214),"")))</f>
        <v>37</v>
      </c>
      <c r="AI18" s="14">
        <f>IF('Données projet'!$A$62&gt;35,AI17+AH18-AQ17,IF(A18&lt;'Données projet'!$A$62,$AF$205^A18,IF(A18='Données projet'!$A$62,'Données projet'!$B$62,AI17+AH18-AQ17)))</f>
        <v>329</v>
      </c>
      <c r="AJ18" s="14">
        <f>AI18*VLOOKUP('Données projet'!$B$10,Paramètres!$A$1:$I$89,3,0)*VLOOKUP('Données projet'!$B$10,Paramètres!$A$1:$I$89,5,0)</f>
        <v>167.31624000000002</v>
      </c>
      <c r="AK18" s="14">
        <f t="shared" si="35"/>
        <v>42.488395088818137</v>
      </c>
      <c r="AL18" s="22">
        <f t="shared" si="4"/>
        <v>365.40973944635829</v>
      </c>
      <c r="AM18" s="62">
        <f t="shared" si="5"/>
        <v>585.41720439400547</v>
      </c>
      <c r="AN18" s="62">
        <f ca="1">AVERAGE(OFFSET($AM$3,0,0,'Données projet'!$E$10+1,1))-AVERAGE(OFFSET($H$3,0,0,'Données projet'!$E$10+1,1))</f>
        <v>149.52545095126411</v>
      </c>
      <c r="AO18" s="62">
        <f t="shared" si="36"/>
        <v>457.9161829331029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55.002035894812877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29</v>
      </c>
      <c r="BB18" s="13">
        <f>VLOOKUP(A18,'Données projet'!$A$87:$I$107,9,0)</f>
        <v>1.9333333333333333</v>
      </c>
      <c r="BC18" s="13">
        <f t="array" ref="BC18">INDEX(BB:BB,MIN(IF(ISNUMBER(BB18:BB214),ROW(BB18:BB214),"")))</f>
        <v>1.9333333333333333</v>
      </c>
      <c r="BD18" s="13">
        <f>IF('Données projet'!$A$88&gt;35,BD17+BC18-BL17,IF(A18&lt;'Données projet'!$A$88,$BA$205^A18,IF(A18='Données projet'!$A$88,'Données projet'!$B$88,BD17+BC18-BL17)))</f>
        <v>29</v>
      </c>
      <c r="BE18" s="14">
        <f>BD18*VLOOKUP('Données projet'!$B$11,Paramètres!$A$1:$I$89,3,0)*VLOOKUP('Données projet'!$B$11,Paramètres!$A$1:$I$89,5,0)</f>
        <v>29.406000000000002</v>
      </c>
      <c r="BF18" s="14">
        <f t="shared" si="37"/>
        <v>9.1424390319972488</v>
      </c>
      <c r="BG18" s="22">
        <f t="shared" si="7"/>
        <v>67.138531314061879</v>
      </c>
      <c r="BH18" s="62">
        <f t="shared" si="8"/>
        <v>287.14599626170912</v>
      </c>
      <c r="BI18" s="62">
        <f ca="1">AVERAGE(OFFSET($BH$3,0,0,'Données projet'!$E$11+1,1))-AVERAGE(OFFSET($H$3,0,0,'Données projet'!$E$11+1,1))</f>
        <v>408.82357969905803</v>
      </c>
      <c r="BJ18" s="62">
        <f t="shared" si="38"/>
        <v>263.2013060831145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55.002035894812877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2.48</v>
      </c>
      <c r="BY18" s="13">
        <f>IF('Données projet'!$A$114&gt;35,BY17+BX18-CG17,IF(A18&lt;'Données projet'!$A$114,$BV$205^A18,IF(A18='Données projet'!$A$114,'Données projet'!$B$114,BY17+BX18-CG17)))</f>
        <v>11.896932943137099</v>
      </c>
      <c r="BZ18" s="14">
        <f>BY18*VLOOKUP('Données projet'!$B$12,Paramètres!$A$1:$I$89,3,0)*VLOOKUP('Données projet'!$B$12,Paramètres!$A$1:$I$89,5,0)</f>
        <v>11.321121388689264</v>
      </c>
      <c r="CA18" s="14">
        <f t="shared" si="39"/>
        <v>3.9334060396387076</v>
      </c>
      <c r="CB18" s="22">
        <f t="shared" si="10"/>
        <v>26.568301937671219</v>
      </c>
      <c r="CC18" s="62">
        <f t="shared" si="11"/>
        <v>246.57576688531842</v>
      </c>
      <c r="CD18" s="62">
        <f ca="1">AVERAGE(OFFSET($CC$3,0,0,'Données projet'!$E$12+1,1))-AVERAGE(OFFSET($H$3,0,0,'Données projet'!$E$12+1,1))</f>
        <v>451.95887041951761</v>
      </c>
      <c r="CE18" s="62">
        <f t="shared" si="40"/>
        <v>311.32964503257341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55.002035894812877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55.002035894812877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55.002035894812877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55.002035894812877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55.002035894812877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55.002035894812877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3.9000000000000004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2.2763519999999997</v>
      </c>
      <c r="D19" s="12">
        <f t="shared" si="32"/>
        <v>0.95325439395277478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16.000847195338164</v>
      </c>
      <c r="H19" s="70">
        <f t="shared" si="1"/>
        <v>205.09156446946776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55.262217041613354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18.447692307692307</v>
      </c>
      <c r="N19" s="14">
        <f>IF('Données projet'!$A$36&gt;35,N18+M19-V18,IF(A19&lt;'Données projet'!$A$36,$K$205^A19,IF(A19='Données projet'!$A$36,'Données projet'!$B$36,N18+M19-V18)))</f>
        <v>114.2569230769231</v>
      </c>
      <c r="O19" s="14">
        <f>N19*VLOOKUP('Données projet'!$B$9,Paramètres!$A$1:$I$89,3,0)*VLOOKUP('Données projet'!$B$9,Paramètres!$A$1:$I$89,5,0)</f>
        <v>68.325640000000021</v>
      </c>
      <c r="P19" s="14">
        <f t="shared" si="33"/>
        <v>19.257070909644309</v>
      </c>
      <c r="Q19" s="22">
        <f t="shared" si="2"/>
        <v>152.53988816763055</v>
      </c>
      <c r="R19" s="62">
        <f t="shared" si="0"/>
        <v>374.72357287576841</v>
      </c>
      <c r="S19" s="62">
        <f ca="1">AVERAGE(OFFSET($R$3,0,0,'Données projet'!$E$9+1,1))-AVERAGE(OFFSET($H$3,0,0,'Données projet'!$E$9+1,1))</f>
        <v>251.99201350544561</v>
      </c>
      <c r="T19" s="62">
        <f t="shared" si="34"/>
        <v>366.66533117979162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6.0884659567188182</v>
      </c>
      <c r="AC19" s="24">
        <f t="shared" si="3"/>
        <v>6.0884659567188182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55.262217041613354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363</v>
      </c>
      <c r="AG19" s="13">
        <f>VLOOKUP(A19,'Données projet'!$A$61:$I$81,9,0)</f>
        <v>34</v>
      </c>
      <c r="AH19" s="13">
        <f t="array" ref="AH19">INDEX(AG:AG,MIN(IF(ISNUMBER(AG19:AG215),ROW(AG19:AG215),"")))</f>
        <v>34</v>
      </c>
      <c r="AI19" s="14">
        <f>IF('Données projet'!$A$62&gt;35,AI18+AH19-AQ18,IF(A19&lt;'Données projet'!$A$62,$AF$205^A19,IF(A19='Données projet'!$A$62,'Données projet'!$B$62,AI18+AH19-AQ18)))</f>
        <v>363</v>
      </c>
      <c r="AJ19" s="14">
        <f>AI19*VLOOKUP('Données projet'!$B$10,Paramètres!$A$1:$I$89,3,0)*VLOOKUP('Données projet'!$B$10,Paramètres!$A$1:$I$89,5,0)</f>
        <v>184.60728000000003</v>
      </c>
      <c r="AK19" s="14">
        <f t="shared" si="35"/>
        <v>46.345708451873151</v>
      </c>
      <c r="AL19" s="22">
        <f t="shared" si="4"/>
        <v>402.24312155367915</v>
      </c>
      <c r="AM19" s="62">
        <f t="shared" si="5"/>
        <v>624.42680626181698</v>
      </c>
      <c r="AN19" s="62">
        <f ca="1">AVERAGE(OFFSET($AM$3,0,0,'Données projet'!$E$10+1,1))-AVERAGE(OFFSET($H$3,0,0,'Données projet'!$E$10+1,1))</f>
        <v>149.52545095126411</v>
      </c>
      <c r="AO19" s="62">
        <f t="shared" si="36"/>
        <v>457.9161829331029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55.262217041613354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5.6</v>
      </c>
      <c r="BD19" s="13">
        <f>IF('Données projet'!$A$88&gt;35,BD18+BC19-BL18,IF(A19&lt;'Données projet'!$A$88,$BA$205^A19,IF(A19='Données projet'!$A$88,'Données projet'!$B$88,BD18+BC19-BL18)))</f>
        <v>34.6</v>
      </c>
      <c r="BE19" s="14">
        <f>BD19*VLOOKUP('Données projet'!$B$11,Paramètres!$A$1:$I$89,3,0)*VLOOKUP('Données projet'!$B$11,Paramètres!$A$1:$I$89,5,0)</f>
        <v>35.084400000000002</v>
      </c>
      <c r="BF19" s="14">
        <f t="shared" si="37"/>
        <v>10.685991952838144</v>
      </c>
      <c r="BG19" s="22">
        <f t="shared" si="7"/>
        <v>79.716765984526432</v>
      </c>
      <c r="BH19" s="62">
        <f t="shared" si="8"/>
        <v>301.90045069266432</v>
      </c>
      <c r="BI19" s="62">
        <f ca="1">AVERAGE(OFFSET($BH$3,0,0,'Données projet'!$E$11+1,1))-AVERAGE(OFFSET($H$3,0,0,'Données projet'!$E$11+1,1))</f>
        <v>408.82357969905803</v>
      </c>
      <c r="BJ19" s="62">
        <f t="shared" si="38"/>
        <v>263.2013060831145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55.262217041613354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2.48</v>
      </c>
      <c r="BY19" s="13">
        <f>IF('Données projet'!$A$114&gt;35,BY18+BX19-CG18,IF(A19&lt;'Données projet'!$A$114,$BV$205^A19,IF(A19='Données projet'!$A$114,'Données projet'!$B$114,BY18+BX19-CG18)))</f>
        <v>14.032358814039554</v>
      </c>
      <c r="BZ19" s="14">
        <f>BY19*VLOOKUP('Données projet'!$B$12,Paramètres!$A$1:$I$89,3,0)*VLOOKUP('Données projet'!$B$12,Paramètres!$A$1:$I$89,5,0)</f>
        <v>13.353192647440039</v>
      </c>
      <c r="CA19" s="14">
        <f t="shared" si="39"/>
        <v>4.5511282305872971</v>
      </c>
      <c r="CB19" s="22">
        <f t="shared" si="10"/>
        <v>31.183358862564273</v>
      </c>
      <c r="CC19" s="62">
        <f t="shared" si="11"/>
        <v>253.36704357070212</v>
      </c>
      <c r="CD19" s="62">
        <f ca="1">AVERAGE(OFFSET($CC$3,0,0,'Données projet'!$E$12+1,1))-AVERAGE(OFFSET($H$3,0,0,'Données projet'!$E$12+1,1))</f>
        <v>451.95887041951761</v>
      </c>
      <c r="CE19" s="62">
        <f t="shared" si="40"/>
        <v>311.32964503257341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55.262217041613354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55.262217041613354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55.262217041613354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55.262217041613354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55.262217041613354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55.262217041613354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3.9000000000000004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2.4186239999999999</v>
      </c>
      <c r="D20" s="12">
        <f t="shared" si="32"/>
        <v>1.0057106891974978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16.241353721394805</v>
      </c>
      <c r="H20" s="70">
        <f t="shared" si="1"/>
        <v>205.4307162503523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55.517884627194746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18.447692307692307</v>
      </c>
      <c r="N20" s="14">
        <f>IF('Données projet'!$A$36&gt;35,N19+M20-V19,IF(A20&lt;'Données projet'!$A$36,$K$205^A20,IF(A20='Données projet'!$A$36,'Données projet'!$B$36,N19+M20-V19)))</f>
        <v>132.70461538461541</v>
      </c>
      <c r="O20" s="14">
        <f>N20*VLOOKUP('Données projet'!$B$9,Paramètres!$A$1:$I$89,3,0)*VLOOKUP('Données projet'!$B$9,Paramètres!$A$1:$I$89,5,0)</f>
        <v>79.357360000000028</v>
      </c>
      <c r="P20" s="14">
        <f t="shared" si="33"/>
        <v>21.979981626269119</v>
      </c>
      <c r="Q20" s="22">
        <f t="shared" si="2"/>
        <v>176.49586999908544</v>
      </c>
      <c r="R20" s="62">
        <f t="shared" si="0"/>
        <v>400.83922474324396</v>
      </c>
      <c r="S20" s="62">
        <f ca="1">AVERAGE(OFFSET($R$3,0,0,'Données projet'!$E$9+1,1))-AVERAGE(OFFSET($H$3,0,0,'Données projet'!$E$9+1,1))</f>
        <v>251.99201350544561</v>
      </c>
      <c r="T20" s="62">
        <f t="shared" si="34"/>
        <v>366.66533117979162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4.305195565019317</v>
      </c>
      <c r="AC20" s="24">
        <f t="shared" si="3"/>
        <v>4.305195565019317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55.517884627194746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397</v>
      </c>
      <c r="AG20" s="13">
        <f>VLOOKUP(A20,'Données projet'!$A$61:$I$81,9,0)</f>
        <v>34</v>
      </c>
      <c r="AH20" s="13">
        <f t="array" ref="AH20">INDEX(AG:AG,MIN(IF(ISNUMBER(AG20:AG216),ROW(AG20:AG216),"")))</f>
        <v>34</v>
      </c>
      <c r="AI20" s="14">
        <f>IF('Données projet'!$A$62&gt;35,AI19+AH20-AQ19,IF(A20&lt;'Données projet'!$A$62,$AF$205^A20,IF(A20='Données projet'!$A$62,'Données projet'!$B$62,AI19+AH20-AQ19)))</f>
        <v>397</v>
      </c>
      <c r="AJ20" s="14">
        <f>AI20*VLOOKUP('Données projet'!$B$10,Paramètres!$A$1:$I$89,3,0)*VLOOKUP('Données projet'!$B$10,Paramètres!$A$1:$I$89,5,0)</f>
        <v>201.89832000000001</v>
      </c>
      <c r="AK20" s="14">
        <f t="shared" si="35"/>
        <v>50.161131352706278</v>
      </c>
      <c r="AL20" s="22">
        <f t="shared" si="4"/>
        <v>439.00354443929672</v>
      </c>
      <c r="AM20" s="62">
        <f t="shared" si="5"/>
        <v>663.34689918345521</v>
      </c>
      <c r="AN20" s="62">
        <f ca="1">AVERAGE(OFFSET($AM$3,0,0,'Données projet'!$E$10+1,1))-AVERAGE(OFFSET($H$3,0,0,'Données projet'!$E$10+1,1))</f>
        <v>149.52545095126411</v>
      </c>
      <c r="AO20" s="62">
        <f t="shared" si="36"/>
        <v>457.9161829331029</v>
      </c>
      <c r="AP20" s="16">
        <f>IF(ISNA(VLOOKUP(A20,'Données projet'!$A$61:$I$81,3,0)),0,VLOOKUP(A20,'Données projet'!$A$61:$I$81,3,0))</f>
        <v>1</v>
      </c>
      <c r="AQ20" s="16">
        <f>IF(ISNA(VLOOKUP(A20,'Données projet'!$A$61:$I$81,4,0)),0,VLOOKUP(A20,'Données projet'!$A$61:$I$81,4,0))</f>
        <v>397</v>
      </c>
      <c r="AR20" s="17">
        <f>IF(ISNA(VLOOKUP(A20,'Données projet'!$A$61:$I$81,5,0)),0%,VLOOKUP(A20,'Données projet'!$A$61:$I$81,5,0)*VLOOKUP('Données projet'!$B$10,Paramètres!$A$1:$I$89,7,0))</f>
        <v>0.28199999999999997</v>
      </c>
      <c r="AS20" s="17">
        <f>IF(ISNA(VLOOKUP(A20,'Données projet'!$A$61:$I$81,6,0)),0%,VLOOKUP(A20,'Données projet'!$A$61:$I$81,6,0)*VLOOKUP('Données projet'!$B$10,Paramètres!$A$1:$I$89,7,0))</f>
        <v>0.126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62.940316707365135</v>
      </c>
      <c r="AV20" s="23">
        <f>EXP(-LN(2)/25)*AV19+(1-EXP(-LN(2)/25))/(LN(2)/25)*Calculateur!AQ20*Calculateur!AS20*VLOOKUP('Données projet'!$B$10,Paramètres!$A$1:$I$89,3,0)*0.475*44/12</f>
        <v>28.011541077985015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90.951857785350143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55.517884627194746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5.6</v>
      </c>
      <c r="BD20" s="13">
        <f>IF('Données projet'!$A$88&gt;35,BD19+BC20-BL19,IF(A20&lt;'Données projet'!$A$88,$BA$205^A20,IF(A20='Données projet'!$A$88,'Données projet'!$B$88,BD19+BC20-BL19)))</f>
        <v>40.200000000000003</v>
      </c>
      <c r="BE20" s="14">
        <f>BD20*VLOOKUP('Données projet'!$B$11,Paramètres!$A$1:$I$89,3,0)*VLOOKUP('Données projet'!$B$11,Paramètres!$A$1:$I$89,5,0)</f>
        <v>40.762800000000006</v>
      </c>
      <c r="BF20" s="14">
        <f t="shared" si="37"/>
        <v>12.200604312714995</v>
      </c>
      <c r="BG20" s="22">
        <f t="shared" si="7"/>
        <v>92.244595844645289</v>
      </c>
      <c r="BH20" s="62">
        <f t="shared" si="8"/>
        <v>316.58795058880378</v>
      </c>
      <c r="BI20" s="62">
        <f ca="1">AVERAGE(OFFSET($BH$3,0,0,'Données projet'!$E$11+1,1))-AVERAGE(OFFSET($H$3,0,0,'Données projet'!$E$11+1,1))</f>
        <v>408.82357969905803</v>
      </c>
      <c r="BJ20" s="62">
        <f t="shared" si="38"/>
        <v>263.2013060831145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55.517884627194746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2.48</v>
      </c>
      <c r="BY20" s="13">
        <f>IF('Données projet'!$A$114&gt;35,BY19+BX20-CG19,IF(A20&lt;'Données projet'!$A$114,$BV$205^A20,IF(A20='Données projet'!$A$114,'Données projet'!$B$114,BY19+BX20-CG19)))</f>
        <v>16.551080419390111</v>
      </c>
      <c r="BZ20" s="14">
        <f>BY20*VLOOKUP('Données projet'!$B$12,Paramètres!$A$1:$I$89,3,0)*VLOOKUP('Données projet'!$B$12,Paramètres!$A$1:$I$89,5,0)</f>
        <v>15.750008127091631</v>
      </c>
      <c r="CA20" s="14">
        <f t="shared" si="39"/>
        <v>5.265860672027439</v>
      </c>
      <c r="CB20" s="22">
        <f t="shared" si="10"/>
        <v>36.602638158465716</v>
      </c>
      <c r="CC20" s="62">
        <f t="shared" si="11"/>
        <v>260.94599290262425</v>
      </c>
      <c r="CD20" s="62">
        <f ca="1">AVERAGE(OFFSET($CC$3,0,0,'Données projet'!$E$12+1,1))-AVERAGE(OFFSET($H$3,0,0,'Données projet'!$E$12+1,1))</f>
        <v>451.95887041951761</v>
      </c>
      <c r="CE20" s="62">
        <f t="shared" si="40"/>
        <v>311.32964503257341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55.517884627194746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55.517884627194746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55.517884627194746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55.517884627194746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55.517884627194746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55.517884627194746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3.9000000000000004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2.5608960000000001</v>
      </c>
      <c r="D21" s="12">
        <f t="shared" si="32"/>
        <v>1.0578088219252997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16.481417885325282</v>
      </c>
      <c r="H21" s="70">
        <f t="shared" si="1"/>
        <v>205.76924423151991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55.769116951753389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18.447692307692307</v>
      </c>
      <c r="N21" s="14">
        <f>IF('Données projet'!$A$36&gt;35,N20+M21-V20,IF(A21&lt;'Données projet'!$A$36,$K$205^A21,IF(A21='Données projet'!$A$36,'Données projet'!$B$36,N20+M21-V20)))</f>
        <v>151.15230769230772</v>
      </c>
      <c r="O21" s="14">
        <f>N21*VLOOKUP('Données projet'!$B$9,Paramètres!$A$1:$I$89,3,0)*VLOOKUP('Données projet'!$B$9,Paramètres!$A$1:$I$89,5,0)</f>
        <v>90.389080000000021</v>
      </c>
      <c r="P21" s="14">
        <f t="shared" si="33"/>
        <v>24.659038148983246</v>
      </c>
      <c r="Q21" s="22">
        <f t="shared" si="2"/>
        <v>200.37547244281248</v>
      </c>
      <c r="R21" s="62">
        <f t="shared" si="0"/>
        <v>426.86223459924156</v>
      </c>
      <c r="S21" s="62">
        <f ca="1">AVERAGE(OFFSET($R$3,0,0,'Données projet'!$E$9+1,1))-AVERAGE(OFFSET($H$3,0,0,'Données projet'!$E$9+1,1))</f>
        <v>251.99201350544561</v>
      </c>
      <c r="T21" s="62">
        <f t="shared" si="34"/>
        <v>366.66533117979162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3.0442329783594091</v>
      </c>
      <c r="AC21" s="24">
        <f t="shared" si="3"/>
        <v>3.0442329783594091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55.769116951753389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149.52545095126411</v>
      </c>
      <c r="AO21" s="62">
        <f t="shared" si="36"/>
        <v>457.9161829331029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61.706095486536221</v>
      </c>
      <c r="AV21" s="23">
        <f>EXP(-LN(2)/25)*AV20+(1-EXP(-LN(2)/25))/(LN(2)/25)*Calculateur!AQ21*Calculateur!AS21*VLOOKUP('Données projet'!$B$10,Paramètres!$A$1:$I$89,3,0)*0.475*44/12</f>
        <v>27.245564014144591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88.951659500680819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55.769116951753389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5.6</v>
      </c>
      <c r="BD21" s="13">
        <f>IF('Données projet'!$A$88&gt;35,BD20+BC21-BL20,IF(A21&lt;'Données projet'!$A$88,$BA$205^A21,IF(A21='Données projet'!$A$88,'Données projet'!$B$88,BD20+BC21-BL20)))</f>
        <v>45.800000000000004</v>
      </c>
      <c r="BE21" s="14">
        <f>BD21*VLOOKUP('Données projet'!$B$11,Paramètres!$A$1:$I$89,3,0)*VLOOKUP('Données projet'!$B$11,Paramètres!$A$1:$I$89,5,0)</f>
        <v>46.441200000000009</v>
      </c>
      <c r="BF21" s="14">
        <f t="shared" si="37"/>
        <v>13.690772009364476</v>
      </c>
      <c r="BG21" s="22">
        <f t="shared" si="7"/>
        <v>104.72985124964315</v>
      </c>
      <c r="BH21" s="62">
        <f t="shared" si="8"/>
        <v>331.21661340607227</v>
      </c>
      <c r="BI21" s="62">
        <f ca="1">AVERAGE(OFFSET($BH$3,0,0,'Données projet'!$E$11+1,1))-AVERAGE(OFFSET($H$3,0,0,'Données projet'!$E$11+1,1))</f>
        <v>408.82357969905803</v>
      </c>
      <c r="BJ21" s="62">
        <f t="shared" si="38"/>
        <v>263.2013060831145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55.769116951753389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2.48</v>
      </c>
      <c r="BY21" s="13">
        <f>IF('Données projet'!$A$114&gt;35,BY20+BX21-CG20,IF(A21&lt;'Données projet'!$A$114,$BV$205^A21,IF(A21='Données projet'!$A$114,'Données projet'!$B$114,BY20+BX21-CG20)))</f>
        <v>19.521896972520398</v>
      </c>
      <c r="BZ21" s="14">
        <f>BY21*VLOOKUP('Données projet'!$B$12,Paramètres!$A$1:$I$89,3,0)*VLOOKUP('Données projet'!$B$12,Paramètres!$A$1:$I$89,5,0)</f>
        <v>18.577037159050413</v>
      </c>
      <c r="CA21" s="14">
        <f t="shared" si="39"/>
        <v>6.0928383495858922</v>
      </c>
      <c r="CB21" s="22">
        <f t="shared" si="10"/>
        <v>42.966699844208229</v>
      </c>
      <c r="CC21" s="62">
        <f t="shared" si="11"/>
        <v>269.45346200063733</v>
      </c>
      <c r="CD21" s="62">
        <f ca="1">AVERAGE(OFFSET($CC$3,0,0,'Données projet'!$E$12+1,1))-AVERAGE(OFFSET($H$3,0,0,'Données projet'!$E$12+1,1))</f>
        <v>451.95887041951761</v>
      </c>
      <c r="CE21" s="62">
        <f t="shared" si="40"/>
        <v>311.32964503257341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55.769116951753389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55.769116951753389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55.769116951753389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55.769116951753389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55.769116951753389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55.769116951753389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3.9000000000000004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2.7031680000000002</v>
      </c>
      <c r="D22" s="12">
        <f t="shared" si="32"/>
        <v>1.109570957921739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16.721067063819131</v>
      </c>
      <c r="H22" s="70">
        <f t="shared" si="1"/>
        <v>206.10718701838036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56.015990957152283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169.6</v>
      </c>
      <c r="L22" s="13">
        <f>VLOOKUP(A22,'Données projet'!$A$35:$I$55,9,0)</f>
        <v>18.447692307692307</v>
      </c>
      <c r="M22" s="13">
        <f t="array" ref="M22">INDEX(L:L,MIN(IF(ISNUMBER(L22:L218),ROW(L22:L218),"")))</f>
        <v>18.447692307692307</v>
      </c>
      <c r="N22" s="14">
        <f>IF('Données projet'!$A$36&gt;35,N21+M22-V21,IF(A22&lt;'Données projet'!$A$36,$K$205^A22,IF(A22='Données projet'!$A$36,'Données projet'!$B$36,N21+M22-V21)))</f>
        <v>169.60000000000002</v>
      </c>
      <c r="O22" s="14">
        <f>N22*VLOOKUP('Données projet'!$B$9,Paramètres!$A$1:$I$89,3,0)*VLOOKUP('Données projet'!$B$9,Paramètres!$A$1:$I$89,5,0)</f>
        <v>101.42080000000003</v>
      </c>
      <c r="P22" s="14">
        <f t="shared" si="33"/>
        <v>27.300205128881199</v>
      </c>
      <c r="Q22" s="22">
        <f t="shared" si="2"/>
        <v>224.18908393280142</v>
      </c>
      <c r="R22" s="62">
        <f t="shared" si="0"/>
        <v>452.80327299791531</v>
      </c>
      <c r="S22" s="62">
        <f ca="1">AVERAGE(OFFSET($R$3,0,0,'Données projet'!$E$9+1,1))-AVERAGE(OFFSET($H$3,0,0,'Données projet'!$E$9+1,1))</f>
        <v>251.99201350544561</v>
      </c>
      <c r="T22" s="62">
        <f t="shared" si="34"/>
        <v>366.66533117979162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54.907692307692301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9.0000000000000011E-2</v>
      </c>
      <c r="Y22" s="17">
        <f>IF(ISNA(VLOOKUP(A22,'Données projet'!$A$35:$I$55,7,0)),0%,VLOOKUP(A22,'Données projet'!$A$35:$I$55,7,0))</f>
        <v>0.5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3.904737857243143</v>
      </c>
      <c r="AB22" s="23">
        <f>EXP(-LN(2)/2)*AB21+(1-EXP(-LN(2)/2))/(LN(2)/2)*V22*Y22*VLOOKUP('Données projet'!$B$9,Paramètres!$A$1:$I$89,3,0)*0.475*44/12</f>
        <v>20.740908303920659</v>
      </c>
      <c r="AC22" s="24">
        <f t="shared" si="3"/>
        <v>24.645646161163803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56.015990957152283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149.52545095126411</v>
      </c>
      <c r="AO22" s="62">
        <f t="shared" si="36"/>
        <v>457.9161829331029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60.496076591047149</v>
      </c>
      <c r="AV22" s="23">
        <f>EXP(-LN(2)/25)*AV21+(1-EXP(-LN(2)/25))/(LN(2)/25)*Calculateur!AQ22*Calculateur!AS22*VLOOKUP('Données projet'!$B$10,Paramètres!$A$1:$I$89,3,0)*0.475*44/12</f>
        <v>26.500532633395867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86.99660922444302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56.015990957152283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5.6</v>
      </c>
      <c r="BD22" s="13">
        <f>IF('Données projet'!$A$88&gt;35,BD21+BC22-BL21,IF(A22&lt;'Données projet'!$A$88,$BA$205^A22,IF(A22='Données projet'!$A$88,'Données projet'!$B$88,BD21+BC22-BL21)))</f>
        <v>51.400000000000006</v>
      </c>
      <c r="BE22" s="14">
        <f>BD22*VLOOKUP('Données projet'!$B$11,Paramètres!$A$1:$I$89,3,0)*VLOOKUP('Données projet'!$B$11,Paramètres!$A$1:$I$89,5,0)</f>
        <v>52.119600000000005</v>
      </c>
      <c r="BF22" s="14">
        <f t="shared" si="37"/>
        <v>15.159825903252534</v>
      </c>
      <c r="BG22" s="22">
        <f t="shared" si="7"/>
        <v>117.17833344816485</v>
      </c>
      <c r="BH22" s="62">
        <f t="shared" si="8"/>
        <v>345.79252251327875</v>
      </c>
      <c r="BI22" s="62">
        <f ca="1">AVERAGE(OFFSET($BH$3,0,0,'Données projet'!$E$11+1,1))-AVERAGE(OFFSET($H$3,0,0,'Données projet'!$E$11+1,1))</f>
        <v>408.82357969905803</v>
      </c>
      <c r="BJ22" s="62">
        <f t="shared" si="38"/>
        <v>263.2013060831145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56.015990957152283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2.48</v>
      </c>
      <c r="BY22" s="13">
        <f>IF('Données projet'!$A$114&gt;35,BY21+BX22-CG21,IF(A22&lt;'Données projet'!$A$114,$BV$205^A22,IF(A22='Données projet'!$A$114,'Données projet'!$B$114,BY21+BX22-CG21)))</f>
        <v>23.025956719974928</v>
      </c>
      <c r="BZ22" s="14">
        <f>BY22*VLOOKUP('Données projet'!$B$12,Paramètres!$A$1:$I$89,3,0)*VLOOKUP('Données projet'!$B$12,Paramètres!$A$1:$I$89,5,0)</f>
        <v>21.911500414728142</v>
      </c>
      <c r="CA22" s="14">
        <f t="shared" si="39"/>
        <v>7.0496888289092752</v>
      </c>
      <c r="CB22" s="22">
        <f t="shared" si="10"/>
        <v>50.440737932668497</v>
      </c>
      <c r="CC22" s="62">
        <f t="shared" si="11"/>
        <v>279.05492699778245</v>
      </c>
      <c r="CD22" s="62">
        <f ca="1">AVERAGE(OFFSET($CC$3,0,0,'Données projet'!$E$12+1,1))-AVERAGE(OFFSET($H$3,0,0,'Données projet'!$E$12+1,1))</f>
        <v>451.95887041951761</v>
      </c>
      <c r="CE22" s="62">
        <f t="shared" si="40"/>
        <v>311.32964503257341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56.015990957152283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56.015990957152283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56.015990957152283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56.015990957152283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56.015990957152283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56.015990957152283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3.9000000000000004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2.8454400000000004</v>
      </c>
      <c r="D23" s="12">
        <f t="shared" si="32"/>
        <v>1.1610167979509745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16.960325589048221</v>
      </c>
      <c r="H23" s="70">
        <f t="shared" si="1"/>
        <v>206.44457892309794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56.258582250485091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17.520512820512817</v>
      </c>
      <c r="N23" s="14">
        <f>IF('Données projet'!$A$36&gt;35,N22+M23-V22,IF(A23&lt;'Données projet'!$A$36,$K$205^A23,IF(A23='Données projet'!$A$36,'Données projet'!$B$36,N22+M23-V22)))</f>
        <v>132.21282051282054</v>
      </c>
      <c r="O23" s="14">
        <f>N23*VLOOKUP('Données projet'!$B$9,Paramètres!$A$1:$I$89,3,0)*VLOOKUP('Données projet'!$B$9,Paramètres!$A$1:$I$89,5,0)</f>
        <v>79.063266666666692</v>
      </c>
      <c r="P23" s="14">
        <f t="shared" si="33"/>
        <v>21.907991192432455</v>
      </c>
      <c r="Q23" s="22">
        <f t="shared" si="2"/>
        <v>175.85827410459771</v>
      </c>
      <c r="R23" s="62">
        <f t="shared" si="0"/>
        <v>406.58418680082082</v>
      </c>
      <c r="S23" s="62">
        <f ca="1">AVERAGE(OFFSET($R$3,0,0,'Données projet'!$E$9+1,1))-AVERAGE(OFFSET($H$3,0,0,'Données projet'!$E$9+1,1))</f>
        <v>251.99201350544561</v>
      </c>
      <c r="T23" s="62">
        <f t="shared" si="34"/>
        <v>366.66533117979162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3.7979625951955898</v>
      </c>
      <c r="AB23" s="23">
        <f>EXP(-LN(2)/2)*AB22+(1-EXP(-LN(2)/2))/(LN(2)/2)*V23*Y23*VLOOKUP('Données projet'!$B$9,Paramètres!$A$1:$I$89,3,0)*0.475*44/12</f>
        <v>14.666036909670673</v>
      </c>
      <c r="AC23" s="24">
        <f t="shared" si="3"/>
        <v>18.463999504866262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56.258582250485091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149.52545095126411</v>
      </c>
      <c r="AO23" s="62">
        <f t="shared" si="36"/>
        <v>457.9161829331029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59.309785428059968</v>
      </c>
      <c r="AV23" s="23">
        <f>EXP(-LN(2)/25)*AV22+(1-EXP(-LN(2)/25))/(LN(2)/25)*Calculateur!AQ23*Calculateur!AS23*VLOOKUP('Données projet'!$B$10,Paramètres!$A$1:$I$89,3,0)*0.475*44/12</f>
        <v>25.775874174933215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85.085659602993189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56.258582250485091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57</v>
      </c>
      <c r="BB23" s="13">
        <f>VLOOKUP(A23,'Données projet'!$A$87:$I$107,9,0)</f>
        <v>5.6</v>
      </c>
      <c r="BC23" s="13">
        <f t="array" ref="BC23">INDEX(BB:BB,MIN(IF(ISNUMBER(BB23:BB219),ROW(BB23:BB219),"")))</f>
        <v>5.6</v>
      </c>
      <c r="BD23" s="13">
        <f>IF('Données projet'!$A$88&gt;35,BD22+BC23-BL22,IF(A23&lt;'Données projet'!$A$88,$BA$205^A23,IF(A23='Données projet'!$A$88,'Données projet'!$B$88,BD22+BC23-BL22)))</f>
        <v>57.000000000000007</v>
      </c>
      <c r="BE23" s="14">
        <f>BD23*VLOOKUP('Données projet'!$B$11,Paramètres!$A$1:$I$89,3,0)*VLOOKUP('Données projet'!$B$11,Paramètres!$A$1:$I$89,5,0)</f>
        <v>57.798000000000009</v>
      </c>
      <c r="BF23" s="14">
        <f t="shared" si="37"/>
        <v>16.610328609522991</v>
      </c>
      <c r="BG23" s="22">
        <f t="shared" si="7"/>
        <v>129.59450566158588</v>
      </c>
      <c r="BH23" s="62">
        <f t="shared" si="8"/>
        <v>360.32041835780899</v>
      </c>
      <c r="BI23" s="62">
        <f ca="1">AVERAGE(OFFSET($BH$3,0,0,'Données projet'!$E$11+1,1))-AVERAGE(OFFSET($H$3,0,0,'Données projet'!$E$11+1,1))</f>
        <v>408.82357969905803</v>
      </c>
      <c r="BJ23" s="62">
        <f t="shared" si="38"/>
        <v>263.2013060831145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11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56.258582250485091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2.48</v>
      </c>
      <c r="BY23" s="13">
        <f>IF('Données projet'!$A$114&gt;35,BY22+BX23-CG22,IF(A23&lt;'Données projet'!$A$114,$BV$205^A23,IF(A23='Données projet'!$A$114,'Données projet'!$B$114,BY22+BX23-CG22)))</f>
        <v>27.158973516583774</v>
      </c>
      <c r="BZ23" s="14">
        <f>BY23*VLOOKUP('Données projet'!$B$12,Paramètres!$A$1:$I$89,3,0)*VLOOKUP('Données projet'!$B$12,Paramètres!$A$1:$I$89,5,0)</f>
        <v>25.844479198381119</v>
      </c>
      <c r="CA23" s="14">
        <f t="shared" si="39"/>
        <v>8.1568079986605984</v>
      </c>
      <c r="CB23" s="22">
        <f t="shared" si="10"/>
        <v>59.218908534847664</v>
      </c>
      <c r="CC23" s="62">
        <f t="shared" si="11"/>
        <v>289.94482123107076</v>
      </c>
      <c r="CD23" s="62">
        <f ca="1">AVERAGE(OFFSET($CC$3,0,0,'Données projet'!$E$12+1,1))-AVERAGE(OFFSET($H$3,0,0,'Données projet'!$E$12+1,1))</f>
        <v>451.95887041951761</v>
      </c>
      <c r="CE23" s="62">
        <f t="shared" si="40"/>
        <v>311.32964503257341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56.258582250485091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56.258582250485091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56.258582250485091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56.258582250485091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56.258582250485091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56.258582250485091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3.9000000000000004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2.9877120000000006</v>
      </c>
      <c r="D24" s="12">
        <f t="shared" si="32"/>
        <v>1.2121639614121278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17.199215222516035</v>
      </c>
      <c r="H24" s="70">
        <f t="shared" si="1"/>
        <v>206.7814506327928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56.496965127231455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17.520512820512817</v>
      </c>
      <c r="N24" s="14">
        <f>IF('Données projet'!$A$36&gt;35,N23+M24-V23,IF(A24&lt;'Données projet'!$A$36,$K$205^A24,IF(A24='Données projet'!$A$36,'Données projet'!$B$36,N23+M24-V23)))</f>
        <v>149.73333333333335</v>
      </c>
      <c r="O24" s="14">
        <f>N24*VLOOKUP('Données projet'!$B$9,Paramètres!$A$1:$I$89,3,0)*VLOOKUP('Données projet'!$B$9,Paramètres!$A$1:$I$89,5,0)</f>
        <v>89.540533333333343</v>
      </c>
      <c r="P24" s="14">
        <f t="shared" si="33"/>
        <v>24.454379710376543</v>
      </c>
      <c r="Q24" s="22">
        <f t="shared" si="2"/>
        <v>198.54114021779469</v>
      </c>
      <c r="R24" s="62">
        <f t="shared" si="0"/>
        <v>431.36334568431005</v>
      </c>
      <c r="S24" s="62">
        <f ca="1">AVERAGE(OFFSET($R$3,0,0,'Données projet'!$E$9+1,1))-AVERAGE(OFFSET($H$3,0,0,'Données projet'!$E$9+1,1))</f>
        <v>251.99201350544561</v>
      </c>
      <c r="T24" s="62">
        <f t="shared" si="34"/>
        <v>366.66533117979162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3.6941071083037937</v>
      </c>
      <c r="AB24" s="23">
        <f>EXP(-LN(2)/2)*AB23+(1-EXP(-LN(2)/2))/(LN(2)/2)*V24*Y24*VLOOKUP('Données projet'!$B$9,Paramètres!$A$1:$I$89,3,0)*0.475*44/12</f>
        <v>10.370454151960331</v>
      </c>
      <c r="AC24" s="24">
        <f t="shared" si="3"/>
        <v>14.064561260264124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56.496965127231455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149.52545095126411</v>
      </c>
      <c r="AO24" s="62">
        <f t="shared" si="36"/>
        <v>457.9161829331029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58.146756711212802</v>
      </c>
      <c r="AV24" s="23">
        <f>EXP(-LN(2)/25)*AV23+(1-EXP(-LN(2)/25))/(LN(2)/25)*Calculateur!AQ24*Calculateur!AS24*VLOOKUP('Données projet'!$B$10,Paramètres!$A$1:$I$89,3,0)*0.475*44/12</f>
        <v>25.071031540125354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83.217788251338163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56.496965127231455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6.6</v>
      </c>
      <c r="BD24" s="13">
        <f>IF('Données projet'!$A$88&gt;35,BD23+BC24-BL23,IF(A24&lt;'Données projet'!$A$88,$BA$205^A24,IF(A24='Données projet'!$A$88,'Données projet'!$B$88,BD23+BC24-BL23)))</f>
        <v>52.600000000000009</v>
      </c>
      <c r="BE24" s="14">
        <f>BD24*VLOOKUP('Données projet'!$B$11,Paramètres!$A$1:$I$89,3,0)*VLOOKUP('Données projet'!$B$11,Paramètres!$A$1:$I$89,5,0)</f>
        <v>53.336400000000012</v>
      </c>
      <c r="BF24" s="14">
        <f t="shared" si="37"/>
        <v>15.472133550267937</v>
      </c>
      <c r="BG24" s="22">
        <f t="shared" si="7"/>
        <v>119.84152926671668</v>
      </c>
      <c r="BH24" s="62">
        <f t="shared" si="8"/>
        <v>352.66373473323199</v>
      </c>
      <c r="BI24" s="62">
        <f ca="1">AVERAGE(OFFSET($BH$3,0,0,'Données projet'!$E$11+1,1))-AVERAGE(OFFSET($H$3,0,0,'Données projet'!$E$11+1,1))</f>
        <v>408.82357969905803</v>
      </c>
      <c r="BJ24" s="62">
        <f t="shared" si="38"/>
        <v>263.2013060831145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56.496965127231455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2.48</v>
      </c>
      <c r="BY24" s="13">
        <f>IF('Données projet'!$A$114&gt;35,BY23+BX24-CG23,IF(A24&lt;'Données projet'!$A$114,$BV$205^A24,IF(A24='Données projet'!$A$114,'Données projet'!$B$114,BY23+BX24-CG23)))</f>
        <v>32.033841262049499</v>
      </c>
      <c r="BZ24" s="14">
        <f>BY24*VLOOKUP('Données projet'!$B$12,Paramètres!$A$1:$I$89,3,0)*VLOOKUP('Données projet'!$B$12,Paramètres!$A$1:$I$89,5,0)</f>
        <v>30.483403344966305</v>
      </c>
      <c r="CA24" s="14">
        <f t="shared" si="39"/>
        <v>9.4377948221166417</v>
      </c>
      <c r="CB24" s="22">
        <f t="shared" si="10"/>
        <v>69.529420141002802</v>
      </c>
      <c r="CC24" s="62">
        <f t="shared" si="11"/>
        <v>302.35162560751814</v>
      </c>
      <c r="CD24" s="62">
        <f ca="1">AVERAGE(OFFSET($CC$3,0,0,'Données projet'!$E$12+1,1))-AVERAGE(OFFSET($H$3,0,0,'Données projet'!$E$12+1,1))</f>
        <v>451.95887041951761</v>
      </c>
      <c r="CE24" s="62">
        <f t="shared" si="40"/>
        <v>311.32964503257341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56.496965127231455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56.496965127231455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56.496965127231455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56.496965127231455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56.496965127231455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56.496965127231455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3.9000000000000004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3.1299840000000008</v>
      </c>
      <c r="D25" s="12">
        <f t="shared" si="32"/>
        <v>1.2630282948477116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17.437755536092613</v>
      </c>
      <c r="H25" s="70">
        <f t="shared" si="1"/>
        <v>207.11782974685977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56.731212594010543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17.520512820512817</v>
      </c>
      <c r="N25" s="14">
        <f>IF('Données projet'!$A$36&gt;35,N24+M25-V24,IF(A25&lt;'Données projet'!$A$36,$K$205^A25,IF(A25='Données projet'!$A$36,'Données projet'!$B$36,N24+M25-V24)))</f>
        <v>167.25384615384615</v>
      </c>
      <c r="O25" s="14">
        <f>N25*VLOOKUP('Données projet'!$B$9,Paramètres!$A$1:$I$89,3,0)*VLOOKUP('Données projet'!$B$9,Paramètres!$A$1:$I$89,5,0)</f>
        <v>100.01780000000001</v>
      </c>
      <c r="P25" s="14">
        <f t="shared" si="33"/>
        <v>26.966238108966941</v>
      </c>
      <c r="Q25" s="22">
        <f t="shared" si="2"/>
        <v>221.16386637311743</v>
      </c>
      <c r="R25" s="62">
        <f t="shared" si="0"/>
        <v>456.06720144004498</v>
      </c>
      <c r="S25" s="62">
        <f ca="1">AVERAGE(OFFSET($R$3,0,0,'Données projet'!$E$9+1,1))-AVERAGE(OFFSET($H$3,0,0,'Données projet'!$E$9+1,1))</f>
        <v>251.99201350544561</v>
      </c>
      <c r="T25" s="62">
        <f t="shared" si="34"/>
        <v>366.66533117979162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3.5930915551625766</v>
      </c>
      <c r="AB25" s="23">
        <f>EXP(-LN(2)/2)*AB24+(1-EXP(-LN(2)/2))/(LN(2)/2)*V25*Y25*VLOOKUP('Données projet'!$B$9,Paramètres!$A$1:$I$89,3,0)*0.475*44/12</f>
        <v>7.3330184548353374</v>
      </c>
      <c r="AC25" s="24">
        <f t="shared" si="3"/>
        <v>10.926110009997913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56.731212594010543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149.52545095126411</v>
      </c>
      <c r="AO25" s="62">
        <f t="shared" si="36"/>
        <v>457.9161829331029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57.006534278125535</v>
      </c>
      <c r="AV25" s="23">
        <f>EXP(-LN(2)/25)*AV24+(1-EXP(-LN(2)/25))/(LN(2)/25)*Calculateur!AQ25*Calculateur!AS25*VLOOKUP('Données projet'!$B$10,Paramètres!$A$1:$I$89,3,0)*0.475*44/12</f>
        <v>24.385462864232377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81.391997142357909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56.731212594010543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6.6</v>
      </c>
      <c r="BD25" s="13">
        <f>IF('Données projet'!$A$88&gt;35,BD24+BC25-BL24,IF(A25&lt;'Données projet'!$A$88,$BA$205^A25,IF(A25='Données projet'!$A$88,'Données projet'!$B$88,BD24+BC25-BL24)))</f>
        <v>59.20000000000001</v>
      </c>
      <c r="BE25" s="14">
        <f>BD25*VLOOKUP('Données projet'!$B$11,Paramètres!$A$1:$I$89,3,0)*VLOOKUP('Données projet'!$B$11,Paramètres!$A$1:$I$89,5,0)</f>
        <v>60.028800000000018</v>
      </c>
      <c r="BF25" s="14">
        <f t="shared" si="37"/>
        <v>17.175550352716172</v>
      </c>
      <c r="BG25" s="22">
        <f t="shared" si="7"/>
        <v>134.46424353098067</v>
      </c>
      <c r="BH25" s="62">
        <f t="shared" si="8"/>
        <v>369.36757859790816</v>
      </c>
      <c r="BI25" s="62">
        <f ca="1">AVERAGE(OFFSET($BH$3,0,0,'Données projet'!$E$11+1,1))-AVERAGE(OFFSET($H$3,0,0,'Données projet'!$E$11+1,1))</f>
        <v>408.82357969905803</v>
      </c>
      <c r="BJ25" s="62">
        <f t="shared" si="38"/>
        <v>263.2013060831145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56.731212594010543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2.48</v>
      </c>
      <c r="BY25" s="13">
        <f>IF('Données projet'!$A$114&gt;35,BY24+BX25-CG24,IF(A25&lt;'Données projet'!$A$114,$BV$205^A25,IF(A25='Données projet'!$A$114,'Données projet'!$B$114,BY24+BX25-CG24)))</f>
        <v>37.783717612728942</v>
      </c>
      <c r="BZ25" s="14">
        <f>BY25*VLOOKUP('Données projet'!$B$12,Paramètres!$A$1:$I$89,3,0)*VLOOKUP('Données projet'!$B$12,Paramètres!$A$1:$I$89,5,0)</f>
        <v>35.954985680272863</v>
      </c>
      <c r="CA25" s="14">
        <f t="shared" si="39"/>
        <v>10.919954364378558</v>
      </c>
      <c r="CB25" s="22">
        <f t="shared" si="10"/>
        <v>81.640520577767887</v>
      </c>
      <c r="CC25" s="62">
        <f t="shared" si="11"/>
        <v>316.54385564469544</v>
      </c>
      <c r="CD25" s="62">
        <f ca="1">AVERAGE(OFFSET($CC$3,0,0,'Données projet'!$E$12+1,1))-AVERAGE(OFFSET($H$3,0,0,'Données projet'!$E$12+1,1))</f>
        <v>451.95887041951761</v>
      </c>
      <c r="CE25" s="62">
        <f t="shared" si="40"/>
        <v>311.32964503257341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56.731212594010543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56.731212594010543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56.731212594010543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56.731212594010543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56.731212594010543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56.731212594010543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3.9000000000000004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3.2722560000000009</v>
      </c>
      <c r="D26" s="12">
        <f t="shared" si="32"/>
        <v>1.3136241227740117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17.675964221812116</v>
      </c>
      <c r="H26" s="70">
        <f t="shared" si="1"/>
        <v>207.45374121383142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56.961396390939896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17.520512820512817</v>
      </c>
      <c r="N26" s="14">
        <f>IF('Données projet'!$A$36&gt;35,N25+M26-V25,IF(A26&lt;'Données projet'!$A$36,$K$205^A26,IF(A26='Données projet'!$A$36,'Données projet'!$B$36,N25+M26-V25)))</f>
        <v>184.77435897435896</v>
      </c>
      <c r="O26" s="14">
        <f>N26*VLOOKUP('Données projet'!$B$9,Paramètres!$A$1:$I$89,3,0)*VLOOKUP('Données projet'!$B$9,Paramètres!$A$1:$I$89,5,0)</f>
        <v>110.49506666666666</v>
      </c>
      <c r="P26" s="14">
        <f t="shared" si="33"/>
        <v>29.447595639110826</v>
      </c>
      <c r="Q26" s="22">
        <f t="shared" si="2"/>
        <v>243.73347018256243</v>
      </c>
      <c r="R26" s="62">
        <f t="shared" si="0"/>
        <v>480.70303472711987</v>
      </c>
      <c r="S26" s="62">
        <f ca="1">AVERAGE(OFFSET($R$3,0,0,'Données projet'!$E$9+1,1))-AVERAGE(OFFSET($H$3,0,0,'Données projet'!$E$9+1,1))</f>
        <v>251.99201350544561</v>
      </c>
      <c r="T26" s="62">
        <f t="shared" si="34"/>
        <v>366.66533117979162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3.4948382776341833</v>
      </c>
      <c r="AB26" s="23">
        <f>EXP(-LN(2)/2)*AB25+(1-EXP(-LN(2)/2))/(LN(2)/2)*V26*Y26*VLOOKUP('Données projet'!$B$9,Paramètres!$A$1:$I$89,3,0)*0.475*44/12</f>
        <v>5.1852270759801664</v>
      </c>
      <c r="AC26" s="24">
        <f t="shared" si="3"/>
        <v>8.6800653536143493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56.961396390939896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149.52545095126411</v>
      </c>
      <c r="AO26" s="62">
        <f t="shared" si="36"/>
        <v>457.9161829331029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55.888670911484098</v>
      </c>
      <c r="AV26" s="23">
        <f>EXP(-LN(2)/25)*AV25+(1-EXP(-LN(2)/25))/(LN(2)/25)*Calculateur!AQ26*Calculateur!AS26*VLOOKUP('Données projet'!$B$10,Paramètres!$A$1:$I$89,3,0)*0.475*44/12</f>
        <v>23.718641099834183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79.607312011318285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56.961396390939896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6.6</v>
      </c>
      <c r="BD26" s="13">
        <f>IF('Données projet'!$A$88&gt;35,BD25+BC26-BL25,IF(A26&lt;'Données projet'!$A$88,$BA$205^A26,IF(A26='Données projet'!$A$88,'Données projet'!$B$88,BD25+BC26-BL25)))</f>
        <v>65.800000000000011</v>
      </c>
      <c r="BE26" s="14">
        <f>BD26*VLOOKUP('Données projet'!$B$11,Paramètres!$A$1:$I$89,3,0)*VLOOKUP('Données projet'!$B$11,Paramètres!$A$1:$I$89,5,0)</f>
        <v>66.721200000000024</v>
      </c>
      <c r="BF26" s="14">
        <f t="shared" si="37"/>
        <v>18.856956599005919</v>
      </c>
      <c r="BG26" s="22">
        <f t="shared" si="7"/>
        <v>149.04862274326868</v>
      </c>
      <c r="BH26" s="62">
        <f t="shared" si="8"/>
        <v>386.01818728782609</v>
      </c>
      <c r="BI26" s="62">
        <f ca="1">AVERAGE(OFFSET($BH$3,0,0,'Données projet'!$E$11+1,1))-AVERAGE(OFFSET($H$3,0,0,'Données projet'!$E$11+1,1))</f>
        <v>408.82357969905803</v>
      </c>
      <c r="BJ26" s="62">
        <f t="shared" si="38"/>
        <v>263.2013060831145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56.961396390939896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2.48</v>
      </c>
      <c r="BY26" s="13">
        <f>IF('Données projet'!$A$114&gt;35,BY25+BX26-CG25,IF(A26&lt;'Données projet'!$A$114,$BV$205^A26,IF(A26='Données projet'!$A$114,'Données projet'!$B$114,BY25+BX26-CG25)))</f>
        <v>44.565661200604509</v>
      </c>
      <c r="BZ26" s="14">
        <f>BY26*VLOOKUP('Données projet'!$B$12,Paramètres!$A$1:$I$89,3,0)*VLOOKUP('Données projet'!$B$12,Paramètres!$A$1:$I$89,5,0)</f>
        <v>42.408683198495254</v>
      </c>
      <c r="CA26" s="14">
        <f t="shared" si="39"/>
        <v>12.634879817546921</v>
      </c>
      <c r="CB26" s="22">
        <f t="shared" si="10"/>
        <v>95.867538919606773</v>
      </c>
      <c r="CC26" s="62">
        <f t="shared" si="11"/>
        <v>332.83710346416422</v>
      </c>
      <c r="CD26" s="62">
        <f ca="1">AVERAGE(OFFSET($CC$3,0,0,'Données projet'!$E$12+1,1))-AVERAGE(OFFSET($H$3,0,0,'Données projet'!$E$12+1,1))</f>
        <v>451.95887041951761</v>
      </c>
      <c r="CE26" s="62">
        <f t="shared" si="40"/>
        <v>311.32964503257341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56.961396390939896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56.961396390939896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56.961396390939896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56.961396390939896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56.961396390939896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56.961396390939896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3.9000000000000004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3.4145280000000011</v>
      </c>
      <c r="D27" s="12">
        <f t="shared" si="32"/>
        <v>1.3639644536578972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17.913857346272213</v>
      </c>
      <c r="H27" s="70">
        <f t="shared" si="1"/>
        <v>207.78920769012083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57.187587013606397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17.520512820512817</v>
      </c>
      <c r="N27" s="14">
        <f>IF('Données projet'!$A$36&gt;35,N26+M27-V26,IF(A27&lt;'Données projet'!$A$36,$K$205^A27,IF(A27='Données projet'!$A$36,'Données projet'!$B$36,N26+M27-V26)))</f>
        <v>202.29487179487177</v>
      </c>
      <c r="O27" s="14">
        <f>N27*VLOOKUP('Données projet'!$B$9,Paramètres!$A$1:$I$89,3,0)*VLOOKUP('Données projet'!$B$9,Paramètres!$A$1:$I$89,5,0)</f>
        <v>120.97233333333334</v>
      </c>
      <c r="P27" s="14">
        <f t="shared" si="33"/>
        <v>31.901673452036796</v>
      </c>
      <c r="Q27" s="22">
        <f t="shared" si="2"/>
        <v>266.25556181785299</v>
      </c>
      <c r="R27" s="62">
        <f t="shared" si="0"/>
        <v>505.2767142010764</v>
      </c>
      <c r="S27" s="62">
        <f ca="1">AVERAGE(OFFSET($R$3,0,0,'Données projet'!$E$9+1,1))-AVERAGE(OFFSET($H$3,0,0,'Données projet'!$E$9+1,1))</f>
        <v>251.99201350544561</v>
      </c>
      <c r="T27" s="62">
        <f t="shared" si="34"/>
        <v>366.66533117979162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3.3992717411467193</v>
      </c>
      <c r="AB27" s="23">
        <f>EXP(-LN(2)/2)*AB26+(1-EXP(-LN(2)/2))/(LN(2)/2)*V27*Y27*VLOOKUP('Données projet'!$B$9,Paramètres!$A$1:$I$89,3,0)*0.475*44/12</f>
        <v>3.6665092274176696</v>
      </c>
      <c r="AC27" s="24">
        <f t="shared" si="3"/>
        <v>7.0657809685643889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57.187587013606397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149.52545095126411</v>
      </c>
      <c r="AO27" s="62">
        <f t="shared" si="36"/>
        <v>457.9161829331029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54.792728163633171</v>
      </c>
      <c r="AV27" s="23">
        <f>EXP(-LN(2)/25)*AV26+(1-EXP(-LN(2)/25))/(LN(2)/25)*Calculateur!AQ27*Calculateur!AS27*VLOOKUP('Données projet'!$B$10,Paramètres!$A$1:$I$89,3,0)*0.475*44/12</f>
        <v>23.070053611650092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77.862781775283267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57.187587013606397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6.6</v>
      </c>
      <c r="BD27" s="13">
        <f>IF('Données projet'!$A$88&gt;35,BD26+BC27-BL26,IF(A27&lt;'Données projet'!$A$88,$BA$205^A27,IF(A27='Données projet'!$A$88,'Données projet'!$B$88,BD26+BC27-BL26)))</f>
        <v>72.400000000000006</v>
      </c>
      <c r="BE27" s="14">
        <f>BD27*VLOOKUP('Données projet'!$B$11,Paramètres!$A$1:$I$89,3,0)*VLOOKUP('Données projet'!$B$11,Paramètres!$A$1:$I$89,5,0)</f>
        <v>73.413600000000002</v>
      </c>
      <c r="BF27" s="14">
        <f t="shared" si="37"/>
        <v>20.518811369252536</v>
      </c>
      <c r="BG27" s="22">
        <f t="shared" si="7"/>
        <v>163.59894980144816</v>
      </c>
      <c r="BH27" s="62">
        <f t="shared" si="8"/>
        <v>402.62010218467162</v>
      </c>
      <c r="BI27" s="62">
        <f ca="1">AVERAGE(OFFSET($BH$3,0,0,'Données projet'!$E$11+1,1))-AVERAGE(OFFSET($H$3,0,0,'Données projet'!$E$11+1,1))</f>
        <v>408.82357969905803</v>
      </c>
      <c r="BJ27" s="62">
        <f t="shared" si="38"/>
        <v>263.2013060831145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57.187587013606397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2.48</v>
      </c>
      <c r="BY27" s="13">
        <f>IF('Données projet'!$A$114&gt;35,BY26+BX27-CG26,IF(A27&lt;'Données projet'!$A$114,$BV$205^A27,IF(A27='Données projet'!$A$114,'Données projet'!$B$114,BY26+BX27-CG26)))</f>
        <v>52.564921710561642</v>
      </c>
      <c r="BZ27" s="14">
        <f>BY27*VLOOKUP('Données projet'!$B$12,Paramètres!$A$1:$I$89,3,0)*VLOOKUP('Données projet'!$B$12,Paramètres!$A$1:$I$89,5,0)</f>
        <v>50.020779499770455</v>
      </c>
      <c r="CA27" s="14">
        <f t="shared" si="39"/>
        <v>14.619125930105412</v>
      </c>
      <c r="CB27" s="22">
        <f t="shared" si="10"/>
        <v>112.58116862370046</v>
      </c>
      <c r="CC27" s="62">
        <f t="shared" si="11"/>
        <v>351.60232100692389</v>
      </c>
      <c r="CD27" s="62">
        <f ca="1">AVERAGE(OFFSET($CC$3,0,0,'Données projet'!$E$12+1,1))-AVERAGE(OFFSET($H$3,0,0,'Données projet'!$E$12+1,1))</f>
        <v>451.95887041951761</v>
      </c>
      <c r="CE27" s="62">
        <f t="shared" si="40"/>
        <v>311.32964503257341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57.187587013606397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57.187587013606397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57.187587013606397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57.187587013606397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57.187587013606397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57.187587013606397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3.9000000000000004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3.5568000000000013</v>
      </c>
      <c r="D28" s="12">
        <f t="shared" si="32"/>
        <v>1.4140611505968186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18.151449561438881</v>
      </c>
      <c r="H28" s="70">
        <f t="shared" si="1"/>
        <v>208.12424983728945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57.409853734656103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219.8153846153846</v>
      </c>
      <c r="L28" s="13">
        <f>VLOOKUP(A28,'Données projet'!$A$35:$I$55,9,0)</f>
        <v>17.520512820512817</v>
      </c>
      <c r="M28" s="13">
        <f t="array" ref="M28">INDEX(L:L,MIN(IF(ISNUMBER(L28:L224),ROW(L28:L224),"")))</f>
        <v>17.520512820512817</v>
      </c>
      <c r="N28" s="14">
        <f>IF('Données projet'!$A$36&gt;35,N27+M28-V27,IF(A28&lt;'Données projet'!$A$36,$K$205^A28,IF(A28='Données projet'!$A$36,'Données projet'!$B$36,N27+M28-V27)))</f>
        <v>219.81538461538457</v>
      </c>
      <c r="O28" s="14">
        <f>N28*VLOOKUP('Données projet'!$B$9,Paramètres!$A$1:$I$89,3,0)*VLOOKUP('Données projet'!$B$9,Paramètres!$A$1:$I$89,5,0)</f>
        <v>131.4496</v>
      </c>
      <c r="P28" s="14">
        <f t="shared" si="33"/>
        <v>34.331102847209856</v>
      </c>
      <c r="Q28" s="22">
        <f t="shared" si="2"/>
        <v>288.73472412555719</v>
      </c>
      <c r="R28" s="62">
        <f t="shared" si="0"/>
        <v>529.79307670818514</v>
      </c>
      <c r="S28" s="62">
        <f ca="1">AVERAGE(OFFSET($R$3,0,0,'Données projet'!$E$9+1,1))-AVERAGE(OFFSET($H$3,0,0,'Données projet'!$E$9+1,1))</f>
        <v>251.99201350544561</v>
      </c>
      <c r="T28" s="62">
        <f t="shared" si="34"/>
        <v>366.66533117979162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52.9</v>
      </c>
      <c r="W28" s="17">
        <f>IF(ISNA(VLOOKUP(A28,'Données projet'!$A$35:$I$55,5,0)),0%,VLOOKUP(A28,'Données projet'!$A$35:$I$55,5,0)*VLOOKUP('Données projet'!$B$9,Paramètres!$A$1:$I$89,7,0))</f>
        <v>9.0000000000000011E-2</v>
      </c>
      <c r="X28" s="17">
        <f>IF(ISNA(VLOOKUP(A28,'Données projet'!$A$35:$I$55,6,0)),0%,VLOOKUP(A28,'Données projet'!$A$35:$I$55,6,0)*VLOOKUP('Données projet'!$B$9,Paramètres!$A$1:$I$89,7,0))</f>
        <v>0.13500000000000001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3.7768324766638961</v>
      </c>
      <c r="AA28" s="23">
        <f>EXP(-LN(2)/25)*AA27+(1-EXP(-LN(2)/25))/(LN(2)/25)*Calculateur!V28*Calculateur!X28*VLOOKUP('Données projet'!$B$9,Paramètres!$A$1:$I$89,3,0)*0.475*44/12</f>
        <v>8.9492609488010402</v>
      </c>
      <c r="AB28" s="23">
        <f>EXP(-LN(2)/2)*AB27+(1-EXP(-LN(2)/2))/(LN(2)/2)*V28*Y28*VLOOKUP('Données projet'!$B$9,Paramètres!$A$1:$I$89,3,0)*0.475*44/12</f>
        <v>20.501245011195948</v>
      </c>
      <c r="AC28" s="24">
        <f t="shared" si="3"/>
        <v>33.227338436660887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57.409853734656103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149.52545095126411</v>
      </c>
      <c r="AO28" s="62">
        <f t="shared" si="36"/>
        <v>457.9161829331029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53.718276184608527</v>
      </c>
      <c r="AV28" s="23">
        <f>EXP(-LN(2)/25)*AV27+(1-EXP(-LN(2)/25))/(LN(2)/25)*Calculateur!AQ28*Calculateur!AS28*VLOOKUP('Données projet'!$B$10,Paramètres!$A$1:$I$89,3,0)*0.475*44/12</f>
        <v>22.439201782438129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76.15747796704666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57.409853734656103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79</v>
      </c>
      <c r="BB28" s="13">
        <f>VLOOKUP(A28,'Données projet'!$A$87:$I$107,9,0)</f>
        <v>6.6</v>
      </c>
      <c r="BC28" s="13">
        <f t="array" ref="BC28">INDEX(BB:BB,MIN(IF(ISNUMBER(BB28:BB224),ROW(BB28:BB224),"")))</f>
        <v>6.6</v>
      </c>
      <c r="BD28" s="13">
        <f>IF('Données projet'!$A$88&gt;35,BD27+BC28-BL27,IF(A28&lt;'Données projet'!$A$88,$BA$205^A28,IF(A28='Données projet'!$A$88,'Données projet'!$B$88,BD27+BC28-BL27)))</f>
        <v>79</v>
      </c>
      <c r="BE28" s="14">
        <f>BD28*VLOOKUP('Données projet'!$B$11,Paramètres!$A$1:$I$89,3,0)*VLOOKUP('Données projet'!$B$11,Paramètres!$A$1:$I$89,5,0)</f>
        <v>80.106000000000009</v>
      </c>
      <c r="BF28" s="14">
        <f t="shared" si="37"/>
        <v>22.163099682076496</v>
      </c>
      <c r="BG28" s="22">
        <f t="shared" si="7"/>
        <v>178.11868194628323</v>
      </c>
      <c r="BH28" s="62">
        <f t="shared" si="8"/>
        <v>419.17703452891112</v>
      </c>
      <c r="BI28" s="62">
        <f ca="1">AVERAGE(OFFSET($BH$3,0,0,'Données projet'!$E$11+1,1))-AVERAGE(OFFSET($H$3,0,0,'Données projet'!$E$11+1,1))</f>
        <v>408.82357969905803</v>
      </c>
      <c r="BJ28" s="62">
        <f t="shared" si="38"/>
        <v>263.2013060831145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15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57.409853734656103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62</v>
      </c>
      <c r="BW28" s="13">
        <f>VLOOKUP(A28,'Données projet'!$A$113:$I$133,9,0)</f>
        <v>2.48</v>
      </c>
      <c r="BX28" s="13">
        <f t="array" ref="BX28">INDEX(BW:BW,MIN(IF(ISNUMBER(BW28:BW224),ROW(BW28:BW224),"")))</f>
        <v>2.48</v>
      </c>
      <c r="BY28" s="13">
        <f>IF('Données projet'!$A$114&gt;35,BY27+BX28-CG27,IF(A28&lt;'Données projet'!$A$114,$BV$205^A28,IF(A28='Données projet'!$A$114,'Données projet'!$B$114,BY27+BX28-CG27)))</f>
        <v>62</v>
      </c>
      <c r="BZ28" s="14">
        <f>BY28*VLOOKUP('Données projet'!$B$12,Paramètres!$A$1:$I$89,3,0)*VLOOKUP('Données projet'!$B$12,Paramètres!$A$1:$I$89,5,0)</f>
        <v>58.999200000000002</v>
      </c>
      <c r="CA28" s="14">
        <f t="shared" si="39"/>
        <v>16.914988195097422</v>
      </c>
      <c r="CB28" s="22">
        <f t="shared" si="10"/>
        <v>132.21721110646135</v>
      </c>
      <c r="CC28" s="62">
        <f t="shared" si="11"/>
        <v>373.27556368908927</v>
      </c>
      <c r="CD28" s="62">
        <f ca="1">AVERAGE(OFFSET($CC$3,0,0,'Données projet'!$E$12+1,1))-AVERAGE(OFFSET($H$3,0,0,'Données projet'!$E$12+1,1))</f>
        <v>451.95887041951761</v>
      </c>
      <c r="CE28" s="62">
        <f t="shared" si="40"/>
        <v>311.32964503257341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57.409853734656103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57.409853734656103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57.409853734656103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57.409853734656103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57.409853734656103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57.409853734656103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3.9000000000000004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3.6990720000000015</v>
      </c>
      <c r="D29" s="12">
        <f t="shared" si="32"/>
        <v>1.4639250739212935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18.388754280772968</v>
      </c>
      <c r="H29" s="70">
        <f t="shared" si="1"/>
        <v>208.45888657041291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57.62826462500955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16.138461538461549</v>
      </c>
      <c r="N29" s="14">
        <f>IF('Données projet'!$A$36&gt;35,N28+M29-V28,IF(A29&lt;'Données projet'!$A$36,$K$205^A29,IF(A29='Données projet'!$A$36,'Données projet'!$B$36,N28+M29-V28)))</f>
        <v>183.05384615384611</v>
      </c>
      <c r="O29" s="14">
        <f>N29*VLOOKUP('Données projet'!$B$9,Paramètres!$A$1:$I$89,3,0)*VLOOKUP('Données projet'!$B$9,Paramètres!$A$1:$I$89,5,0)</f>
        <v>109.46619999999999</v>
      </c>
      <c r="P29" s="14">
        <f t="shared" si="33"/>
        <v>29.205181544423805</v>
      </c>
      <c r="Q29" s="22">
        <f t="shared" si="2"/>
        <v>241.51932285653808</v>
      </c>
      <c r="R29" s="62">
        <f t="shared" si="0"/>
        <v>484.60073759268425</v>
      </c>
      <c r="S29" s="62">
        <f ca="1">AVERAGE(OFFSET($R$3,0,0,'Données projet'!$E$9+1,1))-AVERAGE(OFFSET($H$3,0,0,'Données projet'!$E$9+1,1))</f>
        <v>251.99201350544561</v>
      </c>
      <c r="T29" s="62">
        <f t="shared" si="34"/>
        <v>366.66533117979162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3.7027710954368622</v>
      </c>
      <c r="AA29" s="23">
        <f>EXP(-LN(2)/25)*AA28+(1-EXP(-LN(2)/25))/(LN(2)/25)*Calculateur!V29*Calculateur!X29*VLOOKUP('Données projet'!$B$9,Paramètres!$A$1:$I$89,3,0)*0.475*44/12</f>
        <v>8.7045429375348959</v>
      </c>
      <c r="AB29" s="23">
        <f>EXP(-LN(2)/2)*AB28+(1-EXP(-LN(2)/2))/(LN(2)/2)*V29*Y29*VLOOKUP('Données projet'!$B$9,Paramètres!$A$1:$I$89,3,0)*0.475*44/12</f>
        <v>14.496569370183533</v>
      </c>
      <c r="AC29" s="24">
        <f t="shared" si="3"/>
        <v>26.903883403155291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57.62826462500955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149.52545095126411</v>
      </c>
      <c r="AO29" s="62">
        <f t="shared" si="36"/>
        <v>457.9161829331029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52.66489355354156</v>
      </c>
      <c r="AV29" s="23">
        <f>EXP(-LN(2)/25)*AV28+(1-EXP(-LN(2)/25))/(LN(2)/25)*Calculateur!AQ29*Calculateur!AS29*VLOOKUP('Données projet'!$B$10,Paramètres!$A$1:$I$89,3,0)*0.475*44/12</f>
        <v>21.825600629671023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74.490494183212576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57.62826462500955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71</v>
      </c>
      <c r="BE29" s="14">
        <f>BD29*VLOOKUP('Données projet'!$B$11,Paramètres!$A$1:$I$89,3,0)*VLOOKUP('Données projet'!$B$11,Paramètres!$A$1:$I$89,5,0)</f>
        <v>71.994</v>
      </c>
      <c r="BF29" s="14">
        <f t="shared" si="37"/>
        <v>20.167825678149413</v>
      </c>
      <c r="BG29" s="22">
        <f t="shared" si="7"/>
        <v>160.51517972277688</v>
      </c>
      <c r="BH29" s="62">
        <f t="shared" si="8"/>
        <v>403.59659445892305</v>
      </c>
      <c r="BI29" s="62">
        <f ca="1">AVERAGE(OFFSET($BH$3,0,0,'Données projet'!$E$11+1,1))-AVERAGE(OFFSET($H$3,0,0,'Données projet'!$E$11+1,1))</f>
        <v>408.82357969905803</v>
      </c>
      <c r="BJ29" s="62">
        <f t="shared" si="38"/>
        <v>263.2013060831145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57.62826462500955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15</v>
      </c>
      <c r="BY29" s="13">
        <f>IF('Données projet'!$A$114&gt;35,BY28+BX29-CG28,IF(A29&lt;'Données projet'!$A$114,$BV$205^A29,IF(A29='Données projet'!$A$114,'Données projet'!$B$114,BY28+BX29-CG28)))</f>
        <v>69</v>
      </c>
      <c r="BZ29" s="14">
        <f>BY29*VLOOKUP('Données projet'!$B$12,Paramètres!$A$1:$I$89,3,0)*VLOOKUP('Données projet'!$B$12,Paramètres!$A$1:$I$89,5,0)</f>
        <v>65.660399999999996</v>
      </c>
      <c r="CA29" s="14">
        <f t="shared" si="39"/>
        <v>18.591800852927584</v>
      </c>
      <c r="CB29" s="22">
        <f t="shared" si="10"/>
        <v>146.73924981884886</v>
      </c>
      <c r="CC29" s="62">
        <f t="shared" si="11"/>
        <v>389.82066455499501</v>
      </c>
      <c r="CD29" s="62">
        <f ca="1">AVERAGE(OFFSET($CC$3,0,0,'Données projet'!$E$12+1,1))-AVERAGE(OFFSET($H$3,0,0,'Données projet'!$E$12+1,1))</f>
        <v>451.95887041951761</v>
      </c>
      <c r="CE29" s="62">
        <f t="shared" si="40"/>
        <v>311.32964503257341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57.62826462500955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57.62826462500955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57.62826462500955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57.62826462500955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57.62826462500955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57.62826462500955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3.9000000000000004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3.8413440000000016</v>
      </c>
      <c r="D30" s="12">
        <f t="shared" si="32"/>
        <v>1.5135662012414746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18.625783827498246</v>
      </c>
      <c r="H30" s="70">
        <f t="shared" si="1"/>
        <v>208.79313526716223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57.842886574708963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16.138461538461549</v>
      </c>
      <c r="N30" s="14">
        <f>IF('Données projet'!$A$36&gt;35,N29+M30-V29,IF(A30&lt;'Données projet'!$A$36,$K$205^A30,IF(A30='Données projet'!$A$36,'Données projet'!$B$36,N29+M30-V29)))</f>
        <v>199.19230769230765</v>
      </c>
      <c r="O30" s="14">
        <f>N30*VLOOKUP('Données projet'!$B$9,Paramètres!$A$1:$I$89,3,0)*VLOOKUP('Données projet'!$B$9,Paramètres!$A$1:$I$89,5,0)</f>
        <v>119.11699999999998</v>
      </c>
      <c r="P30" s="14">
        <f t="shared" si="33"/>
        <v>31.468965605093388</v>
      </c>
      <c r="Q30" s="22">
        <f t="shared" si="2"/>
        <v>262.27055676220425</v>
      </c>
      <c r="R30" s="62">
        <f t="shared" si="0"/>
        <v>507.36114086947043</v>
      </c>
      <c r="S30" s="62">
        <f ca="1">AVERAGE(OFFSET($R$3,0,0,'Données projet'!$E$9+1,1))-AVERAGE(OFFSET($H$3,0,0,'Données projet'!$E$9+1,1))</f>
        <v>251.99201350544561</v>
      </c>
      <c r="T30" s="62">
        <f t="shared" si="34"/>
        <v>366.66533117979162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3.6301620127227086</v>
      </c>
      <c r="AA30" s="23">
        <f>EXP(-LN(2)/25)*AA29+(1-EXP(-LN(2)/25))/(LN(2)/25)*Calculateur!V30*Calculateur!X30*VLOOKUP('Données projet'!$B$9,Paramètres!$A$1:$I$89,3,0)*0.475*44/12</f>
        <v>8.466516753155986</v>
      </c>
      <c r="AB30" s="23">
        <f>EXP(-LN(2)/2)*AB29+(1-EXP(-LN(2)/2))/(LN(2)/2)*V30*Y30*VLOOKUP('Données projet'!$B$9,Paramètres!$A$1:$I$89,3,0)*0.475*44/12</f>
        <v>10.250622505597976</v>
      </c>
      <c r="AC30" s="24">
        <f t="shared" si="3"/>
        <v>22.34730127147667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57.842886574708963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149.52545095126411</v>
      </c>
      <c r="AO30" s="62">
        <f t="shared" si="36"/>
        <v>457.9161829331029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51.632167113369853</v>
      </c>
      <c r="AV30" s="23">
        <f>EXP(-LN(2)/25)*AV29+(1-EXP(-LN(2)/25))/(LN(2)/25)*Calculateur!AQ30*Calculateur!AS30*VLOOKUP('Données projet'!$B$10,Paramètres!$A$1:$I$89,3,0)*0.475*44/12</f>
        <v>21.228778432694213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72.860945546064073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57.842886574708963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78</v>
      </c>
      <c r="BE30" s="14">
        <f>BD30*VLOOKUP('Données projet'!$B$11,Paramètres!$A$1:$I$89,3,0)*VLOOKUP('Données projet'!$B$11,Paramètres!$A$1:$I$89,5,0)</f>
        <v>79.092000000000013</v>
      </c>
      <c r="BF30" s="14">
        <f t="shared" si="37"/>
        <v>21.915026131450009</v>
      </c>
      <c r="BG30" s="22">
        <f t="shared" si="7"/>
        <v>175.92057051227542</v>
      </c>
      <c r="BH30" s="62">
        <f t="shared" si="8"/>
        <v>421.01115461954157</v>
      </c>
      <c r="BI30" s="62">
        <f ca="1">AVERAGE(OFFSET($BH$3,0,0,'Données projet'!$E$11+1,1))-AVERAGE(OFFSET($H$3,0,0,'Données projet'!$E$11+1,1))</f>
        <v>408.82357969905803</v>
      </c>
      <c r="BJ30" s="62">
        <f t="shared" si="38"/>
        <v>263.2013060831145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57.842886574708963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15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79.934400000000011</v>
      </c>
      <c r="CA30" s="14">
        <f t="shared" si="39"/>
        <v>22.121143821921812</v>
      </c>
      <c r="CB30" s="22">
        <f t="shared" si="10"/>
        <v>177.74673882318049</v>
      </c>
      <c r="CC30" s="62">
        <f t="shared" si="11"/>
        <v>422.8373229304467</v>
      </c>
      <c r="CD30" s="62">
        <f ca="1">AVERAGE(OFFSET($CC$3,0,0,'Données projet'!$E$12+1,1))-AVERAGE(OFFSET($H$3,0,0,'Données projet'!$E$12+1,1))</f>
        <v>451.95887041951761</v>
      </c>
      <c r="CE30" s="62">
        <f t="shared" si="40"/>
        <v>311.32964503257341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57.842886574708963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57.842886574708963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57.842886574708963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57.842886574708963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57.842886574708963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57.842886574708963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3.9000000000000004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3.9836160000000018</v>
      </c>
      <c r="D31" s="12">
        <f t="shared" si="32"/>
        <v>1.5629937292090774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18.8625495602863</v>
      </c>
      <c r="H31" s="70">
        <f t="shared" si="1"/>
        <v>209.12701194503916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58.053785313403885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16.138461538461549</v>
      </c>
      <c r="N31" s="14">
        <f>IF('Données projet'!$A$36&gt;35,N30+M31-V30,IF(A31&lt;'Données projet'!$A$36,$K$205^A31,IF(A31='Données projet'!$A$36,'Données projet'!$B$36,N30+M31-V30)))</f>
        <v>215.33076923076919</v>
      </c>
      <c r="O31" s="14">
        <f>N31*VLOOKUP('Données projet'!$B$9,Paramètres!$A$1:$I$89,3,0)*VLOOKUP('Données projet'!$B$9,Paramètres!$A$1:$I$89,5,0)</f>
        <v>128.76779999999999</v>
      </c>
      <c r="P31" s="14">
        <f t="shared" si="33"/>
        <v>33.711476466147914</v>
      </c>
      <c r="Q31" s="22">
        <f t="shared" si="2"/>
        <v>282.98473984520757</v>
      </c>
      <c r="R31" s="62">
        <f t="shared" si="0"/>
        <v>530.07084154991071</v>
      </c>
      <c r="S31" s="62">
        <f ca="1">AVERAGE(OFFSET($R$3,0,0,'Données projet'!$E$9+1,1))-AVERAGE(OFFSET($H$3,0,0,'Données projet'!$E$9+1,1))</f>
        <v>251.99201350544561</v>
      </c>
      <c r="T31" s="62">
        <f t="shared" si="34"/>
        <v>366.66533117979162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3.5589767498334117</v>
      </c>
      <c r="AA31" s="23">
        <f>EXP(-LN(2)/25)*AA30+(1-EXP(-LN(2)/25))/(LN(2)/25)*Calculateur!V31*Calculateur!X31*VLOOKUP('Données projet'!$B$9,Paramètres!$A$1:$I$89,3,0)*0.475*44/12</f>
        <v>8.2349994073061694</v>
      </c>
      <c r="AB31" s="23">
        <f>EXP(-LN(2)/2)*AB30+(1-EXP(-LN(2)/2))/(LN(2)/2)*V31*Y31*VLOOKUP('Données projet'!$B$9,Paramètres!$A$1:$I$89,3,0)*0.475*44/12</f>
        <v>7.2482846850917682</v>
      </c>
      <c r="AC31" s="24">
        <f t="shared" si="3"/>
        <v>19.04226084223135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58.053785313403885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149.52545095126411</v>
      </c>
      <c r="AO31" s="62">
        <f t="shared" si="36"/>
        <v>457.9161829331029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50.619691808788986</v>
      </c>
      <c r="AV31" s="23">
        <f>EXP(-LN(2)/25)*AV30+(1-EXP(-LN(2)/25))/(LN(2)/25)*Calculateur!AQ31*Calculateur!AS31*VLOOKUP('Données projet'!$B$10,Paramètres!$A$1:$I$89,3,0)*0.475*44/12</f>
        <v>20.648276370079252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71.267968178868244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58.053785313403885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85</v>
      </c>
      <c r="BE31" s="14">
        <f>BD31*VLOOKUP('Données projet'!$B$11,Paramètres!$A$1:$I$89,3,0)*VLOOKUP('Données projet'!$B$11,Paramètres!$A$1:$I$89,5,0)</f>
        <v>86.19</v>
      </c>
      <c r="BF31" s="14">
        <f t="shared" si="37"/>
        <v>23.644044315518833</v>
      </c>
      <c r="BG31" s="22">
        <f t="shared" si="7"/>
        <v>191.29429384952866</v>
      </c>
      <c r="BH31" s="62">
        <f t="shared" si="8"/>
        <v>438.38039555423182</v>
      </c>
      <c r="BI31" s="62">
        <f ca="1">AVERAGE(OFFSET($BH$3,0,0,'Données projet'!$E$11+1,1))-AVERAGE(OFFSET($H$3,0,0,'Données projet'!$E$11+1,1))</f>
        <v>408.82357969905803</v>
      </c>
      <c r="BJ31" s="62">
        <f t="shared" si="38"/>
        <v>263.2013060831145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58.053785313403885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15</v>
      </c>
      <c r="BY31" s="13">
        <f>IF('Données projet'!$A$114&gt;35,BY30+BX31-CG30,IF(A31&lt;'Données projet'!$A$114,$BV$205^A31,IF(A31='Données projet'!$A$114,'Données projet'!$B$114,BY30+BX31-CG30)))</f>
        <v>99</v>
      </c>
      <c r="BZ31" s="14">
        <f>BY31*VLOOKUP('Données projet'!$B$12,Paramètres!$A$1:$I$89,3,0)*VLOOKUP('Données projet'!$B$12,Paramètres!$A$1:$I$89,5,0)</f>
        <v>94.208399999999997</v>
      </c>
      <c r="CA31" s="14">
        <f t="shared" si="39"/>
        <v>25.577474486943462</v>
      </c>
      <c r="CB31" s="22">
        <f t="shared" si="10"/>
        <v>208.62706473142649</v>
      </c>
      <c r="CC31" s="62">
        <f t="shared" si="11"/>
        <v>455.71316643612965</v>
      </c>
      <c r="CD31" s="62">
        <f ca="1">AVERAGE(OFFSET($CC$3,0,0,'Données projet'!$E$12+1,1))-AVERAGE(OFFSET($H$3,0,0,'Données projet'!$E$12+1,1))</f>
        <v>451.95887041951761</v>
      </c>
      <c r="CE31" s="62">
        <f t="shared" si="40"/>
        <v>311.32964503257341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58.053785313403885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58.053785313403885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58.053785313403885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58.053785313403885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58.053785313403885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58.053785313403885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3.9000000000000004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4.1258880000000016</v>
      </c>
      <c r="D32" s="12">
        <f t="shared" si="32"/>
        <v>1.6122161603333773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19.099061980481927</v>
      </c>
      <c r="H32" s="70">
        <f t="shared" si="1"/>
        <v>209.46053141258062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58.261025430481403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>
        <f>VLOOKUP(A32,'Données projet'!$A$35:$I$55,2,0)</f>
        <v>231.46923076923079</v>
      </c>
      <c r="L32" s="13">
        <f>VLOOKUP(A32,'Données projet'!$A$35:$I$55,9,0)</f>
        <v>16.138461538461549</v>
      </c>
      <c r="M32" s="13">
        <f t="array" ref="M32">INDEX(L:L,MIN(IF(ISNUMBER(L32:L228),ROW(L32:L228),"")))</f>
        <v>16.138461538461549</v>
      </c>
      <c r="N32" s="14">
        <f>IF('Données projet'!$A$36&gt;35,N31+M32-V31,IF(A32&lt;'Données projet'!$A$36,$K$205^A32,IF(A32='Données projet'!$A$36,'Données projet'!$B$36,N31+M32-V31)))</f>
        <v>231.46923076923073</v>
      </c>
      <c r="O32" s="14">
        <f>N32*VLOOKUP('Données projet'!$B$9,Paramètres!$A$1:$I$89,3,0)*VLOOKUP('Données projet'!$B$9,Paramètres!$A$1:$I$89,5,0)</f>
        <v>138.4186</v>
      </c>
      <c r="P32" s="14">
        <f t="shared" si="33"/>
        <v>35.934489790181182</v>
      </c>
      <c r="Q32" s="22">
        <f t="shared" si="2"/>
        <v>303.66496471789884</v>
      </c>
      <c r="R32" s="62">
        <f t="shared" si="0"/>
        <v>552.73316907410845</v>
      </c>
      <c r="S32" s="62">
        <f ca="1">AVERAGE(OFFSET($R$3,0,0,'Données projet'!$E$9+1,1))-AVERAGE(OFFSET($H$3,0,0,'Données projet'!$E$9+1,1))</f>
        <v>251.99201350544561</v>
      </c>
      <c r="T32" s="62">
        <f t="shared" si="34"/>
        <v>366.66533117979162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3.4891873865306509</v>
      </c>
      <c r="AA32" s="23">
        <f>EXP(-LN(2)/25)*AA31+(1-EXP(-LN(2)/25))/(LN(2)/25)*Calculateur!V32*Calculateur!X32*VLOOKUP('Données projet'!$B$9,Paramètres!$A$1:$I$89,3,0)*0.475*44/12</f>
        <v>8.0098129154535851</v>
      </c>
      <c r="AB32" s="23">
        <f>EXP(-LN(2)/2)*AB31+(1-EXP(-LN(2)/2))/(LN(2)/2)*V32*Y32*VLOOKUP('Données projet'!$B$9,Paramètres!$A$1:$I$89,3,0)*0.475*44/12</f>
        <v>5.1253112527989888</v>
      </c>
      <c r="AC32" s="24">
        <f t="shared" si="3"/>
        <v>16.624311554783226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58.261025430481403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149.52545095126411</v>
      </c>
      <c r="AO32" s="62">
        <f t="shared" si="36"/>
        <v>457.9161829331029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49.627070527381989</v>
      </c>
      <c r="AV32" s="23">
        <f>EXP(-LN(2)/25)*AV31+(1-EXP(-LN(2)/25))/(LN(2)/25)*Calculateur!AQ32*Calculateur!AS32*VLOOKUP('Données projet'!$B$10,Paramètres!$A$1:$I$89,3,0)*0.475*44/12</f>
        <v>20.083648166893774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69.710718694275755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58.261025430481403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92</v>
      </c>
      <c r="BE32" s="14">
        <f>BD32*VLOOKUP('Données projet'!$B$11,Paramètres!$A$1:$I$89,3,0)*VLOOKUP('Données projet'!$B$11,Paramètres!$A$1:$I$89,5,0)</f>
        <v>93.288000000000011</v>
      </c>
      <c r="BF32" s="14">
        <f t="shared" si="37"/>
        <v>25.356547829040977</v>
      </c>
      <c r="BG32" s="22">
        <f t="shared" si="7"/>
        <v>206.63925413557971</v>
      </c>
      <c r="BH32" s="62">
        <f t="shared" si="8"/>
        <v>455.70745849178928</v>
      </c>
      <c r="BI32" s="62">
        <f ca="1">AVERAGE(OFFSET($BH$3,0,0,'Données projet'!$E$11+1,1))-AVERAGE(OFFSET($H$3,0,0,'Données projet'!$E$11+1,1))</f>
        <v>408.82357969905803</v>
      </c>
      <c r="BJ32" s="62">
        <f t="shared" si="38"/>
        <v>263.2013060831145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58.261025430481403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15</v>
      </c>
      <c r="BY32" s="13">
        <f>IF('Données projet'!$A$114&gt;35,BY31+BX32-CG31,IF(A32&lt;'Données projet'!$A$114,$BV$205^A32,IF(A32='Données projet'!$A$114,'Données projet'!$B$114,BY31+BX32-CG31)))</f>
        <v>114</v>
      </c>
      <c r="BZ32" s="14">
        <f>BY32*VLOOKUP('Données projet'!$B$12,Paramètres!$A$1:$I$89,3,0)*VLOOKUP('Données projet'!$B$12,Paramètres!$A$1:$I$89,5,0)</f>
        <v>108.4824</v>
      </c>
      <c r="CA32" s="14">
        <f t="shared" si="39"/>
        <v>28.973137589932367</v>
      </c>
      <c r="CB32" s="22">
        <f t="shared" si="10"/>
        <v>239.40172796913217</v>
      </c>
      <c r="CC32" s="62">
        <f t="shared" si="11"/>
        <v>488.46993232534174</v>
      </c>
      <c r="CD32" s="62">
        <f ca="1">AVERAGE(OFFSET($CC$3,0,0,'Données projet'!$E$12+1,1))-AVERAGE(OFFSET($H$3,0,0,'Données projet'!$E$12+1,1))</f>
        <v>451.95887041951761</v>
      </c>
      <c r="CE32" s="62">
        <f t="shared" si="40"/>
        <v>311.32964503257341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58.261025430481403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58.261025430481403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58.261025430481403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58.261025430481403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58.261025430481403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58.261025430481403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3.9000000000000004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4.2681600000000017</v>
      </c>
      <c r="D33" s="12">
        <f t="shared" si="32"/>
        <v>1.6612413774861599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19.335330824123261</v>
      </c>
      <c r="H33" s="70">
        <f t="shared" si="1"/>
        <v>209.79370739912173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58.464670394847104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17.005128205128198</v>
      </c>
      <c r="N33" s="14">
        <f>IF('Données projet'!$A$36&gt;35,N32+M33-V32,IF(A33&lt;'Données projet'!$A$36,$K$205^A33,IF(A33='Données projet'!$A$36,'Données projet'!$B$36,N32+M33-V32)))</f>
        <v>248.47435897435892</v>
      </c>
      <c r="O33" s="14">
        <f>N33*VLOOKUP('Données projet'!$B$9,Paramètres!$A$1:$I$89,3,0)*VLOOKUP('Données projet'!$B$9,Paramètres!$A$1:$I$89,5,0)</f>
        <v>148.58766666666665</v>
      </c>
      <c r="P33" s="14">
        <f t="shared" si="33"/>
        <v>38.257451303366288</v>
      </c>
      <c r="Q33" s="22">
        <f t="shared" si="2"/>
        <v>325.42191379780735</v>
      </c>
      <c r="R33" s="62">
        <f t="shared" si="0"/>
        <v>576.45903857891335</v>
      </c>
      <c r="S33" s="62">
        <f ca="1">AVERAGE(OFFSET($R$3,0,0,'Données projet'!$E$9+1,1))-AVERAGE(OFFSET($H$3,0,0,'Données projet'!$E$9+1,1))</f>
        <v>251.99201350544561</v>
      </c>
      <c r="T33" s="62">
        <f t="shared" si="34"/>
        <v>366.66533117979162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3.4207665500749487</v>
      </c>
      <c r="AA33" s="23">
        <f>EXP(-LN(2)/25)*AA32+(1-EXP(-LN(2)/25))/(LN(2)/25)*Calculateur!V33*Calculateur!X33*VLOOKUP('Données projet'!$B$9,Paramètres!$A$1:$I$89,3,0)*0.475*44/12</f>
        <v>7.7907841600627519</v>
      </c>
      <c r="AB33" s="23">
        <f>EXP(-LN(2)/2)*AB32+(1-EXP(-LN(2)/2))/(LN(2)/2)*V33*Y33*VLOOKUP('Données projet'!$B$9,Paramètres!$A$1:$I$89,3,0)*0.475*44/12</f>
        <v>3.6241423425458845</v>
      </c>
      <c r="AC33" s="24">
        <f t="shared" si="3"/>
        <v>14.835693052683585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58.464670394847104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149.52545095126411</v>
      </c>
      <c r="AO33" s="62">
        <f t="shared" si="36"/>
        <v>457.9161829331029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48.653913943864183</v>
      </c>
      <c r="AV33" s="23">
        <f>EXP(-LN(2)/25)*AV32+(1-EXP(-LN(2)/25))/(LN(2)/25)*Calculateur!AQ33*Calculateur!AS33*VLOOKUP('Données projet'!$B$10,Paramètres!$A$1:$I$89,3,0)*0.475*44/12</f>
        <v>19.534459751616907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68.18837369548109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58.464670394847104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99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99</v>
      </c>
      <c r="BE33" s="14">
        <f>BD33*VLOOKUP('Données projet'!$B$11,Paramètres!$A$1:$I$89,3,0)*VLOOKUP('Données projet'!$B$11,Paramètres!$A$1:$I$89,5,0)</f>
        <v>100.38600000000001</v>
      </c>
      <c r="BF33" s="14">
        <f t="shared" si="37"/>
        <v>27.05393609634266</v>
      </c>
      <c r="BG33" s="22">
        <f t="shared" si="7"/>
        <v>221.95788870113014</v>
      </c>
      <c r="BH33" s="62">
        <f t="shared" si="8"/>
        <v>472.99501348223623</v>
      </c>
      <c r="BI33" s="62">
        <f ca="1">AVERAGE(OFFSET($BH$3,0,0,'Données projet'!$E$11+1,1))-AVERAGE(OFFSET($H$3,0,0,'Données projet'!$E$11+1,1))</f>
        <v>408.82357969905803</v>
      </c>
      <c r="BJ33" s="62">
        <f t="shared" si="38"/>
        <v>263.2013060831145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17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58.464670394847104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129</v>
      </c>
      <c r="BW33" s="13">
        <f>VLOOKUP(A33,'Données projet'!$A$113:$I$133,9,0)</f>
        <v>15</v>
      </c>
      <c r="BX33" s="13">
        <f t="array" ref="BX33">INDEX(BW:BW,MIN(IF(ISNUMBER(BW33:BW229),ROW(BW33:BW229),"")))</f>
        <v>15</v>
      </c>
      <c r="BY33" s="13">
        <f>IF('Données projet'!$A$114&gt;35,BY32+BX33-CG32,IF(A33&lt;'Données projet'!$A$114,$BV$205^A33,IF(A33='Données projet'!$A$114,'Données projet'!$B$114,BY32+BX33-CG32)))</f>
        <v>129</v>
      </c>
      <c r="BZ33" s="14">
        <f>BY33*VLOOKUP('Données projet'!$B$12,Paramètres!$A$1:$I$89,3,0)*VLOOKUP('Données projet'!$B$12,Paramètres!$A$1:$I$89,5,0)</f>
        <v>122.7564</v>
      </c>
      <c r="CA33" s="14">
        <f t="shared" si="39"/>
        <v>32.317032143878919</v>
      </c>
      <c r="CB33" s="22">
        <f t="shared" si="10"/>
        <v>270.08622765058908</v>
      </c>
      <c r="CC33" s="62">
        <f t="shared" si="11"/>
        <v>521.12335243169514</v>
      </c>
      <c r="CD33" s="62">
        <f ca="1">AVERAGE(OFFSET($CC$3,0,0,'Données projet'!$E$12+1,1))-AVERAGE(OFFSET($H$3,0,0,'Données projet'!$E$12+1,1))</f>
        <v>451.95887041951761</v>
      </c>
      <c r="CE33" s="62">
        <f t="shared" si="40"/>
        <v>311.32964503257341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17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58.464670394847104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58.464670394847104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58.464670394847104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58.464670394847104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58.464670394847104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58.464670394847104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3.9000000000000004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4.4104320000000019</v>
      </c>
      <c r="D34" s="12">
        <f t="shared" si="32"/>
        <v>1.7100767081936219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19.571365141347915</v>
      </c>
      <c r="H34" s="70">
        <f t="shared" si="1"/>
        <v>210.12655266677055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58.664782574363002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17.005128205128198</v>
      </c>
      <c r="N34" s="14">
        <f>IF('Données projet'!$A$36&gt;35,N33+M34-V33,IF(A34&lt;'Données projet'!$A$36,$K$205^A34,IF(A34='Données projet'!$A$36,'Données projet'!$B$36,N33+M34-V33)))</f>
        <v>265.47948717948714</v>
      </c>
      <c r="O34" s="14">
        <f>N34*VLOOKUP('Données projet'!$B$9,Paramètres!$A$1:$I$89,3,0)*VLOOKUP('Données projet'!$B$9,Paramètres!$A$1:$I$89,5,0)</f>
        <v>158.75673333333333</v>
      </c>
      <c r="P34" s="14">
        <f t="shared" si="33"/>
        <v>40.561965953757031</v>
      </c>
      <c r="Q34" s="22">
        <f t="shared" si="2"/>
        <v>347.14673459168239</v>
      </c>
      <c r="R34" s="62">
        <f t="shared" si="0"/>
        <v>598.91760403101341</v>
      </c>
      <c r="S34" s="62">
        <f ca="1">AVERAGE(OFFSET($R$3,0,0,'Données projet'!$E$9+1,1))-AVERAGE(OFFSET($H$3,0,0,'Données projet'!$E$9+1,1))</f>
        <v>251.99201350544561</v>
      </c>
      <c r="T34" s="62">
        <f t="shared" si="34"/>
        <v>366.66533117979162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3.3536874044895537</v>
      </c>
      <c r="AA34" s="23">
        <f>EXP(-LN(2)/25)*AA33+(1-EXP(-LN(2)/25))/(LN(2)/25)*Calculateur!V34*Calculateur!X34*VLOOKUP('Données projet'!$B$9,Paramètres!$A$1:$I$89,3,0)*0.475*44/12</f>
        <v>7.5777447575063031</v>
      </c>
      <c r="AB34" s="23">
        <f>EXP(-LN(2)/2)*AB33+(1-EXP(-LN(2)/2))/(LN(2)/2)*V34*Y34*VLOOKUP('Données projet'!$B$9,Paramètres!$A$1:$I$89,3,0)*0.475*44/12</f>
        <v>2.5626556263994948</v>
      </c>
      <c r="AC34" s="24">
        <f t="shared" si="3"/>
        <v>13.494087788395353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58.664782574363002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149.52545095126411</v>
      </c>
      <c r="AO34" s="62">
        <f t="shared" si="36"/>
        <v>457.9161829331029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47.699840367382251</v>
      </c>
      <c r="AV34" s="23">
        <f>EXP(-LN(2)/25)*AV33+(1-EXP(-LN(2)/25))/(LN(2)/25)*Calculateur!AQ34*Calculateur!AS34*VLOOKUP('Données projet'!$B$10,Paramètres!$A$1:$I$89,3,0)*0.475*44/12</f>
        <v>19.000288922436351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66.700129289818605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58.664782574363002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7.4</v>
      </c>
      <c r="BD34" s="13">
        <f>IF('Données projet'!$A$88&gt;35,BD33+BC34-BL33,IF(A34&lt;'Données projet'!$A$88,$BA$205^A34,IF(A34='Données projet'!$A$88,'Données projet'!$B$88,BD33+BC34-BL33)))</f>
        <v>89.4</v>
      </c>
      <c r="BE34" s="14">
        <f>BD34*VLOOKUP('Données projet'!$B$11,Paramètres!$A$1:$I$89,3,0)*VLOOKUP('Données projet'!$B$11,Paramètres!$A$1:$I$89,5,0)</f>
        <v>90.651600000000016</v>
      </c>
      <c r="BF34" s="14">
        <f t="shared" si="37"/>
        <v>24.722309183064368</v>
      </c>
      <c r="BG34" s="22">
        <f t="shared" si="7"/>
        <v>200.94289182717046</v>
      </c>
      <c r="BH34" s="62">
        <f t="shared" si="8"/>
        <v>452.71376126650148</v>
      </c>
      <c r="BI34" s="62">
        <f ca="1">AVERAGE(OFFSET($BH$3,0,0,'Données projet'!$E$11+1,1))-AVERAGE(OFFSET($H$3,0,0,'Données projet'!$E$11+1,1))</f>
        <v>408.82357969905803</v>
      </c>
      <c r="BJ34" s="62">
        <f t="shared" si="38"/>
        <v>263.2013060831145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58.664782574363002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</v>
      </c>
      <c r="BY34" s="13">
        <f>IF('Données projet'!$A$114&gt;35,BY33+BX34-CG33,IF(A34&lt;'Données projet'!$A$114,$BV$205^A34,IF(A34='Données projet'!$A$114,'Données projet'!$B$114,BY33+BX34-CG33)))</f>
        <v>124</v>
      </c>
      <c r="BZ34" s="14">
        <f>BY34*VLOOKUP('Données projet'!$B$12,Paramètres!$A$1:$I$89,3,0)*VLOOKUP('Données projet'!$B$12,Paramètres!$A$1:$I$89,5,0)</f>
        <v>117.9984</v>
      </c>
      <c r="CA34" s="14">
        <f t="shared" si="39"/>
        <v>31.207702928571202</v>
      </c>
      <c r="CB34" s="22">
        <f t="shared" si="10"/>
        <v>259.86729593392812</v>
      </c>
      <c r="CC34" s="62">
        <f t="shared" si="11"/>
        <v>511.63816537325914</v>
      </c>
      <c r="CD34" s="62">
        <f ca="1">AVERAGE(OFFSET($CC$3,0,0,'Données projet'!$E$12+1,1))-AVERAGE(OFFSET($H$3,0,0,'Données projet'!$E$12+1,1))</f>
        <v>451.95887041951761</v>
      </c>
      <c r="CE34" s="62">
        <f t="shared" si="40"/>
        <v>311.32964503257341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58.664782574363002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58.664782574363002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58.664782574363002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58.664782574363002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58.664782574363002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58.664782574363002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3.9000000000000004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4.5527040000000021</v>
      </c>
      <c r="D35" s="12">
        <f t="shared" si="32"/>
        <v>1.7587289803995072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19.80717336526536</v>
      </c>
      <c r="H35" s="70">
        <f t="shared" si="1"/>
        <v>210.45907910752913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58.861423254948107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282.48461538461538</v>
      </c>
      <c r="L35" s="13">
        <f>VLOOKUP(A35,'Données projet'!$A$35:$I$55,9,0)</f>
        <v>17.005128205128198</v>
      </c>
      <c r="M35" s="13">
        <f t="array" ref="M35">INDEX(L:L,MIN(IF(ISNUMBER(L35:L231),ROW(L35:L231),"")))</f>
        <v>17.005128205128198</v>
      </c>
      <c r="N35" s="14">
        <f>IF('Données projet'!$A$36&gt;35,N34+M35-V34,IF(A35&lt;'Données projet'!$A$36,$K$205^A35,IF(A35='Données projet'!$A$36,'Données projet'!$B$36,N34+M35-V34)))</f>
        <v>282.48461538461532</v>
      </c>
      <c r="O35" s="14">
        <f>N35*VLOOKUP('Données projet'!$B$9,Paramètres!$A$1:$I$89,3,0)*VLOOKUP('Données projet'!$B$9,Paramètres!$A$1:$I$89,5,0)</f>
        <v>168.92579999999998</v>
      </c>
      <c r="P35" s="14">
        <f t="shared" si="33"/>
        <v>42.849349834036097</v>
      </c>
      <c r="Q35" s="22">
        <f t="shared" ref="Q35:Q66" si="53">(O35+P35)*0.475*44/12</f>
        <v>368.84171929427953</v>
      </c>
      <c r="R35" s="62">
        <f t="shared" si="0"/>
        <v>621.33360456242258</v>
      </c>
      <c r="S35" s="62">
        <f ca="1">AVERAGE(OFFSET($R$3,0,0,'Données projet'!$E$9+1,1))-AVERAGE(OFFSET($H$3,0,0,'Données projet'!$E$9+1,1))</f>
        <v>251.99201350544561</v>
      </c>
      <c r="T35" s="62">
        <f t="shared" si="34"/>
        <v>366.66533117979162</v>
      </c>
      <c r="U35" s="16">
        <f>IF(ISNA(VLOOKUP(A35,'Données projet'!$A$35:$I$55,3,0)),0,VLOOKUP(A35,'Données projet'!$A$35:$I$55,3,0))</f>
        <v>4</v>
      </c>
      <c r="V35" s="16">
        <f>IF(ISNA(VLOOKUP(A35,'Données projet'!$A$35:$I$55,4,0)),0,VLOOKUP(A35,'Données projet'!$A$35:$I$55,4,0))</f>
        <v>63.899999999999991</v>
      </c>
      <c r="W35" s="17" t="e">
        <f>IF(ISNA(VLOOKUP(A35,'Données projet'!$A$35:$I$55,5,0)),0%,VLOOKUP(A35,'Données projet'!$A$35:$I$55,5,0)*VLOOKUP('Données projet'!$B$9,Paramètres!$A$1:$I$89,7,0))</f>
        <v>#VALUE!</v>
      </c>
      <c r="X35" s="17" t="e">
        <f>IF(ISNA(VLOOKUP(A35,'Données projet'!$A$35:$I$55,6,0)),0%,VLOOKUP(A35,'Données projet'!$A$35:$I$55,6,0)*VLOOKUP('Données projet'!$B$9,Paramètres!$A$1:$I$89,7,0))</f>
        <v>#VALUE!</v>
      </c>
      <c r="Y35" s="17" t="str">
        <f>IF(ISNA(VLOOKUP(A35,'Données projet'!$A$35:$I$55,7,0)),0%,VLOOKUP(A35,'Données projet'!$A$35:$I$55,7,0))</f>
        <v/>
      </c>
      <c r="Z35" s="23" t="e">
        <f>EXP(-LN(2)/35)*Z34+(1-EXP(-LN(2)/35))/(LN(2)/35)*V35*W35*VLOOKUP('Données projet'!$B$9,Paramètres!$A$1:$I$89,3,0)*0.475*44/12</f>
        <v>#VALUE!</v>
      </c>
      <c r="AA35" s="23" t="e">
        <f>EXP(-LN(2)/25)*AA34+(1-EXP(-LN(2)/25))/(LN(2)/25)*Calculateur!V35*Calculateur!X35*VLOOKUP('Données projet'!$B$9,Paramètres!$A$1:$I$89,3,0)*0.475*44/12</f>
        <v>#VALUE!</v>
      </c>
      <c r="AB35" s="23" t="e">
        <f>EXP(-LN(2)/2)*AB34+(1-EXP(-LN(2)/2))/(LN(2)/2)*V35*Y35*VLOOKUP('Données projet'!$B$9,Paramètres!$A$1:$I$89,3,0)*0.475*44/12</f>
        <v>#VALUE!</v>
      </c>
      <c r="AC35" s="24" t="e">
        <f t="shared" si="3"/>
        <v>#VALUE!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58.861423254948107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149.52545095126411</v>
      </c>
      <c r="AO35" s="62">
        <f t="shared" si="36"/>
        <v>457.9161829331029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46.76447559180771</v>
      </c>
      <c r="AV35" s="23">
        <f>EXP(-LN(2)/25)*AV34+(1-EXP(-LN(2)/25))/(LN(2)/25)*Calculateur!AQ35*Calculateur!AS35*VLOOKUP('Données projet'!$B$10,Paramètres!$A$1:$I$89,3,0)*0.475*44/12</f>
        <v>18.480725022670558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65.245200614478264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58.861423254948107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7.4</v>
      </c>
      <c r="BD35" s="13">
        <f>IF('Données projet'!$A$88&gt;35,BD34+BC35-BL34,IF(A35&lt;'Données projet'!$A$88,$BA$205^A35,IF(A35='Données projet'!$A$88,'Données projet'!$B$88,BD34+BC35-BL34)))</f>
        <v>96.800000000000011</v>
      </c>
      <c r="BE35" s="14">
        <f>BD35*VLOOKUP('Données projet'!$B$11,Paramètres!$A$1:$I$89,3,0)*VLOOKUP('Données projet'!$B$11,Paramètres!$A$1:$I$89,5,0)</f>
        <v>98.155200000000022</v>
      </c>
      <c r="BF35" s="14">
        <f t="shared" si="37"/>
        <v>26.522024238465775</v>
      </c>
      <c r="BG35" s="22">
        <f t="shared" si="7"/>
        <v>217.14616554866123</v>
      </c>
      <c r="BH35" s="62">
        <f t="shared" si="8"/>
        <v>469.63805081680425</v>
      </c>
      <c r="BI35" s="62">
        <f ca="1">AVERAGE(OFFSET($BH$3,0,0,'Données projet'!$E$11+1,1))-AVERAGE(OFFSET($H$3,0,0,'Données projet'!$E$11+1,1))</f>
        <v>408.82357969905803</v>
      </c>
      <c r="BJ35" s="62">
        <f t="shared" si="38"/>
        <v>263.2013060831145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58.861423254948107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</v>
      </c>
      <c r="BY35" s="13">
        <f>IF('Données projet'!$A$114&gt;35,BY34+BX35-CG34,IF(A35&lt;'Données projet'!$A$114,$BV$205^A35,IF(A35='Données projet'!$A$114,'Données projet'!$B$114,BY34+BX35-CG34)))</f>
        <v>136</v>
      </c>
      <c r="BZ35" s="14">
        <f>BY35*VLOOKUP('Données projet'!$B$12,Paramètres!$A$1:$I$89,3,0)*VLOOKUP('Données projet'!$B$12,Paramètres!$A$1:$I$89,5,0)</f>
        <v>129.41759999999999</v>
      </c>
      <c r="CA35" s="14">
        <f t="shared" si="39"/>
        <v>33.861748644709095</v>
      </c>
      <c r="CB35" s="22">
        <f t="shared" si="10"/>
        <v>284.37819888953499</v>
      </c>
      <c r="CC35" s="62">
        <f t="shared" si="11"/>
        <v>536.87008415767809</v>
      </c>
      <c r="CD35" s="62">
        <f ca="1">AVERAGE(OFFSET($CC$3,0,0,'Données projet'!$E$12+1,1))-AVERAGE(OFFSET($H$3,0,0,'Données projet'!$E$12+1,1))</f>
        <v>451.95887041951761</v>
      </c>
      <c r="CE35" s="62">
        <f t="shared" si="40"/>
        <v>311.32964503257341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58.861423254948107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58.861423254948107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58.861423254948107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58.861423254948107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58.861423254948107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58.861423254948107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3.9000000000000004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4.6949760000000023</v>
      </c>
      <c r="D36" s="12">
        <f t="shared" si="32"/>
        <v>1.8072045710620348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20.042763371978374</v>
      </c>
      <c r="H36" s="70">
        <f t="shared" si="1"/>
        <v>210.79129782793305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59.054652659347767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14.684615384615379</v>
      </c>
      <c r="N36" s="14">
        <f>IF('Données projet'!$A$36&gt;35,N35+M36-V35,IF(A36&lt;'Données projet'!$A$36,$K$205^A36,IF(A36='Données projet'!$A$36,'Données projet'!$B$36,N35+M36-V35)))</f>
        <v>233.26923076923072</v>
      </c>
      <c r="O36" s="14">
        <f>N36*VLOOKUP('Données projet'!$B$9,Paramètres!$A$1:$I$89,3,0)*VLOOKUP('Données projet'!$B$9,Paramètres!$A$1:$I$89,5,0)</f>
        <v>139.49499999999998</v>
      </c>
      <c r="P36" s="14">
        <f t="shared" si="33"/>
        <v>36.181292766658473</v>
      </c>
      <c r="Q36" s="22">
        <f t="shared" si="53"/>
        <v>305.96954323526342</v>
      </c>
      <c r="R36" s="62">
        <f t="shared" si="0"/>
        <v>559.16993631953858</v>
      </c>
      <c r="S36" s="62">
        <f ca="1">AVERAGE(OFFSET($R$3,0,0,'Données projet'!$E$9+1,1))-AVERAGE(OFFSET($H$3,0,0,'Données projet'!$E$9+1,1))</f>
        <v>251.99201350544561</v>
      </c>
      <c r="T36" s="62">
        <f t="shared" si="34"/>
        <v>366.66533117979162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 t="e">
        <f>EXP(-LN(2)/35)*Z35+(1-EXP(-LN(2)/35))/(LN(2)/35)*V36*W36*VLOOKUP('Données projet'!$B$9,Paramètres!$A$1:$I$89,3,0)*0.475*44/12</f>
        <v>#VALUE!</v>
      </c>
      <c r="AA36" s="23" t="e">
        <f>EXP(-LN(2)/25)*AA35+(1-EXP(-LN(2)/25))/(LN(2)/25)*Calculateur!V36*Calculateur!X36*VLOOKUP('Données projet'!$B$9,Paramètres!$A$1:$I$89,3,0)*0.475*44/12</f>
        <v>#VALUE!</v>
      </c>
      <c r="AB36" s="23" t="e">
        <f>EXP(-LN(2)/2)*AB35+(1-EXP(-LN(2)/2))/(LN(2)/2)*V36*Y36*VLOOKUP('Données projet'!$B$9,Paramètres!$A$1:$I$89,3,0)*0.475*44/12</f>
        <v>#VALUE!</v>
      </c>
      <c r="AC36" s="24" t="e">
        <f t="shared" si="3"/>
        <v>#VALUE!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59.054652659347767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149.52545095126411</v>
      </c>
      <c r="AO36" s="62">
        <f t="shared" si="36"/>
        <v>457.9161829331029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45.847452748966006</v>
      </c>
      <c r="AV36" s="23">
        <f>EXP(-LN(2)/25)*AV35+(1-EXP(-LN(2)/25))/(LN(2)/25)*Calculateur!AQ36*Calculateur!AS36*VLOOKUP('Données projet'!$B$10,Paramètres!$A$1:$I$89,3,0)*0.475*44/12</f>
        <v>17.97536862506654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63.822821374032543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59.054652659347767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7.4</v>
      </c>
      <c r="BD36" s="13">
        <f>IF('Données projet'!$A$88&gt;35,BD35+BC36-BL35,IF(A36&lt;'Données projet'!$A$88,$BA$205^A36,IF(A36='Données projet'!$A$88,'Données projet'!$B$88,BD35+BC36-BL35)))</f>
        <v>104.20000000000002</v>
      </c>
      <c r="BE36" s="14">
        <f>BD36*VLOOKUP('Données projet'!$B$11,Paramètres!$A$1:$I$89,3,0)*VLOOKUP('Données projet'!$B$11,Paramètres!$A$1:$I$89,5,0)</f>
        <v>105.65880000000003</v>
      </c>
      <c r="BF36" s="14">
        <f t="shared" si="37"/>
        <v>28.305779445097876</v>
      </c>
      <c r="BG36" s="22">
        <f t="shared" si="7"/>
        <v>233.32164253354551</v>
      </c>
      <c r="BH36" s="62">
        <f t="shared" si="8"/>
        <v>486.52203561782062</v>
      </c>
      <c r="BI36" s="62">
        <f ca="1">AVERAGE(OFFSET($BH$3,0,0,'Données projet'!$E$11+1,1))-AVERAGE(OFFSET($H$3,0,0,'Données projet'!$E$11+1,1))</f>
        <v>408.82357969905803</v>
      </c>
      <c r="BJ36" s="62">
        <f t="shared" si="38"/>
        <v>263.2013060831145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59.054652659347767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</v>
      </c>
      <c r="BY36" s="13">
        <f>IF('Données projet'!$A$114&gt;35,BY35+BX36-CG35,IF(A36&lt;'Données projet'!$A$114,$BV$205^A36,IF(A36='Données projet'!$A$114,'Données projet'!$B$114,BY35+BX36-CG35)))</f>
        <v>148</v>
      </c>
      <c r="BZ36" s="14">
        <f>BY36*VLOOKUP('Données projet'!$B$12,Paramètres!$A$1:$I$89,3,0)*VLOOKUP('Données projet'!$B$12,Paramètres!$A$1:$I$89,5,0)</f>
        <v>140.83680000000001</v>
      </c>
      <c r="CA36" s="14">
        <f t="shared" si="39"/>
        <v>36.48863808581752</v>
      </c>
      <c r="CB36" s="22">
        <f t="shared" si="10"/>
        <v>308.84180466613213</v>
      </c>
      <c r="CC36" s="62">
        <f t="shared" si="11"/>
        <v>562.04219775040724</v>
      </c>
      <c r="CD36" s="62">
        <f ca="1">AVERAGE(OFFSET($CC$3,0,0,'Données projet'!$E$12+1,1))-AVERAGE(OFFSET($H$3,0,0,'Données projet'!$E$12+1,1))</f>
        <v>451.95887041951761</v>
      </c>
      <c r="CE36" s="62">
        <f t="shared" si="40"/>
        <v>311.32964503257341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59.054652659347767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59.054652659347767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59.054652659347767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59.054652659347767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59.054652659347767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59.054652659347767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3.9000000000000004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4.8372480000000024</v>
      </c>
      <c r="D37" s="12">
        <f t="shared" si="32"/>
        <v>1.8555094486947918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20.2781425331248</v>
      </c>
      <c r="H37" s="70">
        <f t="shared" si="1"/>
        <v>211.12321922314342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59.244529965577321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14.684615384615379</v>
      </c>
      <c r="N37" s="14">
        <f>IF('Données projet'!$A$36&gt;35,N36+M37-V36,IF(A37&lt;'Données projet'!$A$36,$K$205^A37,IF(A37='Données projet'!$A$36,'Données projet'!$B$36,N36+M37-V36)))</f>
        <v>247.95384615384609</v>
      </c>
      <c r="O37" s="14">
        <f>N37*VLOOKUP('Données projet'!$B$9,Paramètres!$A$1:$I$89,3,0)*VLOOKUP('Données projet'!$B$9,Paramètres!$A$1:$I$89,5,0)</f>
        <v>148.27639999999997</v>
      </c>
      <c r="P37" s="14">
        <f t="shared" si="33"/>
        <v>38.186628260767677</v>
      </c>
      <c r="Q37" s="22">
        <f t="shared" si="53"/>
        <v>324.75644088750363</v>
      </c>
      <c r="R37" s="62">
        <f t="shared" si="0"/>
        <v>578.6530507612872</v>
      </c>
      <c r="S37" s="62">
        <f ca="1">AVERAGE(OFFSET($R$3,0,0,'Données projet'!$E$9+1,1))-AVERAGE(OFFSET($H$3,0,0,'Données projet'!$E$9+1,1))</f>
        <v>251.99201350544561</v>
      </c>
      <c r="T37" s="62">
        <f t="shared" si="34"/>
        <v>366.66533117979162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 t="e">
        <f>EXP(-LN(2)/35)*Z36+(1-EXP(-LN(2)/35))/(LN(2)/35)*V37*W37*VLOOKUP('Données projet'!$B$9,Paramètres!$A$1:$I$89,3,0)*0.475*44/12</f>
        <v>#VALUE!</v>
      </c>
      <c r="AA37" s="23" t="e">
        <f>EXP(-LN(2)/25)*AA36+(1-EXP(-LN(2)/25))/(LN(2)/25)*Calculateur!V37*Calculateur!X37*VLOOKUP('Données projet'!$B$9,Paramètres!$A$1:$I$89,3,0)*0.475*44/12</f>
        <v>#VALUE!</v>
      </c>
      <c r="AB37" s="23" t="e">
        <f>EXP(-LN(2)/2)*AB36+(1-EXP(-LN(2)/2))/(LN(2)/2)*V37*Y37*VLOOKUP('Données projet'!$B$9,Paramètres!$A$1:$I$89,3,0)*0.475*44/12</f>
        <v>#VALUE!</v>
      </c>
      <c r="AC37" s="24" t="e">
        <f t="shared" si="3"/>
        <v>#VALUE!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59.244529965577321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149.52545095126411</v>
      </c>
      <c r="AO37" s="62">
        <f t="shared" si="36"/>
        <v>457.9161829331029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44.948412164743729</v>
      </c>
      <c r="AV37" s="23">
        <f>EXP(-LN(2)/25)*AV36+(1-EXP(-LN(2)/25))/(LN(2)/25)*Calculateur!AQ37*Calculateur!AS37*VLOOKUP('Données projet'!$B$10,Paramètres!$A$1:$I$89,3,0)*0.475*44/12</f>
        <v>17.483831224730544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62.432243389474273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59.244529965577321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7.4</v>
      </c>
      <c r="BD37" s="13">
        <f>IF('Données projet'!$A$88&gt;35,BD36+BC37-BL36,IF(A37&lt;'Données projet'!$A$88,$BA$205^A37,IF(A37='Données projet'!$A$88,'Données projet'!$B$88,BD36+BC37-BL36)))</f>
        <v>111.60000000000002</v>
      </c>
      <c r="BE37" s="14">
        <f>BD37*VLOOKUP('Données projet'!$B$11,Paramètres!$A$1:$I$89,3,0)*VLOOKUP('Données projet'!$B$11,Paramètres!$A$1:$I$89,5,0)</f>
        <v>113.16240000000003</v>
      </c>
      <c r="BF37" s="14">
        <f t="shared" si="37"/>
        <v>30.074837140704965</v>
      </c>
      <c r="BG37" s="22">
        <f t="shared" si="7"/>
        <v>249.47152135339448</v>
      </c>
      <c r="BH37" s="62">
        <f t="shared" si="8"/>
        <v>503.36813122717797</v>
      </c>
      <c r="BI37" s="62">
        <f ca="1">AVERAGE(OFFSET($BH$3,0,0,'Données projet'!$E$11+1,1))-AVERAGE(OFFSET($H$3,0,0,'Données projet'!$E$11+1,1))</f>
        <v>408.82357969905803</v>
      </c>
      <c r="BJ37" s="62">
        <f t="shared" si="38"/>
        <v>263.2013060831145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59.244529965577321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</v>
      </c>
      <c r="BY37" s="13">
        <f>IF('Données projet'!$A$114&gt;35,BY36+BX37-CG36,IF(A37&lt;'Données projet'!$A$114,$BV$205^A37,IF(A37='Données projet'!$A$114,'Données projet'!$B$114,BY36+BX37-CG36)))</f>
        <v>160</v>
      </c>
      <c r="BZ37" s="14">
        <f>BY37*VLOOKUP('Données projet'!$B$12,Paramètres!$A$1:$I$89,3,0)*VLOOKUP('Données projet'!$B$12,Paramètres!$A$1:$I$89,5,0)</f>
        <v>152.256</v>
      </c>
      <c r="CA37" s="14">
        <f t="shared" si="39"/>
        <v>39.090823441353066</v>
      </c>
      <c r="CB37" s="22">
        <f t="shared" si="10"/>
        <v>333.26238416035659</v>
      </c>
      <c r="CC37" s="62">
        <f t="shared" si="11"/>
        <v>587.15899403414005</v>
      </c>
      <c r="CD37" s="62">
        <f ca="1">AVERAGE(OFFSET($CC$3,0,0,'Données projet'!$E$12+1,1))-AVERAGE(OFFSET($H$3,0,0,'Données projet'!$E$12+1,1))</f>
        <v>451.95887041951761</v>
      </c>
      <c r="CE37" s="62">
        <f t="shared" si="40"/>
        <v>311.32964503257341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59.244529965577321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59.244529965577321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59.244529965577321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59.244529965577321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59.244529965577321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59.244529965577321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3.9000000000000004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4.9795200000000026</v>
      </c>
      <c r="D38" s="12">
        <f t="shared" si="32"/>
        <v>1.9036492107621752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20.513317762064165</v>
      </c>
      <c r="H38" s="70">
        <f t="shared" si="1"/>
        <v>211.45485304207747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59.43111332504585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14.684615384615379</v>
      </c>
      <c r="N38" s="14">
        <f>IF('Données projet'!$A$36&gt;35,N37+M38-V37,IF(A38&lt;'Données projet'!$A$36,$K$205^A38,IF(A38='Données projet'!$A$36,'Données projet'!$B$36,N37+M38-V37)))</f>
        <v>262.63846153846146</v>
      </c>
      <c r="O38" s="14">
        <f>N38*VLOOKUP('Données projet'!$B$9,Paramètres!$A$1:$I$89,3,0)*VLOOKUP('Données projet'!$B$9,Paramètres!$A$1:$I$89,5,0)</f>
        <v>157.05779999999996</v>
      </c>
      <c r="P38" s="14">
        <f t="shared" si="33"/>
        <v>40.17817885168315</v>
      </c>
      <c r="Q38" s="22">
        <f t="shared" si="53"/>
        <v>343.51932983334808</v>
      </c>
      <c r="R38" s="62">
        <f t="shared" si="0"/>
        <v>598.1000786918496</v>
      </c>
      <c r="S38" s="62">
        <f ca="1">AVERAGE(OFFSET($R$3,0,0,'Données projet'!$E$9+1,1))-AVERAGE(OFFSET($H$3,0,0,'Données projet'!$E$9+1,1))</f>
        <v>251.99201350544561</v>
      </c>
      <c r="T38" s="62">
        <f t="shared" si="34"/>
        <v>366.66533117979162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 t="e">
        <f>EXP(-LN(2)/35)*Z37+(1-EXP(-LN(2)/35))/(LN(2)/35)*V38*W38*VLOOKUP('Données projet'!$B$9,Paramètres!$A$1:$I$89,3,0)*0.475*44/12</f>
        <v>#VALUE!</v>
      </c>
      <c r="AA38" s="23" t="e">
        <f>EXP(-LN(2)/25)*AA37+(1-EXP(-LN(2)/25))/(LN(2)/25)*Calculateur!V38*Calculateur!X38*VLOOKUP('Données projet'!$B$9,Paramètres!$A$1:$I$89,3,0)*0.475*44/12</f>
        <v>#VALUE!</v>
      </c>
      <c r="AB38" s="23" t="e">
        <f>EXP(-LN(2)/2)*AB37+(1-EXP(-LN(2)/2))/(LN(2)/2)*V38*Y38*VLOOKUP('Données projet'!$B$9,Paramètres!$A$1:$I$89,3,0)*0.475*44/12</f>
        <v>#VALUE!</v>
      </c>
      <c r="AC38" s="24" t="e">
        <f t="shared" si="3"/>
        <v>#VALUE!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59.43111332504585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149.52545095126411</v>
      </c>
      <c r="AO38" s="62">
        <f t="shared" si="36"/>
        <v>457.9161829331029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44.067001218017438</v>
      </c>
      <c r="AV38" s="23">
        <f>EXP(-LN(2)/25)*AV37+(1-EXP(-LN(2)/25))/(LN(2)/25)*Calculateur!AQ38*Calculateur!AS38*VLOOKUP('Données projet'!$B$10,Paramètres!$A$1:$I$89,3,0)*0.475*44/12</f>
        <v>17.005734940455564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61.072736158473006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59.43111332504585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119</v>
      </c>
      <c r="BB38" s="13">
        <f>VLOOKUP(A38,'Données projet'!$A$87:$I$107,9,0)</f>
        <v>7.4</v>
      </c>
      <c r="BC38" s="13">
        <f t="array" ref="BC38">INDEX(BB:BB,MIN(IF(ISNUMBER(BB38:BB234),ROW(BB38:BB234),"")))</f>
        <v>7.4</v>
      </c>
      <c r="BD38" s="13">
        <f>IF('Données projet'!$A$88&gt;35,BD37+BC38-BL37,IF(A38&lt;'Données projet'!$A$88,$BA$205^A38,IF(A38='Données projet'!$A$88,'Données projet'!$B$88,BD37+BC38-BL37)))</f>
        <v>119.00000000000003</v>
      </c>
      <c r="BE38" s="14">
        <f>BD38*VLOOKUP('Données projet'!$B$11,Paramètres!$A$1:$I$89,3,0)*VLOOKUP('Données projet'!$B$11,Paramètres!$A$1:$I$89,5,0)</f>
        <v>120.66600000000004</v>
      </c>
      <c r="BF38" s="14">
        <f t="shared" si="37"/>
        <v>31.830282786190971</v>
      </c>
      <c r="BG38" s="22">
        <f t="shared" si="7"/>
        <v>265.59769251928265</v>
      </c>
      <c r="BH38" s="62">
        <f t="shared" si="8"/>
        <v>520.17844137778411</v>
      </c>
      <c r="BI38" s="62">
        <f ca="1">AVERAGE(OFFSET($BH$3,0,0,'Données projet'!$E$11+1,1))-AVERAGE(OFFSET($H$3,0,0,'Données projet'!$E$11+1,1))</f>
        <v>408.82357969905803</v>
      </c>
      <c r="BJ38" s="62">
        <f t="shared" si="38"/>
        <v>263.2013060831145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19</v>
      </c>
      <c r="BM38" s="17">
        <f>IF(ISNA(VLOOKUP(A38,'Données projet'!$A$87:$I$107,5,0)),0%,VLOOKUP(A38,'Données projet'!$A$87:$I$107,5,0)*VLOOKUP('Données projet'!$B$11,Paramètres!$A$1:$I$89,7,0))</f>
        <v>8.6000000000000007E-2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1.8316273405590362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1.8316273405590362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59.43111332504585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172</v>
      </c>
      <c r="BW38" s="13">
        <f>VLOOKUP(A38,'Données projet'!$A$113:$I$133,9,0)</f>
        <v>12</v>
      </c>
      <c r="BX38" s="13">
        <f t="array" ref="BX38">INDEX(BW:BW,MIN(IF(ISNUMBER(BW38:BW234),ROW(BW38:BW234),"")))</f>
        <v>12</v>
      </c>
      <c r="BY38" s="13">
        <f>IF('Données projet'!$A$114&gt;35,BY37+BX38-CG37,IF(A38&lt;'Données projet'!$A$114,$BV$205^A38,IF(A38='Données projet'!$A$114,'Données projet'!$B$114,BY37+BX38-CG37)))</f>
        <v>172</v>
      </c>
      <c r="BZ38" s="14">
        <f>BY38*VLOOKUP('Données projet'!$B$12,Paramètres!$A$1:$I$89,3,0)*VLOOKUP('Données projet'!$B$12,Paramètres!$A$1:$I$89,5,0)</f>
        <v>163.67520000000002</v>
      </c>
      <c r="CA38" s="14">
        <f t="shared" si="39"/>
        <v>41.670368197291587</v>
      </c>
      <c r="CB38" s="22">
        <f t="shared" si="10"/>
        <v>357.64353127694955</v>
      </c>
      <c r="CC38" s="62">
        <f t="shared" si="11"/>
        <v>612.22428013545095</v>
      </c>
      <c r="CD38" s="62">
        <f ca="1">AVERAGE(OFFSET($CC$3,0,0,'Données projet'!$E$12+1,1))-AVERAGE(OFFSET($H$3,0,0,'Données projet'!$E$12+1,1))</f>
        <v>451.95887041951761</v>
      </c>
      <c r="CE38" s="62">
        <f t="shared" si="40"/>
        <v>311.32964503257341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22</v>
      </c>
      <c r="CH38" s="17">
        <f>IF(ISNA(VLOOKUP(A38,'Données projet'!$A$113:$I$133,5,0)),0%,VLOOKUP(A38,'Données projet'!$A$113:$I$133,5,0)*VLOOKUP('Données projet'!$B$12,Paramètres!$A$1:$I$89,7,0))</f>
        <v>8.6000000000000007E-2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1.9903189401054469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1.9903189401054469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59.43111332504585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59.43111332504585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59.43111332504585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59.43111332504585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59.43111332504585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59.43111332504585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3.9000000000000004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5.1217920000000028</v>
      </c>
      <c r="D39" s="12">
        <f t="shared" si="32"/>
        <v>1.9516291166809481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20.748295554637529</v>
      </c>
      <c r="H39" s="70">
        <f t="shared" si="1"/>
        <v>211.786208444886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59.614459880365501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14.684615384615379</v>
      </c>
      <c r="N39" s="14">
        <f>IF('Données projet'!$A$36&gt;35,N38+M39-V38,IF(A39&lt;'Données projet'!$A$36,$K$205^A39,IF(A39='Données projet'!$A$36,'Données projet'!$B$36,N38+M39-V38)))</f>
        <v>277.32307692307683</v>
      </c>
      <c r="O39" s="14">
        <f>N39*VLOOKUP('Données projet'!$B$9,Paramètres!$A$1:$I$89,3,0)*VLOOKUP('Données projet'!$B$9,Paramètres!$A$1:$I$89,5,0)</f>
        <v>165.83919999999995</v>
      </c>
      <c r="P39" s="14">
        <f t="shared" si="33"/>
        <v>42.156803118819461</v>
      </c>
      <c r="Q39" s="22">
        <f t="shared" si="53"/>
        <v>362.25970543194381</v>
      </c>
      <c r="R39" s="62">
        <f t="shared" si="0"/>
        <v>617.512724993284</v>
      </c>
      <c r="S39" s="62">
        <f ca="1">AVERAGE(OFFSET($R$3,0,0,'Données projet'!$E$9+1,1))-AVERAGE(OFFSET($H$3,0,0,'Données projet'!$E$9+1,1))</f>
        <v>251.99201350544561</v>
      </c>
      <c r="T39" s="62">
        <f t="shared" si="34"/>
        <v>366.66533117979162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 t="e">
        <f>EXP(-LN(2)/35)*Z38+(1-EXP(-LN(2)/35))/(LN(2)/35)*V39*W39*VLOOKUP('Données projet'!$B$9,Paramètres!$A$1:$I$89,3,0)*0.475*44/12</f>
        <v>#VALUE!</v>
      </c>
      <c r="AA39" s="23" t="e">
        <f>EXP(-LN(2)/25)*AA38+(1-EXP(-LN(2)/25))/(LN(2)/25)*Calculateur!V39*Calculateur!X39*VLOOKUP('Données projet'!$B$9,Paramètres!$A$1:$I$89,3,0)*0.475*44/12</f>
        <v>#VALUE!</v>
      </c>
      <c r="AB39" s="23" t="e">
        <f>EXP(-LN(2)/2)*AB38+(1-EXP(-LN(2)/2))/(LN(2)/2)*V39*Y39*VLOOKUP('Données projet'!$B$9,Paramètres!$A$1:$I$89,3,0)*0.475*44/12</f>
        <v>#VALUE!</v>
      </c>
      <c r="AC39" s="24" t="e">
        <f t="shared" si="3"/>
        <v>#VALUE!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59.614459880365501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149.52545095126411</v>
      </c>
      <c r="AO39" s="62">
        <f t="shared" si="36"/>
        <v>457.9161829331029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43.202874202348859</v>
      </c>
      <c r="AV39" s="23">
        <f>EXP(-LN(2)/25)*AV38+(1-EXP(-LN(2)/25))/(LN(2)/25)*Calculateur!AQ39*Calculateur!AS39*VLOOKUP('Données projet'!$B$10,Paramètres!$A$1:$I$89,3,0)*0.475*44/12</f>
        <v>16.540712224216072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59.743586426564931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59.614459880365501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7.4</v>
      </c>
      <c r="BD39" s="13">
        <f>IF('Données projet'!$A$88&gt;35,BD38+BC39-BL38,IF(A39&lt;'Données projet'!$A$88,$BA$205^A39,IF(A39='Données projet'!$A$88,'Données projet'!$B$88,BD38+BC39-BL38)))</f>
        <v>107.40000000000003</v>
      </c>
      <c r="BE39" s="14">
        <f>BD39*VLOOKUP('Données projet'!$B$11,Paramètres!$A$1:$I$89,3,0)*VLOOKUP('Données projet'!$B$11,Paramètres!$A$1:$I$89,5,0)</f>
        <v>108.90360000000005</v>
      </c>
      <c r="BF39" s="14">
        <f t="shared" si="37"/>
        <v>29.072513771748902</v>
      </c>
      <c r="BG39" s="22">
        <f t="shared" si="7"/>
        <v>240.30839815246273</v>
      </c>
      <c r="BH39" s="62">
        <f t="shared" si="8"/>
        <v>495.56141771380288</v>
      </c>
      <c r="BI39" s="62">
        <f ca="1">AVERAGE(OFFSET($BH$3,0,0,'Données projet'!$E$11+1,1))-AVERAGE(OFFSET($H$3,0,0,'Données projet'!$E$11+1,1))</f>
        <v>408.82357969905803</v>
      </c>
      <c r="BJ39" s="62">
        <f t="shared" si="38"/>
        <v>263.2013060831145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1.7957102455930387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1.7957102455930387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59.614459880365501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10.4</v>
      </c>
      <c r="BY39" s="13">
        <f>IF('Données projet'!$A$114&gt;35,BY38+BX39-CG38,IF(A39&lt;'Données projet'!$A$114,$BV$205^A39,IF(A39='Données projet'!$A$114,'Données projet'!$B$114,BY38+BX39-CG38)))</f>
        <v>160.4</v>
      </c>
      <c r="BZ39" s="14">
        <f>BY39*VLOOKUP('Données projet'!$B$12,Paramètres!$A$1:$I$89,3,0)*VLOOKUP('Données projet'!$B$12,Paramètres!$A$1:$I$89,5,0)</f>
        <v>152.63664000000003</v>
      </c>
      <c r="CA39" s="14">
        <f t="shared" si="39"/>
        <v>39.177162517846426</v>
      </c>
      <c r="CB39" s="22">
        <f t="shared" si="10"/>
        <v>334.07570605191592</v>
      </c>
      <c r="CC39" s="62">
        <f t="shared" si="11"/>
        <v>589.3287256132561</v>
      </c>
      <c r="CD39" s="62">
        <f ca="1">AVERAGE(OFFSET($CC$3,0,0,'Données projet'!$E$12+1,1))-AVERAGE(OFFSET($H$3,0,0,'Données projet'!$E$12+1,1))</f>
        <v>451.95887041951761</v>
      </c>
      <c r="CE39" s="62">
        <f t="shared" si="40"/>
        <v>311.32964503257341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1.9512899996646624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1.9512899996646624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59.614459880365501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59.614459880365501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59.614459880365501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59.614459880365501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59.614459880365501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59.614459880365501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3.9000000000000004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5.264064000000003</v>
      </c>
      <c r="D40" s="12">
        <f t="shared" si="32"/>
        <v>1.9994541170518658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20.983082025271081</v>
      </c>
      <c r="H40" s="70">
        <f t="shared" si="1"/>
        <v>212.11729405386535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59.794625782851853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14.684615384615379</v>
      </c>
      <c r="N40" s="14">
        <f>IF('Données projet'!$A$36&gt;35,N39+M40-V39,IF(A40&lt;'Données projet'!$A$36,$K$205^A40,IF(A40='Données projet'!$A$36,'Données projet'!$B$36,N39+M40-V39)))</f>
        <v>292.0076923076922</v>
      </c>
      <c r="O40" s="14">
        <f>N40*VLOOKUP('Données projet'!$B$9,Paramètres!$A$1:$I$89,3,0)*VLOOKUP('Données projet'!$B$9,Paramètres!$A$1:$I$89,5,0)</f>
        <v>174.62059999999994</v>
      </c>
      <c r="P40" s="14">
        <f t="shared" si="33"/>
        <v>44.123263580402565</v>
      </c>
      <c r="Q40" s="22">
        <f t="shared" si="53"/>
        <v>380.97889573586764</v>
      </c>
      <c r="R40" s="62">
        <f t="shared" si="0"/>
        <v>636.8925236063244</v>
      </c>
      <c r="S40" s="62">
        <f ca="1">AVERAGE(OFFSET($R$3,0,0,'Données projet'!$E$9+1,1))-AVERAGE(OFFSET($H$3,0,0,'Données projet'!$E$9+1,1))</f>
        <v>251.99201350544561</v>
      </c>
      <c r="T40" s="62">
        <f t="shared" si="34"/>
        <v>366.66533117979162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 t="e">
        <f>EXP(-LN(2)/35)*Z39+(1-EXP(-LN(2)/35))/(LN(2)/35)*V40*W40*VLOOKUP('Données projet'!$B$9,Paramètres!$A$1:$I$89,3,0)*0.475*44/12</f>
        <v>#VALUE!</v>
      </c>
      <c r="AA40" s="23" t="e">
        <f>EXP(-LN(2)/25)*AA39+(1-EXP(-LN(2)/25))/(LN(2)/25)*Calculateur!V40*Calculateur!X40*VLOOKUP('Données projet'!$B$9,Paramètres!$A$1:$I$89,3,0)*0.475*44/12</f>
        <v>#VALUE!</v>
      </c>
      <c r="AB40" s="23" t="e">
        <f>EXP(-LN(2)/2)*AB39+(1-EXP(-LN(2)/2))/(LN(2)/2)*V40*Y40*VLOOKUP('Données projet'!$B$9,Paramètres!$A$1:$I$89,3,0)*0.475*44/12</f>
        <v>#VALUE!</v>
      </c>
      <c r="AC40" s="24" t="e">
        <f t="shared" si="3"/>
        <v>#VALUE!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59.794625782851853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149.52545095126411</v>
      </c>
      <c r="AO40" s="62">
        <f t="shared" si="36"/>
        <v>457.9161829331029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42.355692190392098</v>
      </c>
      <c r="AV40" s="23">
        <f>EXP(-LN(2)/25)*AV39+(1-EXP(-LN(2)/25))/(LN(2)/25)*Calculateur!AQ40*Calculateur!AS40*VLOOKUP('Données projet'!$B$10,Paramètres!$A$1:$I$89,3,0)*0.475*44/12</f>
        <v>16.088405578606633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58.444097768998731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59.794625782851853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7.4</v>
      </c>
      <c r="BD40" s="13">
        <f>IF('Données projet'!$A$88&gt;35,BD39+BC40-BL39,IF(A40&lt;'Données projet'!$A$88,$BA$205^A40,IF(A40='Données projet'!$A$88,'Données projet'!$B$88,BD39+BC40-BL39)))</f>
        <v>114.80000000000004</v>
      </c>
      <c r="BE40" s="14">
        <f>BD40*VLOOKUP('Données projet'!$B$11,Paramètres!$A$1:$I$89,3,0)*VLOOKUP('Données projet'!$B$11,Paramètres!$A$1:$I$89,5,0)</f>
        <v>116.40720000000006</v>
      </c>
      <c r="BF40" s="14">
        <f t="shared" si="37"/>
        <v>30.835561008615734</v>
      </c>
      <c r="BG40" s="22">
        <f t="shared" si="7"/>
        <v>256.44780875667249</v>
      </c>
      <c r="BH40" s="62">
        <f t="shared" si="8"/>
        <v>512.36143662712925</v>
      </c>
      <c r="BI40" s="62">
        <f ca="1">AVERAGE(OFFSET($BH$3,0,0,'Données projet'!$E$11+1,1))-AVERAGE(OFFSET($H$3,0,0,'Données projet'!$E$11+1,1))</f>
        <v>408.82357969905803</v>
      </c>
      <c r="BJ40" s="62">
        <f t="shared" si="38"/>
        <v>263.2013060831145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1.7604974629520596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1.7604974629520596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59.794625782851853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10.4</v>
      </c>
      <c r="BY40" s="13">
        <f>IF('Données projet'!$A$114&gt;35,BY39+BX40-CG39,IF(A40&lt;'Données projet'!$A$114,$BV$205^A40,IF(A40='Données projet'!$A$114,'Données projet'!$B$114,BY39+BX40-CG39)))</f>
        <v>170.8</v>
      </c>
      <c r="BZ40" s="14">
        <f>BY40*VLOOKUP('Données projet'!$B$12,Paramètres!$A$1:$I$89,3,0)*VLOOKUP('Données projet'!$B$12,Paramètres!$A$1:$I$89,5,0)</f>
        <v>162.53328000000002</v>
      </c>
      <c r="CA40" s="14">
        <f t="shared" si="39"/>
        <v>41.413380335156035</v>
      </c>
      <c r="CB40" s="22">
        <f t="shared" si="10"/>
        <v>355.20710008373004</v>
      </c>
      <c r="CC40" s="62">
        <f t="shared" si="11"/>
        <v>611.1207279541868</v>
      </c>
      <c r="CD40" s="62">
        <f ca="1">AVERAGE(OFFSET($CC$3,0,0,'Données projet'!$E$12+1,1))-AVERAGE(OFFSET($H$3,0,0,'Données projet'!$E$12+1,1))</f>
        <v>451.95887041951761</v>
      </c>
      <c r="CE40" s="62">
        <f t="shared" si="40"/>
        <v>311.32964503257341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1.9130263929406188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1.9130263929406188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59.794625782851853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59.794625782851853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59.794625782851853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59.794625782851853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59.794625782851853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59.794625782851853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3.9000000000000004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5.4063360000000031</v>
      </c>
      <c r="D41" s="12">
        <f t="shared" si="32"/>
        <v>2.0471288796422593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21.217682939066936</v>
      </c>
      <c r="H41" s="70">
        <f t="shared" si="1"/>
        <v>212.44811799871027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59.971666209720681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306.69230769230768</v>
      </c>
      <c r="L41" s="13">
        <f>VLOOKUP(A41,'Données projet'!$A$35:$I$55,9,0)</f>
        <v>14.684615384615379</v>
      </c>
      <c r="M41" s="13">
        <f t="array" ref="M41">INDEX(L:L,MIN(IF(ISNUMBER(L41:L237),ROW(L41:L237),"")))</f>
        <v>14.684615384615379</v>
      </c>
      <c r="N41" s="14">
        <f>IF('Données projet'!$A$36&gt;35,N40+M41-V40,IF(A41&lt;'Données projet'!$A$36,$K$205^A41,IF(A41='Données projet'!$A$36,'Données projet'!$B$36,N40+M41-V40)))</f>
        <v>306.69230769230757</v>
      </c>
      <c r="O41" s="14">
        <f>N41*VLOOKUP('Données projet'!$B$9,Paramètres!$A$1:$I$89,3,0)*VLOOKUP('Données projet'!$B$9,Paramètres!$A$1:$I$89,5,0)</f>
        <v>183.40199999999993</v>
      </c>
      <c r="P41" s="14">
        <f t="shared" si="33"/>
        <v>46.078241730770046</v>
      </c>
      <c r="Q41" s="22">
        <f t="shared" si="53"/>
        <v>399.67808768109103</v>
      </c>
      <c r="R41" s="62">
        <f t="shared" si="0"/>
        <v>656.24086378340019</v>
      </c>
      <c r="S41" s="62">
        <f ca="1">AVERAGE(OFFSET($R$3,0,0,'Données projet'!$E$9+1,1))-AVERAGE(OFFSET($H$3,0,0,'Données projet'!$E$9+1,1))</f>
        <v>251.99201350544561</v>
      </c>
      <c r="T41" s="62">
        <f t="shared" si="34"/>
        <v>366.66533117979162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 t="e">
        <f>IF(ISNA(VLOOKUP(A41,'Données projet'!$A$35:$I$55,5,0)),0%,VLOOKUP(A41,'Données projet'!$A$35:$I$55,5,0)*VLOOKUP('Données projet'!$B$9,Paramètres!$A$1:$I$89,7,0))</f>
        <v>#VALUE!</v>
      </c>
      <c r="X41" s="17" t="e">
        <f>IF(ISNA(VLOOKUP(A41,'Données projet'!$A$35:$I$55,6,0)),0%,VLOOKUP(A41,'Données projet'!$A$35:$I$55,6,0)*VLOOKUP('Données projet'!$B$9,Paramètres!$A$1:$I$89,7,0))</f>
        <v>#VALUE!</v>
      </c>
      <c r="Y41" s="17" t="str">
        <f>IF(ISNA(VLOOKUP(A41,'Données projet'!$A$35:$I$55,7,0)),0%,VLOOKUP(A41,'Données projet'!$A$35:$I$55,7,0))</f>
        <v/>
      </c>
      <c r="Z41" s="23" t="e">
        <f>EXP(-LN(2)/35)*Z40+(1-EXP(-LN(2)/35))/(LN(2)/35)*V41*W41*VLOOKUP('Données projet'!$B$9,Paramètres!$A$1:$I$89,3,0)*0.475*44/12</f>
        <v>#VALUE!</v>
      </c>
      <c r="AA41" s="23" t="e">
        <f>EXP(-LN(2)/25)*AA40+(1-EXP(-LN(2)/25))/(LN(2)/25)*Calculateur!V41*Calculateur!X41*VLOOKUP('Données projet'!$B$9,Paramètres!$A$1:$I$89,3,0)*0.475*44/12</f>
        <v>#VALUE!</v>
      </c>
      <c r="AB41" s="23" t="e">
        <f>EXP(-LN(2)/2)*AB40+(1-EXP(-LN(2)/2))/(LN(2)/2)*V41*Y41*VLOOKUP('Données projet'!$B$9,Paramètres!$A$1:$I$89,3,0)*0.475*44/12</f>
        <v>#VALUE!</v>
      </c>
      <c r="AC41" s="24" t="e">
        <f t="shared" si="3"/>
        <v>#VALUE!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59.971666209720681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149.52545095126411</v>
      </c>
      <c r="AO41" s="62">
        <f t="shared" si="36"/>
        <v>457.9161829331029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41.525122900959808</v>
      </c>
      <c r="AV41" s="23">
        <f>EXP(-LN(2)/25)*AV40+(1-EXP(-LN(2)/25))/(LN(2)/25)*Calculateur!AQ41*Calculateur!AS41*VLOOKUP('Données projet'!$B$10,Paramètres!$A$1:$I$89,3,0)*0.475*44/12</f>
        <v>15.648467282007156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57.173590182966961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59.971666209720681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7.4</v>
      </c>
      <c r="BD41" s="13">
        <f>IF('Données projet'!$A$88&gt;35,BD40+BC41-BL40,IF(A41&lt;'Données projet'!$A$88,$BA$205^A41,IF(A41='Données projet'!$A$88,'Données projet'!$B$88,BD40+BC41-BL40)))</f>
        <v>122.20000000000005</v>
      </c>
      <c r="BE41" s="14">
        <f>BD41*VLOOKUP('Données projet'!$B$11,Paramètres!$A$1:$I$89,3,0)*VLOOKUP('Données projet'!$B$11,Paramètres!$A$1:$I$89,5,0)</f>
        <v>123.91080000000007</v>
      </c>
      <c r="BF41" s="14">
        <f t="shared" si="37"/>
        <v>32.58541972748889</v>
      </c>
      <c r="BG41" s="22">
        <f t="shared" si="7"/>
        <v>272.5642493587099</v>
      </c>
      <c r="BH41" s="62">
        <f t="shared" si="8"/>
        <v>529.127025461019</v>
      </c>
      <c r="BI41" s="62">
        <f ca="1">AVERAGE(OFFSET($BH$3,0,0,'Données projet'!$E$11+1,1))-AVERAGE(OFFSET($H$3,0,0,'Données projet'!$E$11+1,1))</f>
        <v>408.82357969905803</v>
      </c>
      <c r="BJ41" s="62">
        <f t="shared" si="38"/>
        <v>263.2013060831145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1.7259751815009934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1.7259751815009934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59.971666209720681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10.4</v>
      </c>
      <c r="BY41" s="13">
        <f>IF('Données projet'!$A$114&gt;35,BY40+BX41-CG40,IF(A41&lt;'Données projet'!$A$114,$BV$205^A41,IF(A41='Données projet'!$A$114,'Données projet'!$B$114,BY40+BX41-CG40)))</f>
        <v>181.20000000000002</v>
      </c>
      <c r="BZ41" s="14">
        <f>BY41*VLOOKUP('Données projet'!$B$12,Paramètres!$A$1:$I$89,3,0)*VLOOKUP('Données projet'!$B$12,Paramètres!$A$1:$I$89,5,0)</f>
        <v>172.42992000000001</v>
      </c>
      <c r="CA41" s="14">
        <f t="shared" si="39"/>
        <v>43.633794490192969</v>
      </c>
      <c r="CB41" s="22">
        <f t="shared" si="10"/>
        <v>376.31096940375278</v>
      </c>
      <c r="CC41" s="62">
        <f t="shared" si="11"/>
        <v>632.87374550606194</v>
      </c>
      <c r="CD41" s="62">
        <f ca="1">AVERAGE(OFFSET($CC$3,0,0,'Données projet'!$E$12+1,1))-AVERAGE(OFFSET($H$3,0,0,'Données projet'!$E$12+1,1))</f>
        <v>451.95887041951761</v>
      </c>
      <c r="CE41" s="62">
        <f t="shared" si="40"/>
        <v>311.32964503257341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1.8755131122059381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1.8755131122059381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59.971666209720681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59.971666209720681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59.971666209720681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59.971666209720681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59.971666209720681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59.971666209720681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3.9000000000000004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5.5486080000000033</v>
      </c>
      <c r="D42" s="12">
        <f t="shared" si="32"/>
        <v>2.0946578125566711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21.452103740420874</v>
      </c>
      <c r="H42" s="70">
        <f t="shared" si="1"/>
        <v>212.77868795686953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60.145635380986427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15.114285714285716</v>
      </c>
      <c r="N42" s="14">
        <f>IF('Données projet'!$A$36&gt;35,N41+M42-V41,IF(A42&lt;'Données projet'!$A$36,$K$205^A42,IF(A42='Données projet'!$A$36,'Données projet'!$B$36,N41+M42-V41)))</f>
        <v>321.80659340659327</v>
      </c>
      <c r="O42" s="14">
        <f>N42*VLOOKUP('Données projet'!$B$9,Paramètres!$A$1:$I$89,3,0)*VLOOKUP('Données projet'!$B$9,Paramètres!$A$1:$I$89,5,0)</f>
        <v>192.44034285714278</v>
      </c>
      <c r="P42" s="14">
        <f t="shared" si="33"/>
        <v>48.079076619640524</v>
      </c>
      <c r="Q42" s="22">
        <f t="shared" si="53"/>
        <v>418.90465558873092</v>
      </c>
      <c r="R42" s="62">
        <f t="shared" si="0"/>
        <v>676.10531865234782</v>
      </c>
      <c r="S42" s="62">
        <f ca="1">AVERAGE(OFFSET($R$3,0,0,'Données projet'!$E$9+1,1))-AVERAGE(OFFSET($H$3,0,0,'Données projet'!$E$9+1,1))</f>
        <v>251.99201350544561</v>
      </c>
      <c r="T42" s="62">
        <f t="shared" si="34"/>
        <v>366.66533117979162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 t="e">
        <f>EXP(-LN(2)/35)*Z41+(1-EXP(-LN(2)/35))/(LN(2)/35)*V42*W42*VLOOKUP('Données projet'!$B$9,Paramètres!$A$1:$I$89,3,0)*0.475*44/12</f>
        <v>#VALUE!</v>
      </c>
      <c r="AA42" s="23" t="e">
        <f>EXP(-LN(2)/25)*AA41+(1-EXP(-LN(2)/25))/(LN(2)/25)*Calculateur!V42*Calculateur!X42*VLOOKUP('Données projet'!$B$9,Paramètres!$A$1:$I$89,3,0)*0.475*44/12</f>
        <v>#VALUE!</v>
      </c>
      <c r="AB42" s="23" t="e">
        <f>EXP(-LN(2)/2)*AB41+(1-EXP(-LN(2)/2))/(LN(2)/2)*V42*Y42*VLOOKUP('Données projet'!$B$9,Paramètres!$A$1:$I$89,3,0)*0.475*44/12</f>
        <v>#VALUE!</v>
      </c>
      <c r="AC42" s="24" t="e">
        <f t="shared" si="3"/>
        <v>#VALUE!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60.145635380986427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149.52545095126411</v>
      </c>
      <c r="AO42" s="62">
        <f t="shared" si="36"/>
        <v>457.9161829331029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40.710840568696042</v>
      </c>
      <c r="AV42" s="23">
        <f>EXP(-LN(2)/25)*AV41+(1-EXP(-LN(2)/25))/(LN(2)/25)*Calculateur!AQ42*Calculateur!AS42*VLOOKUP('Données projet'!$B$10,Paramètres!$A$1:$I$89,3,0)*0.475*44/12</f>
        <v>15.220559121263541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55.931399689959584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60.145635380986427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7.4</v>
      </c>
      <c r="BD42" s="13">
        <f>IF('Données projet'!$A$88&gt;35,BD41+BC42-BL41,IF(A42&lt;'Données projet'!$A$88,$BA$205^A42,IF(A42='Données projet'!$A$88,'Données projet'!$B$88,BD41+BC42-BL41)))</f>
        <v>129.60000000000005</v>
      </c>
      <c r="BE42" s="14">
        <f>BD42*VLOOKUP('Données projet'!$B$11,Paramètres!$A$1:$I$89,3,0)*VLOOKUP('Données projet'!$B$11,Paramètres!$A$1:$I$89,5,0)</f>
        <v>131.41440000000006</v>
      </c>
      <c r="BF42" s="14">
        <f t="shared" si="37"/>
        <v>34.32297952601067</v>
      </c>
      <c r="BG42" s="22">
        <f t="shared" si="7"/>
        <v>288.65926934113531</v>
      </c>
      <c r="BH42" s="62">
        <f t="shared" si="8"/>
        <v>545.85993240475227</v>
      </c>
      <c r="BI42" s="62">
        <f ca="1">AVERAGE(OFFSET($BH$3,0,0,'Données projet'!$E$11+1,1))-AVERAGE(OFFSET($H$3,0,0,'Données projet'!$E$11+1,1))</f>
        <v>408.82357969905803</v>
      </c>
      <c r="BJ42" s="62">
        <f t="shared" si="38"/>
        <v>263.2013060831145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1.69212986093267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1.69212986093267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60.145635380986427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10.4</v>
      </c>
      <c r="BY42" s="13">
        <f>IF('Données projet'!$A$114&gt;35,BY41+BX42-CG41,IF(A42&lt;'Données projet'!$A$114,$BV$205^A42,IF(A42='Données projet'!$A$114,'Données projet'!$B$114,BY41+BX42-CG41)))</f>
        <v>191.60000000000002</v>
      </c>
      <c r="BZ42" s="14">
        <f>BY42*VLOOKUP('Données projet'!$B$12,Paramètres!$A$1:$I$89,3,0)*VLOOKUP('Données projet'!$B$12,Paramètres!$A$1:$I$89,5,0)</f>
        <v>182.32656</v>
      </c>
      <c r="CA42" s="14">
        <f t="shared" si="39"/>
        <v>45.839415382961157</v>
      </c>
      <c r="CB42" s="22">
        <f t="shared" si="10"/>
        <v>397.38907379199071</v>
      </c>
      <c r="CC42" s="62">
        <f t="shared" si="11"/>
        <v>654.58973685560761</v>
      </c>
      <c r="CD42" s="62">
        <f ca="1">AVERAGE(OFFSET($CC$3,0,0,'Données projet'!$E$12+1,1))-AVERAGE(OFFSET($H$3,0,0,'Données projet'!$E$12+1,1))</f>
        <v>451.95887041951761</v>
      </c>
      <c r="CE42" s="62">
        <f t="shared" si="40"/>
        <v>311.32964503257341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1.8387354440256225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1.8387354440256225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60.145635380986427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60.145635380986427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60.145635380986427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60.145635380986427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60.145635380986427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60.145635380986427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3.9000000000000004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5.6908800000000035</v>
      </c>
      <c r="D43" s="12">
        <f t="shared" si="32"/>
        <v>2.1420450849641473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21.686349578622391</v>
      </c>
      <c r="H43" s="70">
        <f t="shared" si="1"/>
        <v>213.10901118964591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60.316586576067522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15.114285714285716</v>
      </c>
      <c r="N43" s="14">
        <f>IF('Données projet'!$A$36&gt;35,N42+M43-V42,IF(A43&lt;'Données projet'!$A$36,$K$205^A43,IF(A43='Données projet'!$A$36,'Données projet'!$B$36,N42+M43-V42)))</f>
        <v>336.92087912087896</v>
      </c>
      <c r="O43" s="14">
        <f>N43*VLOOKUP('Données projet'!$B$9,Paramètres!$A$1:$I$89,3,0)*VLOOKUP('Données projet'!$B$9,Paramètres!$A$1:$I$89,5,0)</f>
        <v>201.47868571428563</v>
      </c>
      <c r="P43" s="14">
        <f t="shared" si="33"/>
        <v>50.068998639301888</v>
      </c>
      <c r="Q43" s="22">
        <f t="shared" si="53"/>
        <v>438.1122169158316</v>
      </c>
      <c r="R43" s="62">
        <f t="shared" si="0"/>
        <v>695.93970102807918</v>
      </c>
      <c r="S43" s="62">
        <f ca="1">AVERAGE(OFFSET($R$3,0,0,'Données projet'!$E$9+1,1))-AVERAGE(OFFSET($H$3,0,0,'Données projet'!$E$9+1,1))</f>
        <v>251.99201350544561</v>
      </c>
      <c r="T43" s="62">
        <f t="shared" si="34"/>
        <v>366.66533117979162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 t="e">
        <f>EXP(-LN(2)/35)*Z42+(1-EXP(-LN(2)/35))/(LN(2)/35)*V43*W43*VLOOKUP('Données projet'!$B$9,Paramètres!$A$1:$I$89,3,0)*0.475*44/12</f>
        <v>#VALUE!</v>
      </c>
      <c r="AA43" s="23" t="e">
        <f>EXP(-LN(2)/25)*AA42+(1-EXP(-LN(2)/25))/(LN(2)/25)*Calculateur!V43*Calculateur!X43*VLOOKUP('Données projet'!$B$9,Paramètres!$A$1:$I$89,3,0)*0.475*44/12</f>
        <v>#VALUE!</v>
      </c>
      <c r="AB43" s="23" t="e">
        <f>EXP(-LN(2)/2)*AB42+(1-EXP(-LN(2)/2))/(LN(2)/2)*V43*Y43*VLOOKUP('Données projet'!$B$9,Paramètres!$A$1:$I$89,3,0)*0.475*44/12</f>
        <v>#VALUE!</v>
      </c>
      <c r="AC43" s="24" t="e">
        <f t="shared" si="3"/>
        <v>#VALUE!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60.316586576067522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149.52545095126411</v>
      </c>
      <c r="AO43" s="62">
        <f t="shared" si="36"/>
        <v>457.9161829331029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39.912525816304786</v>
      </c>
      <c r="AV43" s="23">
        <f>EXP(-LN(2)/25)*AV42+(1-EXP(-LN(2)/25))/(LN(2)/25)*Calculateur!AQ43*Calculateur!AS43*VLOOKUP('Données projet'!$B$10,Paramètres!$A$1:$I$89,3,0)*0.475*44/12</f>
        <v>14.804352131678172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54.716877947982958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60.316586576067522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7.4</v>
      </c>
      <c r="BC43" s="13">
        <f t="array" ref="BC43">INDEX(BB:BB,MIN(IF(ISNUMBER(BB43:BB239),ROW(BB43:BB239),"")))</f>
        <v>7.4</v>
      </c>
      <c r="BD43" s="13">
        <f>IF('Données projet'!$A$88&gt;35,BD42+BC43-BL42,IF(A43&lt;'Données projet'!$A$88,$BA$205^A43,IF(A43='Données projet'!$A$88,'Données projet'!$B$88,BD42+BC43-BL42)))</f>
        <v>137.00000000000006</v>
      </c>
      <c r="BE43" s="14">
        <f>BD43*VLOOKUP('Données projet'!$B$11,Paramètres!$A$1:$I$89,3,0)*VLOOKUP('Données projet'!$B$11,Paramètres!$A$1:$I$89,5,0)</f>
        <v>138.91800000000006</v>
      </c>
      <c r="BF43" s="14">
        <f t="shared" si="37"/>
        <v>36.049022673886341</v>
      </c>
      <c r="BG43" s="22">
        <f t="shared" si="7"/>
        <v>304.73423115701877</v>
      </c>
      <c r="BH43" s="62">
        <f t="shared" si="8"/>
        <v>562.56171526926641</v>
      </c>
      <c r="BI43" s="62">
        <f ca="1">AVERAGE(OFFSET($BH$3,0,0,'Données projet'!$E$11+1,1))-AVERAGE(OFFSET($H$3,0,0,'Données projet'!$E$11+1,1))</f>
        <v>408.82357969905803</v>
      </c>
      <c r="BJ43" s="62">
        <f t="shared" si="38"/>
        <v>263.2013060831145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20</v>
      </c>
      <c r="BM43" s="17">
        <f>IF(ISNA(VLOOKUP(A43,'Données projet'!$A$87:$I$107,5,0)),0%,VLOOKUP(A43,'Données projet'!$A$87:$I$107,5,0)*VLOOKUP('Données projet'!$B$11,Paramètres!$A$1:$I$89,7,0))</f>
        <v>8.6000000000000007E-2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3.5869770059929129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3.5869770059929129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60.316586576067522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202</v>
      </c>
      <c r="BW43" s="13">
        <f>VLOOKUP(A43,'Données projet'!$A$113:$I$133,9,0)</f>
        <v>10.4</v>
      </c>
      <c r="BX43" s="13">
        <f t="array" ref="BX43">INDEX(BW:BW,MIN(IF(ISNUMBER(BW43:BW239),ROW(BW43:BW239),"")))</f>
        <v>10.4</v>
      </c>
      <c r="BY43" s="13">
        <f>IF('Données projet'!$A$114&gt;35,BY42+BX43-CG42,IF(A43&lt;'Données projet'!$A$114,$BV$205^A43,IF(A43='Données projet'!$A$114,'Données projet'!$B$114,BY42+BX43-CG42)))</f>
        <v>202.00000000000003</v>
      </c>
      <c r="BZ43" s="14">
        <f>BY43*VLOOKUP('Données projet'!$B$12,Paramètres!$A$1:$I$89,3,0)*VLOOKUP('Données projet'!$B$12,Paramètres!$A$1:$I$89,5,0)</f>
        <v>192.22320000000002</v>
      </c>
      <c r="CA43" s="14">
        <f t="shared" si="39"/>
        <v>48.031137529960212</v>
      </c>
      <c r="CB43" s="22">
        <f t="shared" si="10"/>
        <v>418.44297119801405</v>
      </c>
      <c r="CC43" s="62">
        <f t="shared" si="11"/>
        <v>676.2704553102617</v>
      </c>
      <c r="CD43" s="62">
        <f ca="1">AVERAGE(OFFSET($CC$3,0,0,'Données projet'!$E$12+1,1))-AVERAGE(OFFSET($H$3,0,0,'Données projet'!$E$12+1,1))</f>
        <v>451.95887041951761</v>
      </c>
      <c r="CE43" s="62">
        <f t="shared" si="40"/>
        <v>311.32964503257341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26</v>
      </c>
      <c r="CH43" s="17">
        <f>IF(ISNA(VLOOKUP(A43,'Données projet'!$A$113:$I$133,5,0)),0%,VLOOKUP(A43,'Données projet'!$A$113:$I$133,5,0)*VLOOKUP('Données projet'!$B$12,Paramètres!$A$1:$I$89,7,0))</f>
        <v>8.6000000000000007E-2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4.1548740745198707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4.1548740745198707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60.316586576067522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60.316586576067522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60.316586576067522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60.316586576067522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60.316586576067522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60.316586576067522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3.9000000000000004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5.8331520000000037</v>
      </c>
      <c r="D44" s="12">
        <f t="shared" si="32"/>
        <v>2.1892946456944542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21.920425330822631</v>
      </c>
      <c r="H44" s="70">
        <f t="shared" si="1"/>
        <v>213.43909457458452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60.484572150103567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15.114285714285716</v>
      </c>
      <c r="N44" s="14">
        <f>IF('Données projet'!$A$36&gt;35,N43+M44-V43,IF(A44&lt;'Données projet'!$A$36,$K$205^A44,IF(A44='Données projet'!$A$36,'Données projet'!$B$36,N43+M44-V43)))</f>
        <v>352.03516483516466</v>
      </c>
      <c r="O44" s="14">
        <f>N44*VLOOKUP('Données projet'!$B$9,Paramètres!$A$1:$I$89,3,0)*VLOOKUP('Données projet'!$B$9,Paramètres!$A$1:$I$89,5,0)</f>
        <v>210.51702857142851</v>
      </c>
      <c r="P44" s="14">
        <f t="shared" si="33"/>
        <v>52.048553274691749</v>
      </c>
      <c r="Q44" s="22">
        <f t="shared" si="53"/>
        <v>457.3017217153261</v>
      </c>
      <c r="R44" s="62">
        <f t="shared" si="0"/>
        <v>715.74515293237255</v>
      </c>
      <c r="S44" s="62">
        <f ca="1">AVERAGE(OFFSET($R$3,0,0,'Données projet'!$E$9+1,1))-AVERAGE(OFFSET($H$3,0,0,'Données projet'!$E$9+1,1))</f>
        <v>251.99201350544561</v>
      </c>
      <c r="T44" s="62">
        <f t="shared" si="34"/>
        <v>366.66533117979162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 t="e">
        <f>EXP(-LN(2)/35)*Z43+(1-EXP(-LN(2)/35))/(LN(2)/35)*V44*W44*VLOOKUP('Données projet'!$B$9,Paramètres!$A$1:$I$89,3,0)*0.475*44/12</f>
        <v>#VALUE!</v>
      </c>
      <c r="AA44" s="23" t="e">
        <f>EXP(-LN(2)/25)*AA43+(1-EXP(-LN(2)/25))/(LN(2)/25)*Calculateur!V44*Calculateur!X44*VLOOKUP('Données projet'!$B$9,Paramètres!$A$1:$I$89,3,0)*0.475*44/12</f>
        <v>#VALUE!</v>
      </c>
      <c r="AB44" s="23" t="e">
        <f>EXP(-LN(2)/2)*AB43+(1-EXP(-LN(2)/2))/(LN(2)/2)*V44*Y44*VLOOKUP('Données projet'!$B$9,Paramètres!$A$1:$I$89,3,0)*0.475*44/12</f>
        <v>#VALUE!</v>
      </c>
      <c r="AC44" s="24" t="e">
        <f t="shared" si="3"/>
        <v>#VALUE!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60.484572150103567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149.52545095126411</v>
      </c>
      <c r="AO44" s="62">
        <f t="shared" si="36"/>
        <v>457.9161829331029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39.129865529284004</v>
      </c>
      <c r="AV44" s="23">
        <f>EXP(-LN(2)/25)*AV43+(1-EXP(-LN(2)/25))/(LN(2)/25)*Calculateur!AQ44*Calculateur!AS44*VLOOKUP('Données projet'!$B$10,Paramètres!$A$1:$I$89,3,0)*0.475*44/12</f>
        <v>14.39952634411039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53.529391873394395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60.484572150103567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7.4</v>
      </c>
      <c r="BD44" s="13">
        <f>IF('Données projet'!$A$88&gt;35,BD43+BC44-BL43,IF(A44&lt;'Données projet'!$A$88,$BA$205^A44,IF(A44='Données projet'!$A$88,'Données projet'!$B$88,BD43+BC44-BL43)))</f>
        <v>124.40000000000006</v>
      </c>
      <c r="BE44" s="14">
        <f>BD44*VLOOKUP('Données projet'!$B$11,Paramètres!$A$1:$I$89,3,0)*VLOOKUP('Données projet'!$B$11,Paramètres!$A$1:$I$89,5,0)</f>
        <v>126.14160000000007</v>
      </c>
      <c r="BF44" s="14">
        <f t="shared" si="37"/>
        <v>33.10323903126482</v>
      </c>
      <c r="BG44" s="22">
        <f t="shared" si="7"/>
        <v>277.35142797945304</v>
      </c>
      <c r="BH44" s="62">
        <f t="shared" si="8"/>
        <v>535.79485919649937</v>
      </c>
      <c r="BI44" s="62">
        <f ca="1">AVERAGE(OFFSET($BH$3,0,0,'Données projet'!$E$11+1,1))-AVERAGE(OFFSET($H$3,0,0,'Données projet'!$E$11+1,1))</f>
        <v>408.82357969905803</v>
      </c>
      <c r="BJ44" s="62">
        <f t="shared" si="38"/>
        <v>263.2013060831145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3.5166385747453344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3.5166385747453344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60.484572150103567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9.8000000000000007</v>
      </c>
      <c r="BY44" s="13">
        <f>IF('Données projet'!$A$114&gt;35,BY43+BX44-CG43,IF(A44&lt;'Données projet'!$A$114,$BV$205^A44,IF(A44='Données projet'!$A$114,'Données projet'!$B$114,BY43+BX44-CG43)))</f>
        <v>185.80000000000004</v>
      </c>
      <c r="BZ44" s="14">
        <f>BY44*VLOOKUP('Données projet'!$B$12,Paramètres!$A$1:$I$89,3,0)*VLOOKUP('Données projet'!$B$12,Paramètres!$A$1:$I$89,5,0)</f>
        <v>176.80728000000005</v>
      </c>
      <c r="CA44" s="14">
        <f t="shared" si="39"/>
        <v>44.611126629071599</v>
      </c>
      <c r="CB44" s="22">
        <f t="shared" si="10"/>
        <v>385.63705821229979</v>
      </c>
      <c r="CC44" s="62">
        <f t="shared" si="11"/>
        <v>644.08048942934624</v>
      </c>
      <c r="CD44" s="62">
        <f ca="1">AVERAGE(OFFSET($CC$3,0,0,'Données projet'!$E$12+1,1))-AVERAGE(OFFSET($H$3,0,0,'Données projet'!$E$12+1,1))</f>
        <v>451.95887041951761</v>
      </c>
      <c r="CE44" s="62">
        <f t="shared" si="40"/>
        <v>311.32964503257341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4.0733995281414881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4.0733995281414881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60.484572150103567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60.484572150103567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60.484572150103567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60.484572150103567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60.484572150103567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60.484572150103567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3.9000000000000004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5.9754240000000038</v>
      </c>
      <c r="D45" s="12">
        <f t="shared" si="32"/>
        <v>2.2364102399689481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22.154335622698497</v>
      </c>
      <c r="H45" s="70">
        <f t="shared" si="1"/>
        <v>213.76894463461258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60.649643549989563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15.114285714285716</v>
      </c>
      <c r="N45" s="14">
        <f>IF('Données projet'!$A$36&gt;35,N44+M45-V44,IF(A45&lt;'Données projet'!$A$36,$K$205^A45,IF(A45='Données projet'!$A$36,'Données projet'!$B$36,N44+M45-V44)))</f>
        <v>367.14945054945036</v>
      </c>
      <c r="O45" s="14">
        <f>N45*VLOOKUP('Données projet'!$B$9,Paramètres!$A$1:$I$89,3,0)*VLOOKUP('Données projet'!$B$9,Paramètres!$A$1:$I$89,5,0)</f>
        <v>219.55537142857133</v>
      </c>
      <c r="P45" s="14">
        <f t="shared" si="33"/>
        <v>54.018236521888731</v>
      </c>
      <c r="Q45" s="22">
        <f t="shared" si="53"/>
        <v>476.47403384705132</v>
      </c>
      <c r="R45" s="62">
        <f t="shared" si="0"/>
        <v>735.52272686367974</v>
      </c>
      <c r="S45" s="62">
        <f ca="1">AVERAGE(OFFSET($R$3,0,0,'Données projet'!$E$9+1,1))-AVERAGE(OFFSET($H$3,0,0,'Données projet'!$E$9+1,1))</f>
        <v>251.99201350544561</v>
      </c>
      <c r="T45" s="62">
        <f t="shared" si="34"/>
        <v>366.66533117979162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 t="e">
        <f>EXP(-LN(2)/35)*Z44+(1-EXP(-LN(2)/35))/(LN(2)/35)*V45*W45*VLOOKUP('Données projet'!$B$9,Paramètres!$A$1:$I$89,3,0)*0.475*44/12</f>
        <v>#VALUE!</v>
      </c>
      <c r="AA45" s="23" t="e">
        <f>EXP(-LN(2)/25)*AA44+(1-EXP(-LN(2)/25))/(LN(2)/25)*Calculateur!V45*Calculateur!X45*VLOOKUP('Données projet'!$B$9,Paramètres!$A$1:$I$89,3,0)*0.475*44/12</f>
        <v>#VALUE!</v>
      </c>
      <c r="AB45" s="23" t="e">
        <f>EXP(-LN(2)/2)*AB44+(1-EXP(-LN(2)/2))/(LN(2)/2)*V45*Y45*VLOOKUP('Données projet'!$B$9,Paramètres!$A$1:$I$89,3,0)*0.475*44/12</f>
        <v>#VALUE!</v>
      </c>
      <c r="AC45" s="24" t="e">
        <f t="shared" si="3"/>
        <v>#VALUE!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60.649643549989563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149.52545095126411</v>
      </c>
      <c r="AO45" s="62">
        <f t="shared" si="36"/>
        <v>457.9161829331029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38.362552733116061</v>
      </c>
      <c r="AV45" s="23">
        <f>EXP(-LN(2)/25)*AV44+(1-EXP(-LN(2)/25))/(LN(2)/25)*Calculateur!AQ45*Calculateur!AS45*VLOOKUP('Données projet'!$B$10,Paramètres!$A$1:$I$89,3,0)*0.475*44/12</f>
        <v>14.005770538992511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52.368323272108569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60.649643549989563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7.4</v>
      </c>
      <c r="BD45" s="13">
        <f>IF('Données projet'!$A$88&gt;35,BD44+BC45-BL44,IF(A45&lt;'Données projet'!$A$88,$BA$205^A45,IF(A45='Données projet'!$A$88,'Données projet'!$B$88,BD44+BC45-BL44)))</f>
        <v>131.80000000000007</v>
      </c>
      <c r="BE45" s="14">
        <f>BD45*VLOOKUP('Données projet'!$B$11,Paramètres!$A$1:$I$89,3,0)*VLOOKUP('Données projet'!$B$11,Paramètres!$A$1:$I$89,5,0)</f>
        <v>133.64520000000007</v>
      </c>
      <c r="BF45" s="14">
        <f t="shared" si="37"/>
        <v>34.837297589797402</v>
      </c>
      <c r="BG45" s="22">
        <f t="shared" si="7"/>
        <v>293.44034996889724</v>
      </c>
      <c r="BH45" s="62">
        <f t="shared" si="8"/>
        <v>552.48904298552566</v>
      </c>
      <c r="BI45" s="62">
        <f ca="1">AVERAGE(OFFSET($BH$3,0,0,'Données projet'!$E$11+1,1))-AVERAGE(OFFSET($H$3,0,0,'Données projet'!$E$11+1,1))</f>
        <v>408.82357969905803</v>
      </c>
      <c r="BJ45" s="62">
        <f t="shared" si="38"/>
        <v>263.2013060831145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3.4476794372323138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3.4476794372323138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60.649643549989563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9.8000000000000007</v>
      </c>
      <c r="BY45" s="13">
        <f>IF('Données projet'!$A$114&gt;35,BY44+BX45-CG44,IF(A45&lt;'Données projet'!$A$114,$BV$205^A45,IF(A45='Données projet'!$A$114,'Données projet'!$B$114,BY44+BX45-CG44)))</f>
        <v>195.60000000000005</v>
      </c>
      <c r="BZ45" s="14">
        <f>BY45*VLOOKUP('Données projet'!$B$12,Paramètres!$A$1:$I$89,3,0)*VLOOKUP('Données projet'!$B$12,Paramètres!$A$1:$I$89,5,0)</f>
        <v>186.13296000000005</v>
      </c>
      <c r="CA45" s="14">
        <f t="shared" si="39"/>
        <v>46.683984742595719</v>
      </c>
      <c r="CB45" s="22">
        <f t="shared" si="10"/>
        <v>405.48951209335428</v>
      </c>
      <c r="CC45" s="62">
        <f t="shared" si="11"/>
        <v>664.53820510998275</v>
      </c>
      <c r="CD45" s="62">
        <f ca="1">AVERAGE(OFFSET($CC$3,0,0,'Données projet'!$E$12+1,1))-AVERAGE(OFFSET($H$3,0,0,'Données projet'!$E$12+1,1))</f>
        <v>451.95887041951761</v>
      </c>
      <c r="CE45" s="62">
        <f t="shared" si="40"/>
        <v>311.32964503257341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3.9935226479230188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3.9935226479230188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60.649643549989563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60.649643549989563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60.649643549989563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60.649643549989563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60.649643549989563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60.649643549989563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3.9000000000000004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6.117696000000004</v>
      </c>
      <c r="D46" s="12">
        <f t="shared" si="32"/>
        <v>2.2833954244931403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22.388084847093289</v>
      </c>
      <c r="H46" s="70">
        <f t="shared" si="1"/>
        <v>214.09856756432555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60.811851330131908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15.114285714285716</v>
      </c>
      <c r="N46" s="14">
        <f>IF('Données projet'!$A$36&gt;35,N45+M46-V45,IF(A46&lt;'Données projet'!$A$36,$K$205^A46,IF(A46='Données projet'!$A$36,'Données projet'!$B$36,N45+M46-V45)))</f>
        <v>382.26373626373606</v>
      </c>
      <c r="O46" s="14">
        <f>N46*VLOOKUP('Données projet'!$B$9,Paramètres!$A$1:$I$89,3,0)*VLOOKUP('Données projet'!$B$9,Paramètres!$A$1:$I$89,5,0)</f>
        <v>228.59371428571419</v>
      </c>
      <c r="P46" s="14">
        <f t="shared" si="33"/>
        <v>55.978501229344275</v>
      </c>
      <c r="Q46" s="22">
        <f t="shared" si="53"/>
        <v>495.62994202206011</v>
      </c>
      <c r="R46" s="62">
        <f t="shared" si="0"/>
        <v>755.27339689921041</v>
      </c>
      <c r="S46" s="62">
        <f ca="1">AVERAGE(OFFSET($R$3,0,0,'Données projet'!$E$9+1,1))-AVERAGE(OFFSET($H$3,0,0,'Données projet'!$E$9+1,1))</f>
        <v>251.99201350544561</v>
      </c>
      <c r="T46" s="62">
        <f t="shared" si="34"/>
        <v>366.66533117979162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 t="e">
        <f>EXP(-LN(2)/35)*Z45+(1-EXP(-LN(2)/35))/(LN(2)/35)*V46*W46*VLOOKUP('Données projet'!$B$9,Paramètres!$A$1:$I$89,3,0)*0.475*44/12</f>
        <v>#VALUE!</v>
      </c>
      <c r="AA46" s="23" t="e">
        <f>EXP(-LN(2)/25)*AA45+(1-EXP(-LN(2)/25))/(LN(2)/25)*Calculateur!V46*Calculateur!X46*VLOOKUP('Données projet'!$B$9,Paramètres!$A$1:$I$89,3,0)*0.475*44/12</f>
        <v>#VALUE!</v>
      </c>
      <c r="AB46" s="23" t="e">
        <f>EXP(-LN(2)/2)*AB45+(1-EXP(-LN(2)/2))/(LN(2)/2)*V46*Y46*VLOOKUP('Données projet'!$B$9,Paramètres!$A$1:$I$89,3,0)*0.475*44/12</f>
        <v>#VALUE!</v>
      </c>
      <c r="AC46" s="24" t="e">
        <f t="shared" si="3"/>
        <v>#VALUE!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60.811851330131908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149.52545095126411</v>
      </c>
      <c r="AO46" s="62">
        <f t="shared" si="36"/>
        <v>457.9161829331029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37.610286472866377</v>
      </c>
      <c r="AV46" s="23">
        <f>EXP(-LN(2)/25)*AV45+(1-EXP(-LN(2)/25))/(LN(2)/25)*Calculateur!AQ46*Calculateur!AS46*VLOOKUP('Données projet'!$B$10,Paramètres!$A$1:$I$89,3,0)*0.475*44/12</f>
        <v>13.622782007072299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51.23306847993868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60.811851330131908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7.4</v>
      </c>
      <c r="BD46" s="13">
        <f>IF('Données projet'!$A$88&gt;35,BD45+BC46-BL45,IF(A46&lt;'Données projet'!$A$88,$BA$205^A46,IF(A46='Données projet'!$A$88,'Données projet'!$B$88,BD45+BC46-BL45)))</f>
        <v>139.20000000000007</v>
      </c>
      <c r="BE46" s="14">
        <f>BD46*VLOOKUP('Données projet'!$B$11,Paramètres!$A$1:$I$89,3,0)*VLOOKUP('Données projet'!$B$11,Paramètres!$A$1:$I$89,5,0)</f>
        <v>141.14880000000008</v>
      </c>
      <c r="BF46" s="14">
        <f t="shared" si="37"/>
        <v>36.560054140504519</v>
      </c>
      <c r="BG46" s="22">
        <f t="shared" si="7"/>
        <v>309.50958762804549</v>
      </c>
      <c r="BH46" s="62">
        <f t="shared" si="8"/>
        <v>569.1530425051958</v>
      </c>
      <c r="BI46" s="62">
        <f ca="1">AVERAGE(OFFSET($BH$3,0,0,'Données projet'!$E$11+1,1))-AVERAGE(OFFSET($H$3,0,0,'Données projet'!$E$11+1,1))</f>
        <v>408.82357969905803</v>
      </c>
      <c r="BJ46" s="62">
        <f t="shared" si="38"/>
        <v>263.2013060831145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3.3800725463450032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3.3800725463450032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60.811851330131908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9.8000000000000007</v>
      </c>
      <c r="BY46" s="13">
        <f>IF('Données projet'!$A$114&gt;35,BY45+BX46-CG45,IF(A46&lt;'Données projet'!$A$114,$BV$205^A46,IF(A46='Données projet'!$A$114,'Données projet'!$B$114,BY45+BX46-CG45)))</f>
        <v>205.40000000000006</v>
      </c>
      <c r="BZ46" s="14">
        <f>BY46*VLOOKUP('Données projet'!$B$12,Paramètres!$A$1:$I$89,3,0)*VLOOKUP('Données projet'!$B$12,Paramètres!$A$1:$I$89,5,0)</f>
        <v>195.45864000000006</v>
      </c>
      <c r="CA46" s="14">
        <f t="shared" si="39"/>
        <v>48.744784006311249</v>
      </c>
      <c r="CB46" s="22">
        <f t="shared" si="10"/>
        <v>425.32096347765884</v>
      </c>
      <c r="CC46" s="62">
        <f t="shared" si="11"/>
        <v>684.96441835480914</v>
      </c>
      <c r="CD46" s="62">
        <f ca="1">AVERAGE(OFFSET($CC$3,0,0,'Données projet'!$E$12+1,1))-AVERAGE(OFFSET($H$3,0,0,'Données projet'!$E$12+1,1))</f>
        <v>451.95887041951761</v>
      </c>
      <c r="CE46" s="62">
        <f t="shared" si="40"/>
        <v>311.32964503257341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3.9152121046055477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3.9152121046055477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60.811851330131908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60.811851330131908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60.811851330131908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60.811851330131908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60.811851330131908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60.811851330131908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3.9000000000000004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6.2599680000000042</v>
      </c>
      <c r="D47" s="12">
        <f t="shared" si="32"/>
        <v>2.3302535811057488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22.621677180874475</v>
      </c>
      <c r="H47" s="70">
        <f t="shared" si="1"/>
        <v>214.42796925375919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60.971245167931052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15.114285714285716</v>
      </c>
      <c r="N47" s="14">
        <f>IF('Données projet'!$A$36&gt;35,N46+M47-V46,IF(A47&lt;'Données projet'!$A$36,$K$205^A47,IF(A47='Données projet'!$A$36,'Données projet'!$B$36,N46+M47-V46)))</f>
        <v>397.37802197802176</v>
      </c>
      <c r="O47" s="14">
        <f>N47*VLOOKUP('Données projet'!$B$9,Paramètres!$A$1:$I$89,3,0)*VLOOKUP('Données projet'!$B$9,Paramètres!$A$1:$I$89,5,0)</f>
        <v>237.63205714285704</v>
      </c>
      <c r="P47" s="14">
        <f t="shared" si="33"/>
        <v>57.929762407989607</v>
      </c>
      <c r="Q47" s="22">
        <f t="shared" si="53"/>
        <v>514.77016905105791</v>
      </c>
      <c r="R47" s="62">
        <f t="shared" si="0"/>
        <v>774.99806800013835</v>
      </c>
      <c r="S47" s="62">
        <f ca="1">AVERAGE(OFFSET($R$3,0,0,'Données projet'!$E$9+1,1))-AVERAGE(OFFSET($H$3,0,0,'Données projet'!$E$9+1,1))</f>
        <v>251.99201350544561</v>
      </c>
      <c r="T47" s="62">
        <f t="shared" si="34"/>
        <v>366.66533117979162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 t="e">
        <f>EXP(-LN(2)/35)*Z46+(1-EXP(-LN(2)/35))/(LN(2)/35)*V47*W47*VLOOKUP('Données projet'!$B$9,Paramètres!$A$1:$I$89,3,0)*0.475*44/12</f>
        <v>#VALUE!</v>
      </c>
      <c r="AA47" s="23" t="e">
        <f>EXP(-LN(2)/25)*AA46+(1-EXP(-LN(2)/25))/(LN(2)/25)*Calculateur!V47*Calculateur!X47*VLOOKUP('Données projet'!$B$9,Paramètres!$A$1:$I$89,3,0)*0.475*44/12</f>
        <v>#VALUE!</v>
      </c>
      <c r="AB47" s="23" t="e">
        <f>EXP(-LN(2)/2)*AB46+(1-EXP(-LN(2)/2))/(LN(2)/2)*V47*Y47*VLOOKUP('Données projet'!$B$9,Paramètres!$A$1:$I$89,3,0)*0.475*44/12</f>
        <v>#VALUE!</v>
      </c>
      <c r="AC47" s="24" t="e">
        <f t="shared" si="3"/>
        <v>#VALUE!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60.971245167931052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149.52545095126411</v>
      </c>
      <c r="AO47" s="62">
        <f t="shared" si="36"/>
        <v>457.9161829331029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36.872771695143079</v>
      </c>
      <c r="AV47" s="23">
        <f>EXP(-LN(2)/25)*AV46+(1-EXP(-LN(2)/25))/(LN(2)/25)*Calculateur!AQ47*Calculateur!AS47*VLOOKUP('Données projet'!$B$10,Paramètres!$A$1:$I$89,3,0)*0.475*44/12</f>
        <v>13.250266316697937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50.123038011841018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60.971245167931052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7.4</v>
      </c>
      <c r="BD47" s="13">
        <f>IF('Données projet'!$A$88&gt;35,BD46+BC47-BL46,IF(A47&lt;'Données projet'!$A$88,$BA$205^A47,IF(A47='Données projet'!$A$88,'Données projet'!$B$88,BD46+BC47-BL46)))</f>
        <v>146.60000000000008</v>
      </c>
      <c r="BE47" s="14">
        <f>BD47*VLOOKUP('Données projet'!$B$11,Paramètres!$A$1:$I$89,3,0)*VLOOKUP('Données projet'!$B$11,Paramètres!$A$1:$I$89,5,0)</f>
        <v>148.65240000000009</v>
      </c>
      <c r="BF47" s="14">
        <f t="shared" si="37"/>
        <v>38.272178020303841</v>
      </c>
      <c r="BG47" s="22">
        <f t="shared" si="7"/>
        <v>325.56030671869604</v>
      </c>
      <c r="BH47" s="62">
        <f t="shared" si="8"/>
        <v>585.78820566777654</v>
      </c>
      <c r="BI47" s="62">
        <f ca="1">AVERAGE(OFFSET($BH$3,0,0,'Données projet'!$E$11+1,1))-AVERAGE(OFFSET($H$3,0,0,'Données projet'!$E$11+1,1))</f>
        <v>408.82357969905803</v>
      </c>
      <c r="BJ47" s="62">
        <f t="shared" si="38"/>
        <v>263.2013060831145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3.3137913853518608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3.3137913853518608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60.971245167931052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9.8000000000000007</v>
      </c>
      <c r="BY47" s="13">
        <f>IF('Données projet'!$A$114&gt;35,BY46+BX47-CG46,IF(A47&lt;'Données projet'!$A$114,$BV$205^A47,IF(A47='Données projet'!$A$114,'Données projet'!$B$114,BY46+BX47-CG46)))</f>
        <v>215.20000000000007</v>
      </c>
      <c r="BZ47" s="14">
        <f>BY47*VLOOKUP('Données projet'!$B$12,Paramètres!$A$1:$I$89,3,0)*VLOOKUP('Données projet'!$B$12,Paramètres!$A$1:$I$89,5,0)</f>
        <v>204.78432000000009</v>
      </c>
      <c r="CA47" s="14">
        <f t="shared" si="39"/>
        <v>50.794165457324233</v>
      </c>
      <c r="CB47" s="22">
        <f t="shared" si="10"/>
        <v>445.13252883817319</v>
      </c>
      <c r="CC47" s="62">
        <f t="shared" si="11"/>
        <v>705.36042778725368</v>
      </c>
      <c r="CD47" s="62">
        <f ca="1">AVERAGE(OFFSET($CC$3,0,0,'Données projet'!$E$12+1,1))-AVERAGE(OFFSET($H$3,0,0,'Données projet'!$E$12+1,1))</f>
        <v>451.95887041951761</v>
      </c>
      <c r="CE47" s="62">
        <f t="shared" si="40"/>
        <v>311.32964503257341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3.8384371832778168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3.8384371832778168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60.971245167931052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60.971245167931052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60.971245167931052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60.971245167931052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60.971245167931052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60.971245167931052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3.9000000000000004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6.4022400000000044</v>
      </c>
      <c r="D48" s="12">
        <f t="shared" si="32"/>
        <v>2.3769879291519493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22.855116600215752</v>
      </c>
      <c r="H48" s="70">
        <f t="shared" si="1"/>
        <v>214.75715530993966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61.127873878995615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412.49230769230769</v>
      </c>
      <c r="L48" s="13">
        <f>VLOOKUP(A48,'Données projet'!$A$35:$I$55,9,0)</f>
        <v>15.114285714285716</v>
      </c>
      <c r="M48" s="13">
        <f t="array" ref="M48">INDEX(L:L,MIN(IF(ISNUMBER(L48:L244),ROW(L48:L244),"")))</f>
        <v>15.114285714285716</v>
      </c>
      <c r="N48" s="14">
        <f>IF('Données projet'!$A$36&gt;35,N47+M48-V47,IF(A48&lt;'Données projet'!$A$36,$K$205^A48,IF(A48='Données projet'!$A$36,'Données projet'!$B$36,N47+M48-V47)))</f>
        <v>412.49230769230746</v>
      </c>
      <c r="O48" s="14">
        <f>N48*VLOOKUP('Données projet'!$B$9,Paramètres!$A$1:$I$89,3,0)*VLOOKUP('Données projet'!$B$9,Paramètres!$A$1:$I$89,5,0)</f>
        <v>246.67039999999986</v>
      </c>
      <c r="P48" s="14">
        <f t="shared" si="33"/>
        <v>59.872401710742935</v>
      </c>
      <c r="Q48" s="22">
        <f t="shared" si="53"/>
        <v>533.89537964621024</v>
      </c>
      <c r="R48" s="62">
        <f t="shared" si="0"/>
        <v>794.6975838691942</v>
      </c>
      <c r="S48" s="62">
        <f ca="1">AVERAGE(OFFSET($R$3,0,0,'Données projet'!$E$9+1,1))-AVERAGE(OFFSET($H$3,0,0,'Données projet'!$E$9+1,1))</f>
        <v>251.99201350544561</v>
      </c>
      <c r="T48" s="62">
        <f t="shared" si="34"/>
        <v>366.66533117979162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412.49230769230769</v>
      </c>
      <c r="W48" s="17" t="e">
        <f>IF(ISNA(VLOOKUP(A48,'Données projet'!$A$35:$I$55,5,0)),0%,VLOOKUP(A48,'Données projet'!$A$35:$I$55,5,0)*VLOOKUP('Données projet'!$B$9,Paramètres!$A$1:$I$89,7,0))</f>
        <v>#VALUE!</v>
      </c>
      <c r="X48" s="17" t="e">
        <f>IF(ISNA(VLOOKUP(A48,'Données projet'!$A$35:$I$55,6,0)),0%,VLOOKUP(A48,'Données projet'!$A$35:$I$55,6,0)*VLOOKUP('Données projet'!$B$9,Paramètres!$A$1:$I$89,7,0))</f>
        <v>#VALUE!</v>
      </c>
      <c r="Y48" s="17" t="str">
        <f>IF(ISNA(VLOOKUP(A48,'Données projet'!$A$35:$I$55,7,0)),0%,VLOOKUP(A48,'Données projet'!$A$35:$I$55,7,0))</f>
        <v/>
      </c>
      <c r="Z48" s="23" t="e">
        <f>EXP(-LN(2)/35)*Z47+(1-EXP(-LN(2)/35))/(LN(2)/35)*V48*W48*VLOOKUP('Données projet'!$B$9,Paramètres!$A$1:$I$89,3,0)*0.475*44/12</f>
        <v>#VALUE!</v>
      </c>
      <c r="AA48" s="23" t="e">
        <f>EXP(-LN(2)/25)*AA47+(1-EXP(-LN(2)/25))/(LN(2)/25)*Calculateur!V48*Calculateur!X48*VLOOKUP('Données projet'!$B$9,Paramètres!$A$1:$I$89,3,0)*0.475*44/12</f>
        <v>#VALUE!</v>
      </c>
      <c r="AB48" s="23" t="e">
        <f>EXP(-LN(2)/2)*AB47+(1-EXP(-LN(2)/2))/(LN(2)/2)*V48*Y48*VLOOKUP('Données projet'!$B$9,Paramètres!$A$1:$I$89,3,0)*0.475*44/12</f>
        <v>#VALUE!</v>
      </c>
      <c r="AC48" s="24" t="e">
        <f t="shared" si="3"/>
        <v>#VALUE!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61.127873878995615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149.52545095126411</v>
      </c>
      <c r="AO48" s="62">
        <f t="shared" si="36"/>
        <v>457.9161829331029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36.149719132371338</v>
      </c>
      <c r="AV48" s="23">
        <f>EXP(-LN(2)/25)*AV47+(1-EXP(-LN(2)/25))/(LN(2)/25)*Calculateur!AQ48*Calculateur!AS48*VLOOKUP('Données projet'!$B$10,Paramètres!$A$1:$I$89,3,0)*0.475*44/12</f>
        <v>12.887937087466611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49.037656219837949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61.127873878995615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154</v>
      </c>
      <c r="BB48" s="13">
        <f>VLOOKUP(A48,'Données projet'!$A$87:$I$107,9,0)</f>
        <v>7.4</v>
      </c>
      <c r="BC48" s="13">
        <f t="array" ref="BC48">INDEX(BB:BB,MIN(IF(ISNUMBER(BB48:BB244),ROW(BB48:BB244),"")))</f>
        <v>7.4</v>
      </c>
      <c r="BD48" s="13">
        <f>IF('Données projet'!$A$88&gt;35,BD47+BC48-BL47,IF(A48&lt;'Données projet'!$A$88,$BA$205^A48,IF(A48='Données projet'!$A$88,'Données projet'!$B$88,BD47+BC48-BL47)))</f>
        <v>154.00000000000009</v>
      </c>
      <c r="BE48" s="14">
        <f>BD48*VLOOKUP('Données projet'!$B$11,Paramètres!$A$1:$I$89,3,0)*VLOOKUP('Données projet'!$B$11,Paramètres!$A$1:$I$89,5,0)</f>
        <v>156.15600000000012</v>
      </c>
      <c r="BF48" s="14">
        <f t="shared" si="37"/>
        <v>39.974267176222121</v>
      </c>
      <c r="BG48" s="22">
        <f t="shared" si="7"/>
        <v>341.59354866525376</v>
      </c>
      <c r="BH48" s="62">
        <f t="shared" si="8"/>
        <v>602.39575288823767</v>
      </c>
      <c r="BI48" s="62">
        <f ca="1">AVERAGE(OFFSET($BH$3,0,0,'Données projet'!$E$11+1,1))-AVERAGE(OFFSET($H$3,0,0,'Données projet'!$E$11+1,1))</f>
        <v>408.82357969905803</v>
      </c>
      <c r="BJ48" s="62">
        <f t="shared" si="38"/>
        <v>263.2013060831145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0.129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6.2854552852672061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6.2854552852672061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61.127873878995615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225</v>
      </c>
      <c r="BW48" s="13">
        <f>VLOOKUP(A48,'Données projet'!$A$113:$I$133,9,0)</f>
        <v>9.8000000000000007</v>
      </c>
      <c r="BX48" s="13">
        <f t="array" ref="BX48">INDEX(BW:BW,MIN(IF(ISNUMBER(BW48:BW244),ROW(BW48:BW244),"")))</f>
        <v>9.8000000000000007</v>
      </c>
      <c r="BY48" s="13">
        <f>IF('Données projet'!$A$114&gt;35,BY47+BX48-CG47,IF(A48&lt;'Données projet'!$A$114,$BV$205^A48,IF(A48='Données projet'!$A$114,'Données projet'!$B$114,BY47+BX48-CG47)))</f>
        <v>225.00000000000009</v>
      </c>
      <c r="BZ48" s="14">
        <f>BY48*VLOOKUP('Données projet'!$B$12,Paramètres!$A$1:$I$89,3,0)*VLOOKUP('Données projet'!$B$12,Paramètres!$A$1:$I$89,5,0)</f>
        <v>214.1100000000001</v>
      </c>
      <c r="CA48" s="14">
        <f t="shared" si="39"/>
        <v>52.832708448119902</v>
      </c>
      <c r="CB48" s="22">
        <f t="shared" si="10"/>
        <v>464.92521721380899</v>
      </c>
      <c r="CC48" s="62">
        <f t="shared" si="11"/>
        <v>725.72742143679284</v>
      </c>
      <c r="CD48" s="62">
        <f ca="1">AVERAGE(OFFSET($CC$3,0,0,'Données projet'!$E$12+1,1))-AVERAGE(OFFSET($H$3,0,0,'Données projet'!$E$12+1,1))</f>
        <v>451.95887041951761</v>
      </c>
      <c r="CE48" s="62">
        <f t="shared" si="40"/>
        <v>311.32964503257341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8.6000000000000007E-2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6.2963009678270865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6.2963009678270865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61.127873878995615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61.127873878995615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61.127873878995615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61.127873878995615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61.127873878995615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61.127873878995615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3.9000000000000004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6.5445120000000045</v>
      </c>
      <c r="D49" s="12">
        <f t="shared" si="32"/>
        <v>2.4236015367257671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23.088406894482354</v>
      </c>
      <c r="H49" s="70">
        <f t="shared" si="1"/>
        <v>215.08613107646406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61.281785432092548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-2.2737367544323206E-13</v>
      </c>
      <c r="O49" s="14">
        <f>N49*VLOOKUP('Données projet'!$B$9,Paramètres!$A$1:$I$89,3,0)*VLOOKUP('Données projet'!$B$9,Paramètres!$A$1:$I$89,5,0)</f>
        <v>-1.3596945791505279E-13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251.99201350544561</v>
      </c>
      <c r="T49" s="62">
        <f t="shared" si="34"/>
        <v>366.66533117979162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 t="e">
        <f>EXP(-LN(2)/35)*Z48+(1-EXP(-LN(2)/35))/(LN(2)/35)*V49*W49*VLOOKUP('Données projet'!$B$9,Paramètres!$A$1:$I$89,3,0)*0.475*44/12</f>
        <v>#VALUE!</v>
      </c>
      <c r="AA49" s="23" t="e">
        <f>EXP(-LN(2)/25)*AA48+(1-EXP(-LN(2)/25))/(LN(2)/25)*Calculateur!V49*Calculateur!X49*VLOOKUP('Données projet'!$B$9,Paramètres!$A$1:$I$89,3,0)*0.475*44/12</f>
        <v>#VALUE!</v>
      </c>
      <c r="AB49" s="23" t="e">
        <f>EXP(-LN(2)/2)*AB48+(1-EXP(-LN(2)/2))/(LN(2)/2)*V49*Y49*VLOOKUP('Données projet'!$B$9,Paramètres!$A$1:$I$89,3,0)*0.475*44/12</f>
        <v>#VALUE!</v>
      </c>
      <c r="AC49" s="24" t="e">
        <f t="shared" si="3"/>
        <v>#VALUE!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61.281785432092548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149.52545095126411</v>
      </c>
      <c r="AO49" s="62">
        <f t="shared" si="36"/>
        <v>457.9161829331029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35.440845189337033</v>
      </c>
      <c r="AV49" s="23">
        <f>EXP(-LN(2)/25)*AV48+(1-EXP(-LN(2)/25))/(LN(2)/25)*Calculateur!AQ49*Calculateur!AS49*VLOOKUP('Données projet'!$B$10,Paramètres!$A$1:$I$89,3,0)*0.475*44/12</f>
        <v>12.53551577006268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47.976360959399713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61.281785432092548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7.6</v>
      </c>
      <c r="BD49" s="13">
        <f>IF('Données projet'!$A$88&gt;35,BD48+BC49-BL48,IF(A49&lt;'Données projet'!$A$88,$BA$205^A49,IF(A49='Données projet'!$A$88,'Données projet'!$B$88,BD48+BC49-BL48)))</f>
        <v>140.60000000000008</v>
      </c>
      <c r="BE49" s="14">
        <f>BD49*VLOOKUP('Données projet'!$B$11,Paramètres!$A$1:$I$89,3,0)*VLOOKUP('Données projet'!$B$11,Paramètres!$A$1:$I$89,5,0)</f>
        <v>142.56840000000008</v>
      </c>
      <c r="BF49" s="14">
        <f t="shared" si="37"/>
        <v>36.884765886048392</v>
      </c>
      <c r="BG49" s="22">
        <f t="shared" si="7"/>
        <v>312.54759725153446</v>
      </c>
      <c r="BH49" s="62">
        <f t="shared" si="8"/>
        <v>573.9141438358738</v>
      </c>
      <c r="BI49" s="62">
        <f ca="1">AVERAGE(OFFSET($BH$3,0,0,'Données projet'!$E$11+1,1))-AVERAGE(OFFSET($H$3,0,0,'Données projet'!$E$11+1,1))</f>
        <v>408.82357969905803</v>
      </c>
      <c r="BJ49" s="62">
        <f t="shared" si="38"/>
        <v>263.2013060831145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6.1622013408722891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6.1622013408722891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61.281785432092548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</v>
      </c>
      <c r="BY49" s="13">
        <f>IF('Données projet'!$A$114&gt;35,BY48+BX49-CG48,IF(A49&lt;'Données projet'!$A$114,$BV$205^A49,IF(A49='Données projet'!$A$114,'Données projet'!$B$114,BY48+BX49-CG48)))</f>
        <v>206.00000000000009</v>
      </c>
      <c r="BZ49" s="14">
        <f>BY49*VLOOKUP('Données projet'!$B$12,Paramètres!$A$1:$I$89,3,0)*VLOOKUP('Données projet'!$B$12,Paramètres!$A$1:$I$89,5,0)</f>
        <v>196.0296000000001</v>
      </c>
      <c r="CA49" s="14">
        <f t="shared" si="39"/>
        <v>48.870578290511943</v>
      </c>
      <c r="CB49" s="22">
        <f t="shared" si="10"/>
        <v>426.53447718930846</v>
      </c>
      <c r="CC49" s="62">
        <f t="shared" si="11"/>
        <v>687.90102377364781</v>
      </c>
      <c r="CD49" s="62">
        <f ca="1">AVERAGE(OFFSET($CC$3,0,0,'Données projet'!$E$12+1,1))-AVERAGE(OFFSET($H$3,0,0,'Données projet'!$E$12+1,1))</f>
        <v>451.95887041951761</v>
      </c>
      <c r="CE49" s="62">
        <f t="shared" si="40"/>
        <v>311.32964503257341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6.1728343462123831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6.1728343462123831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61.281785432092548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61.281785432092548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61.281785432092548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61.281785432092548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61.281785432092548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61.281785432092548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3.9000000000000004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6.6867840000000047</v>
      </c>
      <c r="D50" s="12">
        <f t="shared" si="32"/>
        <v>2.4700973309072958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23.321551678874982</v>
      </c>
      <c r="H50" s="70">
        <f t="shared" si="1"/>
        <v>215.41490165133021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61.433026963837932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-2.2737367544323206E-13</v>
      </c>
      <c r="O50" s="14">
        <f>N50*VLOOKUP('Données projet'!$B$9,Paramètres!$A$1:$I$89,3,0)*VLOOKUP('Données projet'!$B$9,Paramètres!$A$1:$I$89,5,0)</f>
        <v>-1.3596945791505279E-13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251.99201350544561</v>
      </c>
      <c r="T50" s="62">
        <f t="shared" si="34"/>
        <v>366.66533117979162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 t="e">
        <f>EXP(-LN(2)/35)*Z49+(1-EXP(-LN(2)/35))/(LN(2)/35)*V50*W50*VLOOKUP('Données projet'!$B$9,Paramètres!$A$1:$I$89,3,0)*0.475*44/12</f>
        <v>#VALUE!</v>
      </c>
      <c r="AA50" s="23" t="e">
        <f>EXP(-LN(2)/25)*AA49+(1-EXP(-LN(2)/25))/(LN(2)/25)*Calculateur!V50*Calculateur!X50*VLOOKUP('Données projet'!$B$9,Paramètres!$A$1:$I$89,3,0)*0.475*44/12</f>
        <v>#VALUE!</v>
      </c>
      <c r="AB50" s="23" t="e">
        <f>EXP(-LN(2)/2)*AB49+(1-EXP(-LN(2)/2))/(LN(2)/2)*V50*Y50*VLOOKUP('Données projet'!$B$9,Paramètres!$A$1:$I$89,3,0)*0.475*44/12</f>
        <v>#VALUE!</v>
      </c>
      <c r="AC50" s="24" t="e">
        <f t="shared" si="3"/>
        <v>#VALUE!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61.433026963837932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149.52545095126411</v>
      </c>
      <c r="AO50" s="62">
        <f t="shared" si="36"/>
        <v>457.9161829331029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34.74587183195522</v>
      </c>
      <c r="AV50" s="23">
        <f>EXP(-LN(2)/25)*AV49+(1-EXP(-LN(2)/25))/(LN(2)/25)*Calculateur!AQ50*Calculateur!AS50*VLOOKUP('Données projet'!$B$10,Paramètres!$A$1:$I$89,3,0)*0.475*44/12</f>
        <v>12.192731432116192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46.938603264071411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61.433026963837932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7.6</v>
      </c>
      <c r="BD50" s="13">
        <f>IF('Données projet'!$A$88&gt;35,BD49+BC50-BL49,IF(A50&lt;'Données projet'!$A$88,$BA$205^A50,IF(A50='Données projet'!$A$88,'Données projet'!$B$88,BD49+BC50-BL49)))</f>
        <v>148.20000000000007</v>
      </c>
      <c r="BE50" s="14">
        <f>BD50*VLOOKUP('Données projet'!$B$11,Paramètres!$A$1:$I$89,3,0)*VLOOKUP('Données projet'!$B$11,Paramètres!$A$1:$I$89,5,0)</f>
        <v>150.27480000000008</v>
      </c>
      <c r="BF50" s="14">
        <f t="shared" si="37"/>
        <v>38.641028252978359</v>
      </c>
      <c r="BG50" s="22">
        <f t="shared" si="7"/>
        <v>329.02840087393741</v>
      </c>
      <c r="BH50" s="62">
        <f t="shared" si="8"/>
        <v>590.94949974134317</v>
      </c>
      <c r="BI50" s="62">
        <f ca="1">AVERAGE(OFFSET($BH$3,0,0,'Données projet'!$E$11+1,1))-AVERAGE(OFFSET($H$3,0,0,'Données projet'!$E$11+1,1))</f>
        <v>408.82357969905803</v>
      </c>
      <c r="BJ50" s="62">
        <f t="shared" si="38"/>
        <v>263.2013060831145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6.0413643311494729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6.0413643311494729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61.433026963837932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</v>
      </c>
      <c r="BY50" s="13">
        <f>IF('Données projet'!$A$114&gt;35,BY49+BX50-CG49,IF(A50&lt;'Données projet'!$A$114,$BV$205^A50,IF(A50='Données projet'!$A$114,'Données projet'!$B$114,BY49+BX50-CG49)))</f>
        <v>215.00000000000009</v>
      </c>
      <c r="BZ50" s="14">
        <f>BY50*VLOOKUP('Données projet'!$B$12,Paramètres!$A$1:$I$89,3,0)*VLOOKUP('Données projet'!$B$12,Paramètres!$A$1:$I$89,5,0)</f>
        <v>204.59400000000011</v>
      </c>
      <c r="CA50" s="14">
        <f t="shared" si="39"/>
        <v>50.75245156043249</v>
      </c>
      <c r="CB50" s="22">
        <f t="shared" si="10"/>
        <v>444.72840313442015</v>
      </c>
      <c r="CC50" s="62">
        <f t="shared" si="11"/>
        <v>706.64950200182591</v>
      </c>
      <c r="CD50" s="62">
        <f ca="1">AVERAGE(OFFSET($CC$3,0,0,'Données projet'!$E$12+1,1))-AVERAGE(OFFSET($H$3,0,0,'Données projet'!$E$12+1,1))</f>
        <v>451.95887041951761</v>
      </c>
      <c r="CE50" s="62">
        <f t="shared" si="40"/>
        <v>311.32964503257341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6.0517888297403406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6.0517888297403406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61.433026963837932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61.433026963837932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61.433026963837932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61.433026963837932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61.433026963837932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61.433026963837932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3.9000000000000004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6.8290560000000049</v>
      </c>
      <c r="D51" s="12">
        <f t="shared" si="32"/>
        <v>2.5164781071040792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23.554554405967153</v>
      </c>
      <c r="H51" s="70">
        <f t="shared" si="1"/>
        <v>215.74347190320628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61.581644793132952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-2.2737367544323206E-13</v>
      </c>
      <c r="O51" s="14">
        <f>N51*VLOOKUP('Données projet'!$B$9,Paramètres!$A$1:$I$89,3,0)*VLOOKUP('Données projet'!$B$9,Paramètres!$A$1:$I$89,5,0)</f>
        <v>-1.3596945791505279E-13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251.99201350544561</v>
      </c>
      <c r="T51" s="62">
        <f t="shared" si="34"/>
        <v>366.66533117979162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 t="e">
        <f>EXP(-LN(2)/35)*Z50+(1-EXP(-LN(2)/35))/(LN(2)/35)*V51*W51*VLOOKUP('Données projet'!$B$9,Paramètres!$A$1:$I$89,3,0)*0.475*44/12</f>
        <v>#VALUE!</v>
      </c>
      <c r="AA51" s="23" t="e">
        <f>EXP(-LN(2)/25)*AA50+(1-EXP(-LN(2)/25))/(LN(2)/25)*Calculateur!V51*Calculateur!X51*VLOOKUP('Données projet'!$B$9,Paramètres!$A$1:$I$89,3,0)*0.475*44/12</f>
        <v>#VALUE!</v>
      </c>
      <c r="AB51" s="23" t="e">
        <f>EXP(-LN(2)/2)*AB50+(1-EXP(-LN(2)/2))/(LN(2)/2)*V51*Y51*VLOOKUP('Données projet'!$B$9,Paramètres!$A$1:$I$89,3,0)*0.475*44/12</f>
        <v>#VALUE!</v>
      </c>
      <c r="AC51" s="24" t="e">
        <f t="shared" si="3"/>
        <v>#VALUE!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61.581644793132952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149.52545095126411</v>
      </c>
      <c r="AO51" s="62">
        <f t="shared" si="36"/>
        <v>457.9161829331029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34.064526478219769</v>
      </c>
      <c r="AV51" s="23">
        <f>EXP(-LN(2)/25)*AV50+(1-EXP(-LN(2)/25))/(LN(2)/25)*Calculateur!AQ51*Calculateur!AS51*VLOOKUP('Données projet'!$B$10,Paramètres!$A$1:$I$89,3,0)*0.475*44/12</f>
        <v>11.859320549917095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45.923847028136862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61.581644793132952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7.6</v>
      </c>
      <c r="BD51" s="13">
        <f>IF('Données projet'!$A$88&gt;35,BD50+BC51-BL50,IF(A51&lt;'Données projet'!$A$88,$BA$205^A51,IF(A51='Données projet'!$A$88,'Données projet'!$B$88,BD50+BC51-BL50)))</f>
        <v>155.80000000000007</v>
      </c>
      <c r="BE51" s="14">
        <f>BD51*VLOOKUP('Données projet'!$B$11,Paramètres!$A$1:$I$89,3,0)*VLOOKUP('Données projet'!$B$11,Paramètres!$A$1:$I$89,5,0)</f>
        <v>157.98120000000009</v>
      </c>
      <c r="BF51" s="14">
        <f t="shared" si="37"/>
        <v>40.386833472870585</v>
      </c>
      <c r="BG51" s="22">
        <f t="shared" si="7"/>
        <v>345.49099163191642</v>
      </c>
      <c r="BH51" s="62">
        <f t="shared" si="8"/>
        <v>607.95702254007051</v>
      </c>
      <c r="BI51" s="62">
        <f ca="1">AVERAGE(OFFSET($BH$3,0,0,'Données projet'!$E$11+1,1))-AVERAGE(OFFSET($H$3,0,0,'Données projet'!$E$11+1,1))</f>
        <v>408.82357969905803</v>
      </c>
      <c r="BJ51" s="62">
        <f t="shared" si="38"/>
        <v>263.2013060831145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5.9228968614840234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5.9228968614840234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61.581644793132952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</v>
      </c>
      <c r="BY51" s="13">
        <f>IF('Données projet'!$A$114&gt;35,BY50+BX51-CG50,IF(A51&lt;'Données projet'!$A$114,$BV$205^A51,IF(A51='Données projet'!$A$114,'Données projet'!$B$114,BY50+BX51-CG50)))</f>
        <v>224.00000000000009</v>
      </c>
      <c r="BZ51" s="14">
        <f>BY51*VLOOKUP('Données projet'!$B$12,Paramètres!$A$1:$I$89,3,0)*VLOOKUP('Données projet'!$B$12,Paramètres!$A$1:$I$89,5,0)</f>
        <v>213.15840000000009</v>
      </c>
      <c r="CA51" s="14">
        <f t="shared" si="39"/>
        <v>52.625174774632413</v>
      </c>
      <c r="CB51" s="22">
        <f t="shared" si="10"/>
        <v>462.9063927324849</v>
      </c>
      <c r="CC51" s="62">
        <f t="shared" si="11"/>
        <v>725.372423640639</v>
      </c>
      <c r="CD51" s="62">
        <f ca="1">AVERAGE(OFFSET($CC$3,0,0,'Données projet'!$E$12+1,1))-AVERAGE(OFFSET($H$3,0,0,'Données projet'!$E$12+1,1))</f>
        <v>451.95887041951761</v>
      </c>
      <c r="CE51" s="62">
        <f t="shared" si="40"/>
        <v>311.32964503257341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5.9331169420158405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5.9331169420158405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61.581644793132952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61.581644793132952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61.581644793132952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61.581644793132952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61.581644793132952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61.581644793132952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3.9000000000000004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6.9713280000000051</v>
      </c>
      <c r="D52" s="12">
        <f t="shared" si="32"/>
        <v>2.5627465375920679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23.787418376254067</v>
      </c>
      <c r="H52" s="70">
        <f t="shared" si="1"/>
        <v>216.07184648630619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61.727684435349381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-2.2737367544323206E-13</v>
      </c>
      <c r="O52" s="14">
        <f>N52*VLOOKUP('Données projet'!$B$9,Paramètres!$A$1:$I$89,3,0)*VLOOKUP('Données projet'!$B$9,Paramètres!$A$1:$I$89,5,0)</f>
        <v>-1.3596945791505279E-13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251.99201350544561</v>
      </c>
      <c r="T52" s="62">
        <f t="shared" si="34"/>
        <v>366.66533117979162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 t="e">
        <f>EXP(-LN(2)/35)*Z51+(1-EXP(-LN(2)/35))/(LN(2)/35)*V52*W52*VLOOKUP('Données projet'!$B$9,Paramètres!$A$1:$I$89,3,0)*0.475*44/12</f>
        <v>#VALUE!</v>
      </c>
      <c r="AA52" s="23" t="e">
        <f>EXP(-LN(2)/25)*AA51+(1-EXP(-LN(2)/25))/(LN(2)/25)*Calculateur!V52*Calculateur!X52*VLOOKUP('Données projet'!$B$9,Paramètres!$A$1:$I$89,3,0)*0.475*44/12</f>
        <v>#VALUE!</v>
      </c>
      <c r="AB52" s="23" t="e">
        <f>EXP(-LN(2)/2)*AB51+(1-EXP(-LN(2)/2))/(LN(2)/2)*V52*Y52*VLOOKUP('Données projet'!$B$9,Paramètres!$A$1:$I$89,3,0)*0.475*44/12</f>
        <v>#VALUE!</v>
      </c>
      <c r="AC52" s="24" t="e">
        <f t="shared" si="3"/>
        <v>#VALUE!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61.727684435349381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149.52545095126411</v>
      </c>
      <c r="AO52" s="62">
        <f t="shared" si="36"/>
        <v>457.9161829331029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33.396541891291442</v>
      </c>
      <c r="AV52" s="23">
        <f>EXP(-LN(2)/25)*AV51+(1-EXP(-LN(2)/25))/(LN(2)/25)*Calculateur!AQ52*Calculateur!AS52*VLOOKUP('Données projet'!$B$10,Paramètres!$A$1:$I$89,3,0)*0.475*44/12</f>
        <v>11.53502680582505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44.931568697116489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61.727684435349381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7.6</v>
      </c>
      <c r="BD52" s="13">
        <f>IF('Données projet'!$A$88&gt;35,BD51+BC52-BL51,IF(A52&lt;'Données projet'!$A$88,$BA$205^A52,IF(A52='Données projet'!$A$88,'Données projet'!$B$88,BD51+BC52-BL51)))</f>
        <v>163.40000000000006</v>
      </c>
      <c r="BE52" s="14">
        <f>BD52*VLOOKUP('Données projet'!$B$11,Paramètres!$A$1:$I$89,3,0)*VLOOKUP('Données projet'!$B$11,Paramètres!$A$1:$I$89,5,0)</f>
        <v>165.68760000000009</v>
      </c>
      <c r="BF52" s="14">
        <f t="shared" si="37"/>
        <v>42.122749874294243</v>
      </c>
      <c r="BG52" s="22">
        <f t="shared" si="7"/>
        <v>361.93635936439591</v>
      </c>
      <c r="BH52" s="62">
        <f t="shared" si="8"/>
        <v>624.93786896067695</v>
      </c>
      <c r="BI52" s="62">
        <f ca="1">AVERAGE(OFFSET($BH$3,0,0,'Données projet'!$E$11+1,1))-AVERAGE(OFFSET($H$3,0,0,'Données projet'!$E$11+1,1))</f>
        <v>408.82357969905803</v>
      </c>
      <c r="BJ52" s="62">
        <f t="shared" si="38"/>
        <v>263.2013060831145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5.8067524666406918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5.8067524666406918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61.727684435349381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9</v>
      </c>
      <c r="BY52" s="13">
        <f>IF('Données projet'!$A$114&gt;35,BY51+BX52-CG51,IF(A52&lt;'Données projet'!$A$114,$BV$205^A52,IF(A52='Données projet'!$A$114,'Données projet'!$B$114,BY51+BX52-CG51)))</f>
        <v>233.00000000000009</v>
      </c>
      <c r="BZ52" s="14">
        <f>BY52*VLOOKUP('Données projet'!$B$12,Paramètres!$A$1:$I$89,3,0)*VLOOKUP('Données projet'!$B$12,Paramètres!$A$1:$I$89,5,0)</f>
        <v>221.72280000000009</v>
      </c>
      <c r="CA52" s="14">
        <f t="shared" si="39"/>
        <v>54.489157628530677</v>
      </c>
      <c r="CB52" s="22">
        <f t="shared" si="10"/>
        <v>481.06915953635774</v>
      </c>
      <c r="CC52" s="62">
        <f t="shared" si="11"/>
        <v>744.07066913263884</v>
      </c>
      <c r="CD52" s="62">
        <f ca="1">AVERAGE(OFFSET($CC$3,0,0,'Données projet'!$E$12+1,1))-AVERAGE(OFFSET($H$3,0,0,'Données projet'!$E$12+1,1))</f>
        <v>451.95887041951761</v>
      </c>
      <c r="CE52" s="62">
        <f t="shared" si="40"/>
        <v>311.32964503257341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5.8167721376269137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5.8167721376269137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61.727684435349381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61.727684435349381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61.727684435349381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61.727684435349381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61.727684435349381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61.727684435349381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3.9000000000000004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7.1136000000000053</v>
      </c>
      <c r="D53" s="12">
        <f t="shared" si="32"/>
        <v>2.6089051793396738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24.020146747816028</v>
      </c>
      <c r="H53" s="70">
        <f t="shared" si="1"/>
        <v>216.40002985401662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61.871190616269089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-2.2737367544323206E-13</v>
      </c>
      <c r="O53" s="14">
        <f>N53*VLOOKUP('Données projet'!$B$9,Paramètres!$A$1:$I$89,3,0)*VLOOKUP('Données projet'!$B$9,Paramètres!$A$1:$I$89,5,0)</f>
        <v>-1.3596945791505279E-13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251.99201350544561</v>
      </c>
      <c r="T53" s="62">
        <f t="shared" si="34"/>
        <v>366.66533117979162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 t="e">
        <f>EXP(-LN(2)/35)*Z52+(1-EXP(-LN(2)/35))/(LN(2)/35)*V53*W53*VLOOKUP('Données projet'!$B$9,Paramètres!$A$1:$I$89,3,0)*0.475*44/12</f>
        <v>#VALUE!</v>
      </c>
      <c r="AA53" s="23" t="e">
        <f>EXP(-LN(2)/25)*AA52+(1-EXP(-LN(2)/25))/(LN(2)/25)*Calculateur!V53*Calculateur!X53*VLOOKUP('Données projet'!$B$9,Paramètres!$A$1:$I$89,3,0)*0.475*44/12</f>
        <v>#VALUE!</v>
      </c>
      <c r="AB53" s="23" t="e">
        <f>EXP(-LN(2)/2)*AB52+(1-EXP(-LN(2)/2))/(LN(2)/2)*V53*Y53*VLOOKUP('Données projet'!$B$9,Paramètres!$A$1:$I$89,3,0)*0.475*44/12</f>
        <v>#VALUE!</v>
      </c>
      <c r="AC53" s="24" t="e">
        <f t="shared" si="3"/>
        <v>#VALUE!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61.871190616269089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149.52545095126411</v>
      </c>
      <c r="AO53" s="62">
        <f t="shared" si="36"/>
        <v>457.9161829331029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32.74165607468241</v>
      </c>
      <c r="AV53" s="23">
        <f>EXP(-LN(2)/25)*AV52+(1-EXP(-LN(2)/25))/(LN(2)/25)*Calculateur!AQ53*Calculateur!AS53*VLOOKUP('Données projet'!$B$10,Paramètres!$A$1:$I$89,3,0)*0.475*44/12</f>
        <v>11.219600891219068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43.961256965901477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61.871190616269089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171</v>
      </c>
      <c r="BB53" s="13">
        <f>VLOOKUP(A53,'Données projet'!$A$87:$I$107,9,0)</f>
        <v>7.6</v>
      </c>
      <c r="BC53" s="13">
        <f t="array" ref="BC53">INDEX(BB:BB,MIN(IF(ISNUMBER(BB53:BB249),ROW(BB53:BB249),"")))</f>
        <v>7.6</v>
      </c>
      <c r="BD53" s="13">
        <f>IF('Données projet'!$A$88&gt;35,BD52+BC53-BL52,IF(A53&lt;'Données projet'!$A$88,$BA$205^A53,IF(A53='Données projet'!$A$88,'Données projet'!$B$88,BD52+BC53-BL52)))</f>
        <v>171.00000000000006</v>
      </c>
      <c r="BE53" s="14">
        <f>BD53*VLOOKUP('Données projet'!$B$11,Paramètres!$A$1:$I$89,3,0)*VLOOKUP('Données projet'!$B$11,Paramètres!$A$1:$I$89,5,0)</f>
        <v>173.39400000000006</v>
      </c>
      <c r="BF53" s="14">
        <f t="shared" si="37"/>
        <v>43.849289930196633</v>
      </c>
      <c r="BG53" s="22">
        <f t="shared" si="7"/>
        <v>378.36539662842591</v>
      </c>
      <c r="BH53" s="62">
        <f t="shared" si="8"/>
        <v>641.89309555474597</v>
      </c>
      <c r="BI53" s="62">
        <f ca="1">AVERAGE(OFFSET($BH$3,0,0,'Données projet'!$E$11+1,1))-AVERAGE(OFFSET($H$3,0,0,'Données projet'!$E$11+1,1))</f>
        <v>408.82357969905803</v>
      </c>
      <c r="BJ53" s="62">
        <f t="shared" si="38"/>
        <v>263.2013060831145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22</v>
      </c>
      <c r="BM53" s="17">
        <f>IF(ISNA(VLOOKUP(A53,'Données projet'!$A$87:$I$107,5,0)),0%,VLOOKUP(A53,'Données projet'!$A$87:$I$107,5,0)*VLOOKUP('Données projet'!$B$11,Paramètres!$A$1:$I$89,7,0))</f>
        <v>0.129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8.8741330787732675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8.8741330787732675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61.871190616269089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242</v>
      </c>
      <c r="BW53" s="13">
        <f>VLOOKUP(A53,'Données projet'!$A$113:$I$133,9,0)</f>
        <v>9</v>
      </c>
      <c r="BX53" s="13">
        <f t="array" ref="BX53">INDEX(BW:BW,MIN(IF(ISNUMBER(BW53:BW249),ROW(BW53:BW249),"")))</f>
        <v>9</v>
      </c>
      <c r="BY53" s="13">
        <f>IF('Données projet'!$A$114&gt;35,BY52+BX53-CG52,IF(A53&lt;'Données projet'!$A$114,$BV$205^A53,IF(A53='Données projet'!$A$114,'Données projet'!$B$114,BY52+BX53-CG52)))</f>
        <v>242.00000000000009</v>
      </c>
      <c r="BZ53" s="14">
        <f>BY53*VLOOKUP('Données projet'!$B$12,Paramètres!$A$1:$I$89,3,0)*VLOOKUP('Données projet'!$B$12,Paramètres!$A$1:$I$89,5,0)</f>
        <v>230.2872000000001</v>
      </c>
      <c r="CA53" s="14">
        <f t="shared" si="39"/>
        <v>56.344776374960006</v>
      </c>
      <c r="CB53" s="22">
        <f t="shared" si="10"/>
        <v>499.21735885305549</v>
      </c>
      <c r="CC53" s="62">
        <f t="shared" si="11"/>
        <v>762.74505777937543</v>
      </c>
      <c r="CD53" s="62">
        <f ca="1">AVERAGE(OFFSET($CC$3,0,0,'Données projet'!$E$12+1,1))-AVERAGE(OFFSET($H$3,0,0,'Données projet'!$E$12+1,1))</f>
        <v>451.95887041951761</v>
      </c>
      <c r="CE53" s="62">
        <f t="shared" si="40"/>
        <v>311.32964503257341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30</v>
      </c>
      <c r="CH53" s="17">
        <f>IF(ISNA(VLOOKUP(A53,'Données projet'!$A$113:$I$133,5,0)),0%,VLOOKUP(A53,'Données projet'!$A$113:$I$133,5,0)*VLOOKUP('Données projet'!$B$12,Paramètres!$A$1:$I$89,7,0))</f>
        <v>0.129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9.7738157068316873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9.7738157068316873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61.871190616269089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61.871190616269089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61.871190616269089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61.871190616269089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61.871190616269089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61.871190616269089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3.9000000000000004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7.2558720000000054</v>
      </c>
      <c r="D54" s="12">
        <f t="shared" si="32"/>
        <v>2.6549564811882087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24.252742545186848</v>
      </c>
      <c r="H54" s="70">
        <f t="shared" si="1"/>
        <v>216.7280262714028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62.012207285781592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-2.2737367544323206E-13</v>
      </c>
      <c r="O54" s="14">
        <f>N54*VLOOKUP('Données projet'!$B$9,Paramètres!$A$1:$I$89,3,0)*VLOOKUP('Données projet'!$B$9,Paramètres!$A$1:$I$89,5,0)</f>
        <v>-1.3596945791505279E-13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251.99201350544561</v>
      </c>
      <c r="T54" s="62">
        <f t="shared" si="34"/>
        <v>366.66533117979162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 t="e">
        <f>EXP(-LN(2)/35)*Z53+(1-EXP(-LN(2)/35))/(LN(2)/35)*V54*W54*VLOOKUP('Données projet'!$B$9,Paramètres!$A$1:$I$89,3,0)*0.475*44/12</f>
        <v>#VALUE!</v>
      </c>
      <c r="AA54" s="23" t="e">
        <f>EXP(-LN(2)/25)*AA53+(1-EXP(-LN(2)/25))/(LN(2)/25)*Calculateur!V54*Calculateur!X54*VLOOKUP('Données projet'!$B$9,Paramètres!$A$1:$I$89,3,0)*0.475*44/12</f>
        <v>#VALUE!</v>
      </c>
      <c r="AB54" s="23" t="e">
        <f>EXP(-LN(2)/2)*AB53+(1-EXP(-LN(2)/2))/(LN(2)/2)*V54*Y54*VLOOKUP('Données projet'!$B$9,Paramètres!$A$1:$I$89,3,0)*0.475*44/12</f>
        <v>#VALUE!</v>
      </c>
      <c r="AC54" s="24" t="e">
        <f t="shared" si="3"/>
        <v>#VALUE!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62.012207285781592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149.52545095126411</v>
      </c>
      <c r="AO54" s="62">
        <f t="shared" si="36"/>
        <v>457.9161829331029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32.099612169496176</v>
      </c>
      <c r="AV54" s="23">
        <f>EXP(-LN(2)/25)*AV53+(1-EXP(-LN(2)/25))/(LN(2)/25)*Calculateur!AQ54*Calculateur!AS54*VLOOKUP('Données projet'!$B$10,Paramètres!$A$1:$I$89,3,0)*0.475*44/12</f>
        <v>10.912800314835515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43.012412484331691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62.012207285781592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7.2</v>
      </c>
      <c r="BD54" s="13">
        <f>IF('Données projet'!$A$88&gt;35,BD53+BC54-BL53,IF(A54&lt;'Données projet'!$A$88,$BA$205^A54,IF(A54='Données projet'!$A$88,'Données projet'!$B$88,BD53+BC54-BL53)))</f>
        <v>156.20000000000005</v>
      </c>
      <c r="BE54" s="14">
        <f>BD54*VLOOKUP('Données projet'!$B$11,Paramètres!$A$1:$I$89,3,0)*VLOOKUP('Données projet'!$B$11,Paramètres!$A$1:$I$89,5,0)</f>
        <v>158.38680000000005</v>
      </c>
      <c r="BF54" s="14">
        <f t="shared" si="37"/>
        <v>40.478439323673456</v>
      </c>
      <c r="BG54" s="22">
        <f t="shared" si="7"/>
        <v>346.35695848873138</v>
      </c>
      <c r="BH54" s="62">
        <f t="shared" si="8"/>
        <v>610.40171853659717</v>
      </c>
      <c r="BI54" s="62">
        <f ca="1">AVERAGE(OFFSET($BH$3,0,0,'Données projet'!$E$11+1,1))-AVERAGE(OFFSET($H$3,0,0,'Données projet'!$E$11+1,1))</f>
        <v>408.82357969905803</v>
      </c>
      <c r="BJ54" s="62">
        <f t="shared" si="38"/>
        <v>263.2013060831145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8.7001167417852425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8.7001167417852425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62.012207285781592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8.6</v>
      </c>
      <c r="BY54" s="13">
        <f>IF('Données projet'!$A$114&gt;35,BY53+BX54-CG53,IF(A54&lt;'Données projet'!$A$114,$BV$205^A54,IF(A54='Données projet'!$A$114,'Données projet'!$B$114,BY53+BX54-CG53)))</f>
        <v>220.60000000000008</v>
      </c>
      <c r="BZ54" s="14">
        <f>BY54*VLOOKUP('Données projet'!$B$12,Paramètres!$A$1:$I$89,3,0)*VLOOKUP('Données projet'!$B$12,Paramètres!$A$1:$I$89,5,0)</f>
        <v>209.9229600000001</v>
      </c>
      <c r="CA54" s="14">
        <f t="shared" si="39"/>
        <v>51.918750160504374</v>
      </c>
      <c r="CB54" s="22">
        <f t="shared" si="10"/>
        <v>456.04097852954527</v>
      </c>
      <c r="CC54" s="62">
        <f t="shared" si="11"/>
        <v>720.08573857741112</v>
      </c>
      <c r="CD54" s="62">
        <f ca="1">AVERAGE(OFFSET($CC$3,0,0,'Données projet'!$E$12+1,1))-AVERAGE(OFFSET($H$3,0,0,'Données projet'!$E$12+1,1))</f>
        <v>451.95887041951761</v>
      </c>
      <c r="CE54" s="62">
        <f t="shared" si="40"/>
        <v>311.32964503257341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9.5821571422596552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9.5821571422596552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62.012207285781592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62.012207285781592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62.012207285781592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62.012207285781592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62.012207285781592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62.012207285781592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3.9000000000000004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7.3981440000000056</v>
      </c>
      <c r="D55" s="12">
        <f t="shared" si="32"/>
        <v>2.7009027904532483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24.48520866750718</v>
      </c>
      <c r="H55" s="70">
        <f t="shared" si="1"/>
        <v>217.05583982670609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62.150777631344098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-2.2737367544323206E-13</v>
      </c>
      <c r="O55" s="14">
        <f>N55*VLOOKUP('Données projet'!$B$9,Paramètres!$A$1:$I$89,3,0)*VLOOKUP('Données projet'!$B$9,Paramètres!$A$1:$I$89,5,0)</f>
        <v>-1.3596945791505279E-13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251.99201350544561</v>
      </c>
      <c r="T55" s="62">
        <f t="shared" si="34"/>
        <v>366.66533117979162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 t="e">
        <f>EXP(-LN(2)/35)*Z54+(1-EXP(-LN(2)/35))/(LN(2)/35)*V55*W55*VLOOKUP('Données projet'!$B$9,Paramètres!$A$1:$I$89,3,0)*0.475*44/12</f>
        <v>#VALUE!</v>
      </c>
      <c r="AA55" s="23" t="e">
        <f>EXP(-LN(2)/25)*AA54+(1-EXP(-LN(2)/25))/(LN(2)/25)*Calculateur!V55*Calculateur!X55*VLOOKUP('Données projet'!$B$9,Paramètres!$A$1:$I$89,3,0)*0.475*44/12</f>
        <v>#VALUE!</v>
      </c>
      <c r="AB55" s="23" t="e">
        <f>EXP(-LN(2)/2)*AB54+(1-EXP(-LN(2)/2))/(LN(2)/2)*V55*Y55*VLOOKUP('Données projet'!$B$9,Paramètres!$A$1:$I$89,3,0)*0.475*44/12</f>
        <v>#VALUE!</v>
      </c>
      <c r="AC55" s="24" t="e">
        <f t="shared" si="3"/>
        <v>#VALUE!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62.150777631344098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149.52545095126411</v>
      </c>
      <c r="AO55" s="62">
        <f t="shared" si="36"/>
        <v>457.9161829331029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31.470158353682532</v>
      </c>
      <c r="AV55" s="23">
        <f>EXP(-LN(2)/25)*AV54+(1-EXP(-LN(2)/25))/(LN(2)/25)*Calculateur!AQ55*Calculateur!AS55*VLOOKUP('Données projet'!$B$10,Paramètres!$A$1:$I$89,3,0)*0.475*44/12</f>
        <v>10.61438921634711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42.084547570029642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62.150777631344098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7.2</v>
      </c>
      <c r="BD55" s="13">
        <f>IF('Données projet'!$A$88&gt;35,BD54+BC55-BL54,IF(A55&lt;'Données projet'!$A$88,$BA$205^A55,IF(A55='Données projet'!$A$88,'Données projet'!$B$88,BD54+BC55-BL54)))</f>
        <v>163.40000000000003</v>
      </c>
      <c r="BE55" s="14">
        <f>BD55*VLOOKUP('Données projet'!$B$11,Paramètres!$A$1:$I$89,3,0)*VLOOKUP('Données projet'!$B$11,Paramètres!$A$1:$I$89,5,0)</f>
        <v>165.68760000000003</v>
      </c>
      <c r="BF55" s="14">
        <f t="shared" si="37"/>
        <v>42.122749874294207</v>
      </c>
      <c r="BG55" s="22">
        <f t="shared" si="7"/>
        <v>361.93635936439574</v>
      </c>
      <c r="BH55" s="62">
        <f t="shared" si="8"/>
        <v>626.48921067932406</v>
      </c>
      <c r="BI55" s="62">
        <f ca="1">AVERAGE(OFFSET($BH$3,0,0,'Données projet'!$E$11+1,1))-AVERAGE(OFFSET($H$3,0,0,'Données projet'!$E$11+1,1))</f>
        <v>408.82357969905803</v>
      </c>
      <c r="BJ55" s="62">
        <f t="shared" si="38"/>
        <v>263.2013060831145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8.5295127590260691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8.5295127590260691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62.150777631344098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8.6</v>
      </c>
      <c r="BY55" s="13">
        <f>IF('Données projet'!$A$114&gt;35,BY54+BX55-CG54,IF(A55&lt;'Données projet'!$A$114,$BV$205^A55,IF(A55='Données projet'!$A$114,'Données projet'!$B$114,BY54+BX55-CG54)))</f>
        <v>229.20000000000007</v>
      </c>
      <c r="BZ55" s="14">
        <f>BY55*VLOOKUP('Données projet'!$B$12,Paramètres!$A$1:$I$89,3,0)*VLOOKUP('Données projet'!$B$12,Paramètres!$A$1:$I$89,5,0)</f>
        <v>218.10672000000008</v>
      </c>
      <c r="CA55" s="14">
        <f t="shared" si="39"/>
        <v>53.703183903018903</v>
      </c>
      <c r="CB55" s="22">
        <f t="shared" si="10"/>
        <v>473.40224929775815</v>
      </c>
      <c r="CC55" s="62">
        <f t="shared" si="11"/>
        <v>737.95510061268646</v>
      </c>
      <c r="CD55" s="62">
        <f ca="1">AVERAGE(OFFSET($CC$3,0,0,'Données projet'!$E$12+1,1))-AVERAGE(OFFSET($H$3,0,0,'Données projet'!$E$12+1,1))</f>
        <v>451.95887041951761</v>
      </c>
      <c r="CE55" s="62">
        <f t="shared" si="40"/>
        <v>311.32964503257341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9.3942568852387005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9.3942568852387005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62.150777631344098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62.150777631344098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62.150777631344098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62.150777631344098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62.150777631344098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62.150777631344098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3.9000000000000004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7.5404160000000058</v>
      </c>
      <c r="D56" s="12">
        <f t="shared" si="32"/>
        <v>2.7467463590038377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24.717547896032819</v>
      </c>
      <c r="H56" s="70">
        <f t="shared" si="1"/>
        <v>217.3834744419317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62.286944091207978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-2.2737367544323206E-13</v>
      </c>
      <c r="O56" s="14">
        <f>N56*VLOOKUP('Données projet'!$B$9,Paramètres!$A$1:$I$89,3,0)*VLOOKUP('Données projet'!$B$9,Paramètres!$A$1:$I$89,5,0)</f>
        <v>-1.3596945791505279E-13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251.99201350544561</v>
      </c>
      <c r="T56" s="62">
        <f t="shared" si="34"/>
        <v>366.66533117979162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 t="e">
        <f>EXP(-LN(2)/35)*Z55+(1-EXP(-LN(2)/35))/(LN(2)/35)*V56*W56*VLOOKUP('Données projet'!$B$9,Paramètres!$A$1:$I$89,3,0)*0.475*44/12</f>
        <v>#VALUE!</v>
      </c>
      <c r="AA56" s="23" t="e">
        <f>EXP(-LN(2)/25)*AA55+(1-EXP(-LN(2)/25))/(LN(2)/25)*Calculateur!V56*Calculateur!X56*VLOOKUP('Données projet'!$B$9,Paramètres!$A$1:$I$89,3,0)*0.475*44/12</f>
        <v>#VALUE!</v>
      </c>
      <c r="AB56" s="23" t="e">
        <f>EXP(-LN(2)/2)*AB55+(1-EXP(-LN(2)/2))/(LN(2)/2)*V56*Y56*VLOOKUP('Données projet'!$B$9,Paramètres!$A$1:$I$89,3,0)*0.475*44/12</f>
        <v>#VALUE!</v>
      </c>
      <c r="AC56" s="24" t="e">
        <f t="shared" si="3"/>
        <v>#VALUE!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62.286944091207978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149.52545095126411</v>
      </c>
      <c r="AO56" s="62">
        <f t="shared" si="36"/>
        <v>457.9161829331029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30.853047743268075</v>
      </c>
      <c r="AV56" s="23">
        <f>EXP(-LN(2)/25)*AV55+(1-EXP(-LN(2)/25))/(LN(2)/25)*Calculateur!AQ56*Calculateur!AS56*VLOOKUP('Données projet'!$B$10,Paramètres!$A$1:$I$89,3,0)*0.475*44/12</f>
        <v>10.324138185039629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41.177185928307708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62.286944091207978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7.2</v>
      </c>
      <c r="BD56" s="13">
        <f>IF('Données projet'!$A$88&gt;35,BD55+BC56-BL55,IF(A56&lt;'Données projet'!$A$88,$BA$205^A56,IF(A56='Données projet'!$A$88,'Données projet'!$B$88,BD55+BC56-BL55)))</f>
        <v>170.60000000000002</v>
      </c>
      <c r="BE56" s="14">
        <f>BD56*VLOOKUP('Données projet'!$B$11,Paramètres!$A$1:$I$89,3,0)*VLOOKUP('Données projet'!$B$11,Paramètres!$A$1:$I$89,5,0)</f>
        <v>172.98840000000004</v>
      </c>
      <c r="BF56" s="14">
        <f t="shared" si="37"/>
        <v>43.758645457754092</v>
      </c>
      <c r="BG56" s="22">
        <f t="shared" si="7"/>
        <v>377.50110417225505</v>
      </c>
      <c r="BH56" s="62">
        <f t="shared" si="8"/>
        <v>642.55323250668425</v>
      </c>
      <c r="BI56" s="62">
        <f ca="1">AVERAGE(OFFSET($BH$3,0,0,'Données projet'!$E$11+1,1))-AVERAGE(OFFSET($H$3,0,0,'Données projet'!$E$11+1,1))</f>
        <v>408.82357969905803</v>
      </c>
      <c r="BJ56" s="62">
        <f t="shared" si="38"/>
        <v>263.2013060831145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8.3622542163106477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8.3622542163106477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62.286944091207978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8.6</v>
      </c>
      <c r="BY56" s="13">
        <f>IF('Données projet'!$A$114&gt;35,BY55+BX56-CG55,IF(A56&lt;'Données projet'!$A$114,$BV$205^A56,IF(A56='Données projet'!$A$114,'Données projet'!$B$114,BY55+BX56-CG55)))</f>
        <v>237.80000000000007</v>
      </c>
      <c r="BZ56" s="14">
        <f>BY56*VLOOKUP('Données projet'!$B$12,Paramètres!$A$1:$I$89,3,0)*VLOOKUP('Données projet'!$B$12,Paramètres!$A$1:$I$89,5,0)</f>
        <v>226.29048000000009</v>
      </c>
      <c r="CA56" s="14">
        <f t="shared" si="39"/>
        <v>55.479839127853573</v>
      </c>
      <c r="CB56" s="22">
        <f t="shared" si="10"/>
        <v>490.74997248101175</v>
      </c>
      <c r="CC56" s="62">
        <f t="shared" si="11"/>
        <v>755.80210081544101</v>
      </c>
      <c r="CD56" s="62">
        <f ca="1">AVERAGE(OFFSET($CC$3,0,0,'Données projet'!$E$12+1,1))-AVERAGE(OFFSET($H$3,0,0,'Données projet'!$E$12+1,1))</f>
        <v>451.95887041951761</v>
      </c>
      <c r="CE56" s="62">
        <f t="shared" si="40"/>
        <v>311.32964503257341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9.2100412376500866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9.2100412376500866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62.286944091207978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62.286944091207978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62.286944091207978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62.286944091207978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62.286944091207978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62.286944091207978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3.9000000000000004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7.682688000000006</v>
      </c>
      <c r="D57" s="12">
        <f t="shared" si="32"/>
        <v>2.7924893488699194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24.949762901060403</v>
      </c>
      <c r="H57" s="70">
        <f t="shared" si="1"/>
        <v>217.71093388261511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62.420748367415818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-2.2737367544323206E-13</v>
      </c>
      <c r="O57" s="14">
        <f>N57*VLOOKUP('Données projet'!$B$9,Paramètres!$A$1:$I$89,3,0)*VLOOKUP('Données projet'!$B$9,Paramètres!$A$1:$I$89,5,0)</f>
        <v>-1.3596945791505279E-13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251.99201350544561</v>
      </c>
      <c r="T57" s="62">
        <f t="shared" si="34"/>
        <v>366.66533117979162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 t="e">
        <f>EXP(-LN(2)/35)*Z56+(1-EXP(-LN(2)/35))/(LN(2)/35)*V57*W57*VLOOKUP('Données projet'!$B$9,Paramètres!$A$1:$I$89,3,0)*0.475*44/12</f>
        <v>#VALUE!</v>
      </c>
      <c r="AA57" s="23" t="e">
        <f>EXP(-LN(2)/25)*AA56+(1-EXP(-LN(2)/25))/(LN(2)/25)*Calculateur!V57*Calculateur!X57*VLOOKUP('Données projet'!$B$9,Paramètres!$A$1:$I$89,3,0)*0.475*44/12</f>
        <v>#VALUE!</v>
      </c>
      <c r="AB57" s="23" t="e">
        <f>EXP(-LN(2)/2)*AB56+(1-EXP(-LN(2)/2))/(LN(2)/2)*V57*Y57*VLOOKUP('Données projet'!$B$9,Paramètres!$A$1:$I$89,3,0)*0.475*44/12</f>
        <v>#VALUE!</v>
      </c>
      <c r="AC57" s="24" t="e">
        <f t="shared" si="3"/>
        <v>#VALUE!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62.420748367415818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149.52545095126411</v>
      </c>
      <c r="AO57" s="62">
        <f t="shared" si="36"/>
        <v>457.9161829331029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30.248038295523539</v>
      </c>
      <c r="AV57" s="23">
        <f>EXP(-LN(2)/25)*AV56+(1-EXP(-LN(2)/25))/(LN(2)/25)*Calculateur!AQ57*Calculateur!AS57*VLOOKUP('Données projet'!$B$10,Paramètres!$A$1:$I$89,3,0)*0.475*44/12</f>
        <v>10.04182408344689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40.289862378970426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62.420748367415818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7.2</v>
      </c>
      <c r="BD57" s="13">
        <f>IF('Données projet'!$A$88&gt;35,BD56+BC57-BL56,IF(A57&lt;'Données projet'!$A$88,$BA$205^A57,IF(A57='Données projet'!$A$88,'Données projet'!$B$88,BD56+BC57-BL56)))</f>
        <v>177.8</v>
      </c>
      <c r="BE57" s="14">
        <f>BD57*VLOOKUP('Données projet'!$B$11,Paramètres!$A$1:$I$89,3,0)*VLOOKUP('Données projet'!$B$11,Paramètres!$A$1:$I$89,5,0)</f>
        <v>180.28920000000002</v>
      </c>
      <c r="BF57" s="14">
        <f t="shared" si="37"/>
        <v>45.386521825503259</v>
      </c>
      <c r="BG57" s="22">
        <f t="shared" si="7"/>
        <v>393.05188217941821</v>
      </c>
      <c r="BH57" s="62">
        <f t="shared" si="8"/>
        <v>658.59462619327621</v>
      </c>
      <c r="BI57" s="62">
        <f ca="1">AVERAGE(OFFSET($BH$3,0,0,'Données projet'!$E$11+1,1))-AVERAGE(OFFSET($H$3,0,0,'Données projet'!$E$11+1,1))</f>
        <v>408.82357969905803</v>
      </c>
      <c r="BJ57" s="62">
        <f t="shared" si="38"/>
        <v>263.2013060831145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8.1982755116002384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8.1982755116002384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62.420748367415818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8.6</v>
      </c>
      <c r="BY57" s="13">
        <f>IF('Données projet'!$A$114&gt;35,BY56+BX57-CG56,IF(A57&lt;'Données projet'!$A$114,$BV$205^A57,IF(A57='Données projet'!$A$114,'Données projet'!$B$114,BY56+BX57-CG56)))</f>
        <v>246.40000000000006</v>
      </c>
      <c r="BZ57" s="14">
        <f>BY57*VLOOKUP('Données projet'!$B$12,Paramètres!$A$1:$I$89,3,0)*VLOOKUP('Données projet'!$B$12,Paramètres!$A$1:$I$89,5,0)</f>
        <v>234.47424000000007</v>
      </c>
      <c r="CA57" s="14">
        <f t="shared" si="39"/>
        <v>57.249029367164617</v>
      </c>
      <c r="CB57" s="22">
        <f t="shared" si="10"/>
        <v>508.08469414781183</v>
      </c>
      <c r="CC57" s="62">
        <f t="shared" si="11"/>
        <v>773.62743816166983</v>
      </c>
      <c r="CD57" s="62">
        <f ca="1">AVERAGE(OFFSET($CC$3,0,0,'Données projet'!$E$12+1,1))-AVERAGE(OFFSET($H$3,0,0,'Données projet'!$E$12+1,1))</f>
        <v>451.95887041951761</v>
      </c>
      <c r="CE57" s="62">
        <f t="shared" si="40"/>
        <v>311.32964503257341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9.0294379465502352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9.0294379465502352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62.420748367415818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62.420748367415818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62.420748367415818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62.420748367415818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62.420748367415818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62.420748367415818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3.9000000000000004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7.8249600000000061</v>
      </c>
      <c r="D58" s="12">
        <f t="shared" si="32"/>
        <v>2.8381338374226459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25.181856248325523</v>
      </c>
      <c r="H58" s="70">
        <f t="shared" si="1"/>
        <v>218.03822176684446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62.552231438572996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-2.2737367544323206E-13</v>
      </c>
      <c r="O58" s="14">
        <f>N58*VLOOKUP('Données projet'!$B$9,Paramètres!$A$1:$I$89,3,0)*VLOOKUP('Données projet'!$B$9,Paramètres!$A$1:$I$89,5,0)</f>
        <v>-1.3596945791505279E-13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251.99201350544561</v>
      </c>
      <c r="T58" s="62">
        <f t="shared" si="34"/>
        <v>366.66533117979162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 t="e">
        <f>EXP(-LN(2)/35)*Z57+(1-EXP(-LN(2)/35))/(LN(2)/35)*V58*W58*VLOOKUP('Données projet'!$B$9,Paramètres!$A$1:$I$89,3,0)*0.475*44/12</f>
        <v>#VALUE!</v>
      </c>
      <c r="AA58" s="23" t="e">
        <f>EXP(-LN(2)/25)*AA57+(1-EXP(-LN(2)/25))/(LN(2)/25)*Calculateur!V58*Calculateur!X58*VLOOKUP('Données projet'!$B$9,Paramètres!$A$1:$I$89,3,0)*0.475*44/12</f>
        <v>#VALUE!</v>
      </c>
      <c r="AB58" s="23" t="e">
        <f>EXP(-LN(2)/2)*AB57+(1-EXP(-LN(2)/2))/(LN(2)/2)*V58*Y58*VLOOKUP('Données projet'!$B$9,Paramètres!$A$1:$I$89,3,0)*0.475*44/12</f>
        <v>#VALUE!</v>
      </c>
      <c r="AC58" s="24" t="e">
        <f t="shared" si="3"/>
        <v>#VALUE!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62.552231438572996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149.52545095126411</v>
      </c>
      <c r="AO58" s="62">
        <f t="shared" si="36"/>
        <v>457.9161829331029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29.654892714029948</v>
      </c>
      <c r="AV58" s="23">
        <f>EXP(-LN(2)/25)*AV57+(1-EXP(-LN(2)/25))/(LN(2)/25)*Calculateur!AQ58*Calculateur!AS58*VLOOKUP('Données projet'!$B$10,Paramètres!$A$1:$I$89,3,0)*0.475*44/12</f>
        <v>9.7672298758084573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39.422122589838409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62.552231438572996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185</v>
      </c>
      <c r="BB58" s="13">
        <f>VLOOKUP(A58,'Données projet'!$A$87:$I$107,9,0)</f>
        <v>7.2</v>
      </c>
      <c r="BC58" s="13">
        <f t="array" ref="BC58">INDEX(BB:BB,MIN(IF(ISNUMBER(BB58:BB254),ROW(BB58:BB254),"")))</f>
        <v>7.2</v>
      </c>
      <c r="BD58" s="13">
        <f>IF('Données projet'!$A$88&gt;35,BD57+BC58-BL57,IF(A58&lt;'Données projet'!$A$88,$BA$205^A58,IF(A58='Données projet'!$A$88,'Données projet'!$B$88,BD57+BC58-BL57)))</f>
        <v>185</v>
      </c>
      <c r="BE58" s="14">
        <f>BD58*VLOOKUP('Données projet'!$B$11,Paramètres!$A$1:$I$89,3,0)*VLOOKUP('Données projet'!$B$11,Paramètres!$A$1:$I$89,5,0)</f>
        <v>187.59</v>
      </c>
      <c r="BF58" s="14">
        <f t="shared" si="37"/>
        <v>47.006740863164012</v>
      </c>
      <c r="BG58" s="22">
        <f t="shared" si="7"/>
        <v>408.58932367001074</v>
      </c>
      <c r="BH58" s="62">
        <f t="shared" si="8"/>
        <v>674.61417227811171</v>
      </c>
      <c r="BI58" s="62">
        <f ca="1">AVERAGE(OFFSET($BH$3,0,0,'Données projet'!$E$11+1,1))-AVERAGE(OFFSET($H$3,0,0,'Données projet'!$E$11+1,1))</f>
        <v>408.82357969905803</v>
      </c>
      <c r="BJ58" s="62">
        <f t="shared" si="38"/>
        <v>263.2013060831145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22</v>
      </c>
      <c r="BM58" s="17">
        <f>IF(ISNA(VLOOKUP(A58,'Données projet'!$A$87:$I$107,5,0)),0%,VLOOKUP(A58,'Données projet'!$A$87:$I$107,5,0)*VLOOKUP('Données projet'!$B$11,Paramètres!$A$1:$I$89,7,0))</f>
        <v>0.17200000000000001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12.279175644250888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12.279175644250888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62.552231438572996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255</v>
      </c>
      <c r="BW58" s="13">
        <f>VLOOKUP(A58,'Données projet'!$A$113:$I$133,9,0)</f>
        <v>8.6</v>
      </c>
      <c r="BX58" s="13">
        <f t="array" ref="BX58">INDEX(BW:BW,MIN(IF(ISNUMBER(BW58:BW254),ROW(BW58:BW254),"")))</f>
        <v>8.6</v>
      </c>
      <c r="BY58" s="13">
        <f>IF('Données projet'!$A$114&gt;35,BY57+BX58-CG57,IF(A58&lt;'Données projet'!$A$114,$BV$205^A58,IF(A58='Données projet'!$A$114,'Données projet'!$B$114,BY57+BX58-CG57)))</f>
        <v>255.00000000000006</v>
      </c>
      <c r="BZ58" s="14">
        <f>BY58*VLOOKUP('Données projet'!$B$12,Paramètres!$A$1:$I$89,3,0)*VLOOKUP('Données projet'!$B$12,Paramètres!$A$1:$I$89,5,0)</f>
        <v>242.65800000000007</v>
      </c>
      <c r="CA58" s="14">
        <f t="shared" si="39"/>
        <v>59.011045025839607</v>
      </c>
      <c r="CB58" s="22">
        <f t="shared" si="10"/>
        <v>525.40692008667077</v>
      </c>
      <c r="CC58" s="62">
        <f t="shared" si="11"/>
        <v>791.43176869477179</v>
      </c>
      <c r="CD58" s="62">
        <f ca="1">AVERAGE(OFFSET($CC$3,0,0,'Données projet'!$E$12+1,1))-AVERAGE(OFFSET($H$3,0,0,'Données projet'!$E$12+1,1))</f>
        <v>451.95887041951761</v>
      </c>
      <c r="CE58" s="62">
        <f t="shared" si="40"/>
        <v>311.32964503257341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30</v>
      </c>
      <c r="CH58" s="17">
        <f>IF(ISNA(VLOOKUP(A58,'Données projet'!$A$113:$I$133,5,0)),0%,VLOOKUP(A58,'Données projet'!$A$113:$I$133,5,0)*VLOOKUP('Données projet'!$B$12,Paramètres!$A$1:$I$89,7,0))</f>
        <v>0.17200000000000001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14.280518739755665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14.280518739755665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62.552231438572996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62.552231438572996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62.552231438572996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62.552231438572996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62.552231438572996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62.552231438572996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3.9000000000000004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7.9672320000000063</v>
      </c>
      <c r="D59" s="12">
        <f t="shared" si="32"/>
        <v>2.8836818221672806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25.413830404922408</v>
      </c>
      <c r="H59" s="70">
        <f t="shared" si="1"/>
        <v>218.36534157360802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62.681433572397708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-2.2737367544323206E-13</v>
      </c>
      <c r="O59" s="14">
        <f>N59*VLOOKUP('Données projet'!$B$9,Paramètres!$A$1:$I$89,3,0)*VLOOKUP('Données projet'!$B$9,Paramètres!$A$1:$I$89,5,0)</f>
        <v>-1.3596945791505279E-13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251.99201350544561</v>
      </c>
      <c r="T59" s="62">
        <f t="shared" si="34"/>
        <v>366.66533117979162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 t="e">
        <f>EXP(-LN(2)/35)*Z58+(1-EXP(-LN(2)/35))/(LN(2)/35)*V59*W59*VLOOKUP('Données projet'!$B$9,Paramètres!$A$1:$I$89,3,0)*0.475*44/12</f>
        <v>#VALUE!</v>
      </c>
      <c r="AA59" s="23" t="e">
        <f>EXP(-LN(2)/25)*AA58+(1-EXP(-LN(2)/25))/(LN(2)/25)*Calculateur!V59*Calculateur!X59*VLOOKUP('Données projet'!$B$9,Paramètres!$A$1:$I$89,3,0)*0.475*44/12</f>
        <v>#VALUE!</v>
      </c>
      <c r="AB59" s="23" t="e">
        <f>EXP(-LN(2)/2)*AB58+(1-EXP(-LN(2)/2))/(LN(2)/2)*V59*Y59*VLOOKUP('Données projet'!$B$9,Paramètres!$A$1:$I$89,3,0)*0.475*44/12</f>
        <v>#VALUE!</v>
      </c>
      <c r="AC59" s="24" t="e">
        <f t="shared" si="3"/>
        <v>#VALUE!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62.681433572397708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149.52545095126411</v>
      </c>
      <c r="AO59" s="62">
        <f t="shared" si="36"/>
        <v>457.9161829331029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29.073378355606366</v>
      </c>
      <c r="AV59" s="23">
        <f>EXP(-LN(2)/25)*AV58+(1-EXP(-LN(2)/25))/(LN(2)/25)*Calculateur!AQ59*Calculateur!AS59*VLOOKUP('Données projet'!$B$10,Paramètres!$A$1:$I$89,3,0)*0.475*44/12</f>
        <v>9.5001444612181789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38.573522816824543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62.681433572397708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7.2</v>
      </c>
      <c r="BD59" s="13">
        <f>IF('Données projet'!$A$88&gt;35,BD58+BC59-BL58,IF(A59&lt;'Données projet'!$A$88,$BA$205^A59,IF(A59='Données projet'!$A$88,'Données projet'!$B$88,BD58+BC59-BL58)))</f>
        <v>170.2</v>
      </c>
      <c r="BE59" s="14">
        <f>BD59*VLOOKUP('Données projet'!$B$11,Paramètres!$A$1:$I$89,3,0)*VLOOKUP('Données projet'!$B$11,Paramètres!$A$1:$I$89,5,0)</f>
        <v>172.58279999999999</v>
      </c>
      <c r="BF59" s="14">
        <f t="shared" si="37"/>
        <v>43.667976243302661</v>
      </c>
      <c r="BG59" s="22">
        <f t="shared" si="7"/>
        <v>376.63676862375206</v>
      </c>
      <c r="BH59" s="62">
        <f t="shared" si="8"/>
        <v>643.1353583892103</v>
      </c>
      <c r="BI59" s="62">
        <f ca="1">AVERAGE(OFFSET($BH$3,0,0,'Données projet'!$E$11+1,1))-AVERAGE(OFFSET($H$3,0,0,'Données projet'!$E$11+1,1))</f>
        <v>408.82357969905803</v>
      </c>
      <c r="BJ59" s="62">
        <f t="shared" si="38"/>
        <v>263.2013060831145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12.038388499424739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12.038388499424739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62.681433572397708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8.1999999999999993</v>
      </c>
      <c r="BY59" s="13">
        <f>IF('Données projet'!$A$114&gt;35,BY58+BX59-CG58,IF(A59&lt;'Données projet'!$A$114,$BV$205^A59,IF(A59='Données projet'!$A$114,'Données projet'!$B$114,BY58+BX59-CG58)))</f>
        <v>233.20000000000005</v>
      </c>
      <c r="BZ59" s="14">
        <f>BY59*VLOOKUP('Données projet'!$B$12,Paramètres!$A$1:$I$89,3,0)*VLOOKUP('Données projet'!$B$12,Paramètres!$A$1:$I$89,5,0)</f>
        <v>221.91312000000008</v>
      </c>
      <c r="CA59" s="14">
        <f t="shared" si="39"/>
        <v>54.530483135126254</v>
      </c>
      <c r="CB59" s="22">
        <f t="shared" si="10"/>
        <v>481.47260879367838</v>
      </c>
      <c r="CC59" s="62">
        <f t="shared" si="11"/>
        <v>747.97119855913661</v>
      </c>
      <c r="CD59" s="62">
        <f ca="1">AVERAGE(OFFSET($CC$3,0,0,'Données projet'!$E$12+1,1))-AVERAGE(OFFSET($H$3,0,0,'Données projet'!$E$12+1,1))</f>
        <v>451.95887041951761</v>
      </c>
      <c r="CE59" s="62">
        <f t="shared" si="40"/>
        <v>311.32964503257341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14.000486477525422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14.000486477525422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62.681433572397708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62.681433572397708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62.681433572397708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62.681433572397708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62.681433572397708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62.681433572397708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3.9000000000000004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8.1095040000000065</v>
      </c>
      <c r="D60" s="12">
        <f t="shared" si="32"/>
        <v>2.9291352251840608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25.645687744788745</v>
      </c>
      <c r="H60" s="70">
        <f t="shared" si="1"/>
        <v>218.69229665052893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62.808394338053262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-2.2737367544323206E-13</v>
      </c>
      <c r="O60" s="14">
        <f>N60*VLOOKUP('Données projet'!$B$9,Paramètres!$A$1:$I$89,3,0)*VLOOKUP('Données projet'!$B$9,Paramètres!$A$1:$I$89,5,0)</f>
        <v>-1.3596945791505279E-13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251.99201350544561</v>
      </c>
      <c r="T60" s="62">
        <f t="shared" si="34"/>
        <v>366.66533117979162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 t="e">
        <f>EXP(-LN(2)/35)*Z59+(1-EXP(-LN(2)/35))/(LN(2)/35)*V60*W60*VLOOKUP('Données projet'!$B$9,Paramètres!$A$1:$I$89,3,0)*0.475*44/12</f>
        <v>#VALUE!</v>
      </c>
      <c r="AA60" s="23" t="e">
        <f>EXP(-LN(2)/25)*AA59+(1-EXP(-LN(2)/25))/(LN(2)/25)*Calculateur!V60*Calculateur!X60*VLOOKUP('Données projet'!$B$9,Paramètres!$A$1:$I$89,3,0)*0.475*44/12</f>
        <v>#VALUE!</v>
      </c>
      <c r="AB60" s="23" t="e">
        <f>EXP(-LN(2)/2)*AB59+(1-EXP(-LN(2)/2))/(LN(2)/2)*V60*Y60*VLOOKUP('Données projet'!$B$9,Paramètres!$A$1:$I$89,3,0)*0.475*44/12</f>
        <v>#VALUE!</v>
      </c>
      <c r="AC60" s="24" t="e">
        <f t="shared" si="3"/>
        <v>#VALUE!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62.808394338053262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149.52545095126411</v>
      </c>
      <c r="AO60" s="62">
        <f t="shared" si="36"/>
        <v>457.9161829331029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28.503267139062732</v>
      </c>
      <c r="AV60" s="23">
        <f>EXP(-LN(2)/25)*AV59+(1-EXP(-LN(2)/25))/(LN(2)/25)*Calculateur!AQ60*Calculateur!AS60*VLOOKUP('Données projet'!$B$10,Paramètres!$A$1:$I$89,3,0)*0.475*44/12</f>
        <v>9.2403625113352827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37.743629650398013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62.808394338053262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7.2</v>
      </c>
      <c r="BD60" s="13">
        <f>IF('Données projet'!$A$88&gt;35,BD59+BC60-BL59,IF(A60&lt;'Données projet'!$A$88,$BA$205^A60,IF(A60='Données projet'!$A$88,'Données projet'!$B$88,BD59+BC60-BL59)))</f>
        <v>177.39999999999998</v>
      </c>
      <c r="BE60" s="14">
        <f>BD60*VLOOKUP('Données projet'!$B$11,Paramètres!$A$1:$I$89,3,0)*VLOOKUP('Données projet'!$B$11,Paramètres!$A$1:$I$89,5,0)</f>
        <v>179.8836</v>
      </c>
      <c r="BF60" s="14">
        <f t="shared" si="37"/>
        <v>45.296288336218105</v>
      </c>
      <c r="BG60" s="22">
        <f t="shared" si="7"/>
        <v>392.18830551891324</v>
      </c>
      <c r="BH60" s="62">
        <f t="shared" si="8"/>
        <v>659.15241809177519</v>
      </c>
      <c r="BI60" s="62">
        <f ca="1">AVERAGE(OFFSET($BH$3,0,0,'Données projet'!$E$11+1,1))-AVERAGE(OFFSET($H$3,0,0,'Données projet'!$E$11+1,1))</f>
        <v>408.82357969905803</v>
      </c>
      <c r="BJ60" s="62">
        <f t="shared" si="38"/>
        <v>263.2013060831145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11.802323043642975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11.802323043642975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62.808394338053262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8.1999999999999993</v>
      </c>
      <c r="BY60" s="13">
        <f>IF('Données projet'!$A$114&gt;35,BY59+BX60-CG59,IF(A60&lt;'Données projet'!$A$114,$BV$205^A60,IF(A60='Données projet'!$A$114,'Données projet'!$B$114,BY59+BX60-CG59)))</f>
        <v>241.40000000000003</v>
      </c>
      <c r="BZ60" s="14">
        <f>BY60*VLOOKUP('Données projet'!$B$12,Paramètres!$A$1:$I$89,3,0)*VLOOKUP('Données projet'!$B$12,Paramètres!$A$1:$I$89,5,0)</f>
        <v>229.71624000000003</v>
      </c>
      <c r="CA60" s="14">
        <f t="shared" si="39"/>
        <v>56.22132157725693</v>
      </c>
      <c r="CB60" s="22">
        <f t="shared" si="10"/>
        <v>498.00791974705584</v>
      </c>
      <c r="CC60" s="62">
        <f t="shared" si="11"/>
        <v>764.97203231991784</v>
      </c>
      <c r="CD60" s="62">
        <f ca="1">AVERAGE(OFFSET($CC$3,0,0,'Données projet'!$E$12+1,1))-AVERAGE(OFFSET($H$3,0,0,'Données projet'!$E$12+1,1))</f>
        <v>451.95887041951761</v>
      </c>
      <c r="CE60" s="62">
        <f t="shared" si="40"/>
        <v>311.32964503257341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13.725945477154699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13.725945477154699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62.808394338053262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62.808394338053262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62.808394338053262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62.808394338053262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62.808394338053262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62.808394338053262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3.9000000000000004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8.2517760000000067</v>
      </c>
      <c r="D61" s="12">
        <f t="shared" si="32"/>
        <v>2.9744958972485995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25.877430553794774</v>
      </c>
      <c r="H61" s="70">
        <f t="shared" si="1"/>
        <v>219.01909022104132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62.93315261826644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-2.2737367544323206E-13</v>
      </c>
      <c r="O61" s="14">
        <f>N61*VLOOKUP('Données projet'!$B$9,Paramètres!$A$1:$I$89,3,0)*VLOOKUP('Données projet'!$B$9,Paramètres!$A$1:$I$89,5,0)</f>
        <v>-1.3596945791505279E-13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251.99201350544561</v>
      </c>
      <c r="T61" s="62">
        <f t="shared" si="34"/>
        <v>366.66533117979162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 t="e">
        <f>EXP(-LN(2)/35)*Z60+(1-EXP(-LN(2)/35))/(LN(2)/35)*V61*W61*VLOOKUP('Données projet'!$B$9,Paramètres!$A$1:$I$89,3,0)*0.475*44/12</f>
        <v>#VALUE!</v>
      </c>
      <c r="AA61" s="23" t="e">
        <f>EXP(-LN(2)/25)*AA60+(1-EXP(-LN(2)/25))/(LN(2)/25)*Calculateur!V61*Calculateur!X61*VLOOKUP('Données projet'!$B$9,Paramètres!$A$1:$I$89,3,0)*0.475*44/12</f>
        <v>#VALUE!</v>
      </c>
      <c r="AB61" s="23" t="e">
        <f>EXP(-LN(2)/2)*AB60+(1-EXP(-LN(2)/2))/(LN(2)/2)*V61*Y61*VLOOKUP('Données projet'!$B$9,Paramètres!$A$1:$I$89,3,0)*0.475*44/12</f>
        <v>#VALUE!</v>
      </c>
      <c r="AC61" s="24" t="e">
        <f t="shared" si="3"/>
        <v>#VALUE!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62.93315261826644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149.52545095126411</v>
      </c>
      <c r="AO61" s="62">
        <f t="shared" si="36"/>
        <v>457.9161829331029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27.944335455742014</v>
      </c>
      <c r="AV61" s="23">
        <f>EXP(-LN(2)/25)*AV60+(1-EXP(-LN(2)/25))/(LN(2)/25)*Calculateur!AQ61*Calculateur!AS61*VLOOKUP('Données projet'!$B$10,Paramètres!$A$1:$I$89,3,0)*0.475*44/12</f>
        <v>8.9876843125332737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36.932019768275289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62.93315261826644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7.2</v>
      </c>
      <c r="BD61" s="13">
        <f>IF('Données projet'!$A$88&gt;35,BD60+BC61-BL60,IF(A61&lt;'Données projet'!$A$88,$BA$205^A61,IF(A61='Données projet'!$A$88,'Données projet'!$B$88,BD60+BC61-BL60)))</f>
        <v>184.59999999999997</v>
      </c>
      <c r="BE61" s="14">
        <f>BD61*VLOOKUP('Données projet'!$B$11,Paramètres!$A$1:$I$89,3,0)*VLOOKUP('Données projet'!$B$11,Paramètres!$A$1:$I$89,5,0)</f>
        <v>187.18439999999998</v>
      </c>
      <c r="BF61" s="14">
        <f t="shared" si="37"/>
        <v>46.916923809907296</v>
      </c>
      <c r="BG61" s="22">
        <f t="shared" si="7"/>
        <v>407.72647230225516</v>
      </c>
      <c r="BH61" s="62">
        <f t="shared" si="8"/>
        <v>675.14803190256544</v>
      </c>
      <c r="BI61" s="62">
        <f ca="1">AVERAGE(OFFSET($BH$3,0,0,'Données projet'!$E$11+1,1))-AVERAGE(OFFSET($H$3,0,0,'Données projet'!$E$11+1,1))</f>
        <v>408.82357969905803</v>
      </c>
      <c r="BJ61" s="62">
        <f t="shared" si="38"/>
        <v>263.2013060831145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11.57088668746338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11.57088668746338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62.93315261826644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8.1999999999999993</v>
      </c>
      <c r="BY61" s="13">
        <f>IF('Données projet'!$A$114&gt;35,BY60+BX61-CG60,IF(A61&lt;'Données projet'!$A$114,$BV$205^A61,IF(A61='Données projet'!$A$114,'Données projet'!$B$114,BY60+BX61-CG60)))</f>
        <v>249.60000000000002</v>
      </c>
      <c r="BZ61" s="14">
        <f>BY61*VLOOKUP('Données projet'!$B$12,Paramètres!$A$1:$I$89,3,0)*VLOOKUP('Données projet'!$B$12,Paramètres!$A$1:$I$89,5,0)</f>
        <v>237.51936000000001</v>
      </c>
      <c r="CA61" s="14">
        <f t="shared" si="39"/>
        <v>57.905486397207483</v>
      </c>
      <c r="CB61" s="22">
        <f t="shared" si="10"/>
        <v>514.53160747513641</v>
      </c>
      <c r="CC61" s="62">
        <f t="shared" si="11"/>
        <v>781.95316707544669</v>
      </c>
      <c r="CD61" s="62">
        <f ca="1">AVERAGE(OFFSET($CC$3,0,0,'Données projet'!$E$12+1,1))-AVERAGE(OFFSET($H$3,0,0,'Données projet'!$E$12+1,1))</f>
        <v>451.95887041951761</v>
      </c>
      <c r="CE61" s="62">
        <f t="shared" si="40"/>
        <v>311.32964503257341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13.456788058347771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13.456788058347771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62.93315261826644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62.93315261826644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62.93315261826644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62.93315261826644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62.93315261826644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62.93315261826644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3.9000000000000004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8.3940480000000068</v>
      </c>
      <c r="D62" s="12">
        <f t="shared" si="32"/>
        <v>3.019765621660063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26.109061034471388</v>
      </c>
      <c r="H62" s="70">
        <f t="shared" si="1"/>
        <v>219.34572539105795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63.055746621235642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-2.2737367544323206E-13</v>
      </c>
      <c r="O62" s="14">
        <f>N62*VLOOKUP('Données projet'!$B$9,Paramètres!$A$1:$I$89,3,0)*VLOOKUP('Données projet'!$B$9,Paramètres!$A$1:$I$89,5,0)</f>
        <v>-1.3596945791505279E-13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251.99201350544561</v>
      </c>
      <c r="T62" s="62">
        <f t="shared" si="34"/>
        <v>366.66533117979162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 t="e">
        <f>EXP(-LN(2)/35)*Z61+(1-EXP(-LN(2)/35))/(LN(2)/35)*V62*W62*VLOOKUP('Données projet'!$B$9,Paramètres!$A$1:$I$89,3,0)*0.475*44/12</f>
        <v>#VALUE!</v>
      </c>
      <c r="AA62" s="23" t="e">
        <f>EXP(-LN(2)/25)*AA61+(1-EXP(-LN(2)/25))/(LN(2)/25)*Calculateur!V62*Calculateur!X62*VLOOKUP('Données projet'!$B$9,Paramètres!$A$1:$I$89,3,0)*0.475*44/12</f>
        <v>#VALUE!</v>
      </c>
      <c r="AB62" s="23" t="e">
        <f>EXP(-LN(2)/2)*AB61+(1-EXP(-LN(2)/2))/(LN(2)/2)*V62*Y62*VLOOKUP('Données projet'!$B$9,Paramètres!$A$1:$I$89,3,0)*0.475*44/12</f>
        <v>#VALUE!</v>
      </c>
      <c r="AC62" s="24" t="e">
        <f t="shared" si="3"/>
        <v>#VALUE!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63.055746621235642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149.52545095126411</v>
      </c>
      <c r="AO62" s="62">
        <f t="shared" si="36"/>
        <v>457.9161829331029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27.39636408181655</v>
      </c>
      <c r="AV62" s="23">
        <f>EXP(-LN(2)/25)*AV61+(1-EXP(-LN(2)/25))/(LN(2)/25)*Calculateur!AQ62*Calculateur!AS62*VLOOKUP('Données projet'!$B$10,Paramètres!$A$1:$I$89,3,0)*0.475*44/12</f>
        <v>8.7419156123652755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36.138279694181826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63.055746621235642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7.2</v>
      </c>
      <c r="BD62" s="13">
        <f>IF('Données projet'!$A$88&gt;35,BD61+BC62-BL61,IF(A62&lt;'Données projet'!$A$88,$BA$205^A62,IF(A62='Données projet'!$A$88,'Données projet'!$B$88,BD61+BC62-BL61)))</f>
        <v>191.79999999999995</v>
      </c>
      <c r="BE62" s="14">
        <f>BD62*VLOOKUP('Données projet'!$B$11,Paramètres!$A$1:$I$89,3,0)*VLOOKUP('Données projet'!$B$11,Paramètres!$A$1:$I$89,5,0)</f>
        <v>194.48519999999996</v>
      </c>
      <c r="BF62" s="14">
        <f t="shared" si="37"/>
        <v>48.530216343846028</v>
      </c>
      <c r="BG62" s="22">
        <f t="shared" si="7"/>
        <v>423.2518501321984</v>
      </c>
      <c r="BH62" s="62">
        <f t="shared" si="8"/>
        <v>691.12292107672909</v>
      </c>
      <c r="BI62" s="62">
        <f ca="1">AVERAGE(OFFSET($BH$3,0,0,'Données projet'!$E$11+1,1))-AVERAGE(OFFSET($H$3,0,0,'Données projet'!$E$11+1,1))</f>
        <v>408.82357969905803</v>
      </c>
      <c r="BJ62" s="62">
        <f t="shared" si="38"/>
        <v>263.2013060831145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11.343988657066228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11.343988657066228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63.055746621235642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8.1999999999999993</v>
      </c>
      <c r="BY62" s="13">
        <f>IF('Données projet'!$A$114&gt;35,BY61+BX62-CG61,IF(A62&lt;'Données projet'!$A$114,$BV$205^A62,IF(A62='Données projet'!$A$114,'Données projet'!$B$114,BY61+BX62-CG61)))</f>
        <v>257.8</v>
      </c>
      <c r="BZ62" s="14">
        <f>BY62*VLOOKUP('Données projet'!$B$12,Paramètres!$A$1:$I$89,3,0)*VLOOKUP('Données projet'!$B$12,Paramètres!$A$1:$I$89,5,0)</f>
        <v>245.32248000000001</v>
      </c>
      <c r="CA62" s="14">
        <f t="shared" si="39"/>
        <v>59.583221982635983</v>
      </c>
      <c r="CB62" s="22">
        <f t="shared" si="10"/>
        <v>531.04409761975774</v>
      </c>
      <c r="CC62" s="62">
        <f t="shared" si="11"/>
        <v>798.91516856428848</v>
      </c>
      <c r="CD62" s="62">
        <f ca="1">AVERAGE(OFFSET($CC$3,0,0,'Données projet'!$E$12+1,1))-AVERAGE(OFFSET($H$3,0,0,'Données projet'!$E$12+1,1))</f>
        <v>451.95887041951761</v>
      </c>
      <c r="CE62" s="62">
        <f t="shared" si="40"/>
        <v>311.32964503257341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13.192908652353831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13.192908652353831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63.055746621235642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63.055746621235642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63.055746621235642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63.055746621235642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63.055746621235642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63.055746621235642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3.9000000000000004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8.536320000000007</v>
      </c>
      <c r="D63" s="12">
        <f t="shared" si="32"/>
        <v>3.0649461178024726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26.34058131040868</v>
      </c>
      <c r="H63" s="70">
        <f t="shared" si="1"/>
        <v>219.67220515517266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63.176213892332477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-2.2737367544323206E-13</v>
      </c>
      <c r="O63" s="14">
        <f>N63*VLOOKUP('Données projet'!$B$9,Paramètres!$A$1:$I$89,3,0)*VLOOKUP('Données projet'!$B$9,Paramètres!$A$1:$I$89,5,0)</f>
        <v>-1.3596945791505279E-13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251.99201350544561</v>
      </c>
      <c r="T63" s="62">
        <f t="shared" si="34"/>
        <v>366.66533117979162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 t="e">
        <f>EXP(-LN(2)/35)*Z62+(1-EXP(-LN(2)/35))/(LN(2)/35)*V63*W63*VLOOKUP('Données projet'!$B$9,Paramètres!$A$1:$I$89,3,0)*0.475*44/12</f>
        <v>#VALUE!</v>
      </c>
      <c r="AA63" s="23" t="e">
        <f>EXP(-LN(2)/25)*AA62+(1-EXP(-LN(2)/25))/(LN(2)/25)*Calculateur!V63*Calculateur!X63*VLOOKUP('Données projet'!$B$9,Paramètres!$A$1:$I$89,3,0)*0.475*44/12</f>
        <v>#VALUE!</v>
      </c>
      <c r="AB63" s="23" t="e">
        <f>EXP(-LN(2)/2)*AB62+(1-EXP(-LN(2)/2))/(LN(2)/2)*V63*Y63*VLOOKUP('Données projet'!$B$9,Paramètres!$A$1:$I$89,3,0)*0.475*44/12</f>
        <v>#VALUE!</v>
      </c>
      <c r="AC63" s="24" t="e">
        <f t="shared" si="3"/>
        <v>#VALUE!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63.176213892332477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149.52545095126411</v>
      </c>
      <c r="AO63" s="62">
        <f t="shared" si="36"/>
        <v>457.9161829331029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26.859138092304228</v>
      </c>
      <c r="AV63" s="23">
        <f>EXP(-LN(2)/25)*AV62+(1-EXP(-LN(2)/25))/(LN(2)/25)*Calculateur!AQ63*Calculateur!AS63*VLOOKUP('Données projet'!$B$10,Paramètres!$A$1:$I$89,3,0)*0.475*44/12</f>
        <v>8.5028674702277858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35.362005562532012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63.176213892332477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199</v>
      </c>
      <c r="BB63" s="13">
        <f>VLOOKUP(A63,'Données projet'!$A$87:$I$107,9,0)</f>
        <v>7.2</v>
      </c>
      <c r="BC63" s="13">
        <f t="array" ref="BC63">INDEX(BB:BB,MIN(IF(ISNUMBER(BB63:BB259),ROW(BB63:BB259),"")))</f>
        <v>7.2</v>
      </c>
      <c r="BD63" s="13">
        <f>IF('Données projet'!$A$88&gt;35,BD62+BC63-BL62,IF(A63&lt;'Données projet'!$A$88,$BA$205^A63,IF(A63='Données projet'!$A$88,'Données projet'!$B$88,BD62+BC63-BL62)))</f>
        <v>198.99999999999994</v>
      </c>
      <c r="BE63" s="14">
        <f>BD63*VLOOKUP('Données projet'!$B$11,Paramètres!$A$1:$I$89,3,0)*VLOOKUP('Données projet'!$B$11,Paramètres!$A$1:$I$89,5,0)</f>
        <v>201.78599999999994</v>
      </c>
      <c r="BF63" s="14">
        <f t="shared" si="37"/>
        <v>50.136473146268756</v>
      </c>
      <c r="BG63" s="22">
        <f t="shared" si="7"/>
        <v>438.76497406308459</v>
      </c>
      <c r="BH63" s="62">
        <f t="shared" si="8"/>
        <v>707.07775833497033</v>
      </c>
      <c r="BI63" s="62">
        <f ca="1">AVERAGE(OFFSET($BH$3,0,0,'Données projet'!$E$11+1,1))-AVERAGE(OFFSET($H$3,0,0,'Données projet'!$E$11+1,1))</f>
        <v>408.82357969905803</v>
      </c>
      <c r="BJ63" s="62">
        <f t="shared" si="38"/>
        <v>263.2013060831145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22</v>
      </c>
      <c r="BM63" s="17">
        <f>IF(ISNA(VLOOKUP(A63,'Données projet'!$A$87:$I$107,5,0)),0%,VLOOKUP(A63,'Données projet'!$A$87:$I$107,5,0)*VLOOKUP('Données projet'!$B$11,Paramètres!$A$1:$I$89,7,0))</f>
        <v>0.17200000000000001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15.363203273629853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15.363203273629853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63.176213892332477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266</v>
      </c>
      <c r="BW63" s="13">
        <f>VLOOKUP(A63,'Données projet'!$A$113:$I$133,9,0)</f>
        <v>8.1999999999999993</v>
      </c>
      <c r="BX63" s="13">
        <f t="array" ref="BX63">INDEX(BW:BW,MIN(IF(ISNUMBER(BW63:BW259),ROW(BW63:BW259),"")))</f>
        <v>8.1999999999999993</v>
      </c>
      <c r="BY63" s="13">
        <f>IF('Données projet'!$A$114&gt;35,BY62+BX63-CG62,IF(A63&lt;'Données projet'!$A$114,$BV$205^A63,IF(A63='Données projet'!$A$114,'Données projet'!$B$114,BY62+BX63-CG62)))</f>
        <v>266</v>
      </c>
      <c r="BZ63" s="14">
        <f>BY63*VLOOKUP('Données projet'!$B$12,Paramètres!$A$1:$I$89,3,0)*VLOOKUP('Données projet'!$B$12,Paramètres!$A$1:$I$89,5,0)</f>
        <v>253.12559999999999</v>
      </c>
      <c r="CA63" s="14">
        <f t="shared" si="39"/>
        <v>61.254756291614335</v>
      </c>
      <c r="CB63" s="22">
        <f t="shared" si="10"/>
        <v>547.54578720789482</v>
      </c>
      <c r="CC63" s="62">
        <f t="shared" si="11"/>
        <v>815.85857147978049</v>
      </c>
      <c r="CD63" s="62">
        <f ca="1">AVERAGE(OFFSET($CC$3,0,0,'Données projet'!$E$12+1,1))-AVERAGE(OFFSET($H$3,0,0,'Données projet'!$E$12+1,1))</f>
        <v>451.95887041951761</v>
      </c>
      <c r="CE63" s="62">
        <f t="shared" si="40"/>
        <v>311.32964503257341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31</v>
      </c>
      <c r="CH63" s="17">
        <f>IF(ISNA(VLOOKUP(A63,'Données projet'!$A$113:$I$133,5,0)),0%,VLOOKUP(A63,'Données projet'!$A$113:$I$133,5,0)*VLOOKUP('Données projet'!$B$12,Paramètres!$A$1:$I$89,7,0))</f>
        <v>0.17200000000000001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18.543284409948964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18.543284409948964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63.176213892332477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63.176213892332477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63.176213892332477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63.176213892332477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63.176213892332477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63.176213892332477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3.9000000000000004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8.6785920000000072</v>
      </c>
      <c r="D64" s="12">
        <f t="shared" si="32"/>
        <v>3.1100390444618484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26.57199343035289</v>
      </c>
      <c r="H64" s="70">
        <f t="shared" si="1"/>
        <v>219.99853240243772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63.294591325600237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-1.3596945791505279E-13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251.99201350544561</v>
      </c>
      <c r="T64" s="62">
        <f t="shared" si="34"/>
        <v>366.66533117979162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 t="e">
        <f>EXP(-LN(2)/35)*Z63+(1-EXP(-LN(2)/35))/(LN(2)/35)*V64*W64*VLOOKUP('Données projet'!$B$9,Paramètres!$A$1:$I$89,3,0)*0.475*44/12</f>
        <v>#VALUE!</v>
      </c>
      <c r="AA64" s="23" t="e">
        <f>EXP(-LN(2)/25)*AA63+(1-EXP(-LN(2)/25))/(LN(2)/25)*Calculateur!V64*Calculateur!X64*VLOOKUP('Données projet'!$B$9,Paramètres!$A$1:$I$89,3,0)*0.475*44/12</f>
        <v>#VALUE!</v>
      </c>
      <c r="AB64" s="23" t="e">
        <f>EXP(-LN(2)/2)*AB63+(1-EXP(-LN(2)/2))/(LN(2)/2)*V64*Y64*VLOOKUP('Données projet'!$B$9,Paramètres!$A$1:$I$89,3,0)*0.475*44/12</f>
        <v>#VALUE!</v>
      </c>
      <c r="AC64" s="24" t="e">
        <f t="shared" si="3"/>
        <v>#VALUE!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63.294591325600237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149.52545095126411</v>
      </c>
      <c r="AO64" s="62">
        <f t="shared" si="36"/>
        <v>457.9161829331029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26.332446776770745</v>
      </c>
      <c r="AV64" s="23">
        <f>EXP(-LN(2)/25)*AV63+(1-EXP(-LN(2)/25))/(LN(2)/25)*Calculateur!AQ64*Calculateur!AS64*VLOOKUP('Données projet'!$B$10,Paramètres!$A$1:$I$89,3,0)*0.475*44/12</f>
        <v>8.2703561121080398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34.602802888878784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63.294591325600237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IF('Données projet'!$A$88&gt;35,BD63+BC64-BL63,IF(A64&lt;'Données projet'!$A$88,$BA$205^A64,IF(A64='Données projet'!$A$88,'Données projet'!$B$88,BD63+BC64-BL63)))</f>
        <v>183.99999999999994</v>
      </c>
      <c r="BE64" s="14">
        <f>BD64*VLOOKUP('Données projet'!$B$11,Paramètres!$A$1:$I$89,3,0)*VLOOKUP('Données projet'!$B$11,Paramètres!$A$1:$I$89,5,0)</f>
        <v>186.57599999999996</v>
      </c>
      <c r="BF64" s="14">
        <f t="shared" si="37"/>
        <v>46.782155731694274</v>
      </c>
      <c r="BG64" s="22">
        <f t="shared" si="7"/>
        <v>406.43212123270081</v>
      </c>
      <c r="BH64" s="62">
        <f t="shared" si="8"/>
        <v>675.178956093235</v>
      </c>
      <c r="BI64" s="62">
        <f ca="1">AVERAGE(OFFSET($BH$3,0,0,'Données projet'!$E$11+1,1))-AVERAGE(OFFSET($H$3,0,0,'Données projet'!$E$11+1,1))</f>
        <v>408.82357969905803</v>
      </c>
      <c r="BJ64" s="62">
        <f t="shared" si="38"/>
        <v>263.2013060831145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15.061940228062696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15.061940228062696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63.294591325600237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</v>
      </c>
      <c r="BY64" s="13">
        <f>IF('Données projet'!$A$114&gt;35,BY63+BX64-CG63,IF(A64&lt;'Données projet'!$A$114,$BV$205^A64,IF(A64='Données projet'!$A$114,'Données projet'!$B$114,BY63+BX64-CG63)))</f>
        <v>243</v>
      </c>
      <c r="BZ64" s="14">
        <f>BY64*VLOOKUP('Données projet'!$B$12,Paramètres!$A$1:$I$89,3,0)*VLOOKUP('Données projet'!$B$12,Paramètres!$A$1:$I$89,5,0)</f>
        <v>231.2388</v>
      </c>
      <c r="CA64" s="14">
        <f t="shared" si="39"/>
        <v>56.55045525673966</v>
      </c>
      <c r="CB64" s="22">
        <f t="shared" si="10"/>
        <v>501.23295290548816</v>
      </c>
      <c r="CC64" s="62">
        <f t="shared" si="11"/>
        <v>769.97978776602235</v>
      </c>
      <c r="CD64" s="62">
        <f ca="1">AVERAGE(OFFSET($CC$3,0,0,'Données projet'!$E$12+1,1))-AVERAGE(OFFSET($H$3,0,0,'Données projet'!$E$12+1,1))</f>
        <v>451.95887041951761</v>
      </c>
      <c r="CE64" s="62">
        <f t="shared" si="40"/>
        <v>311.32964503257341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18.179661912956558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18.179661912956558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63.294591325600237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63.294591325600237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63.294591325600237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63.294591325600237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63.294591325600237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63.294591325600237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3.9000000000000004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8.8208640000000074</v>
      </c>
      <c r="D65" s="12">
        <f t="shared" si="32"/>
        <v>3.155046002919669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26.803299372027112</v>
      </c>
      <c r="H65" s="70">
        <f t="shared" si="1"/>
        <v>220.32470992175178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63.410915175053098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-1.3596945791505279E-13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251.99201350544561</v>
      </c>
      <c r="T65" s="62">
        <f t="shared" si="34"/>
        <v>366.66533117979162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 t="e">
        <f>EXP(-LN(2)/35)*Z64+(1-EXP(-LN(2)/35))/(LN(2)/35)*V65*W65*VLOOKUP('Données projet'!$B$9,Paramètres!$A$1:$I$89,3,0)*0.475*44/12</f>
        <v>#VALUE!</v>
      </c>
      <c r="AA65" s="23" t="e">
        <f>EXP(-LN(2)/25)*AA64+(1-EXP(-LN(2)/25))/(LN(2)/25)*Calculateur!V65*Calculateur!X65*VLOOKUP('Données projet'!$B$9,Paramètres!$A$1:$I$89,3,0)*0.475*44/12</f>
        <v>#VALUE!</v>
      </c>
      <c r="AB65" s="23" t="e">
        <f>EXP(-LN(2)/2)*AB64+(1-EXP(-LN(2)/2))/(LN(2)/2)*V65*Y65*VLOOKUP('Données projet'!$B$9,Paramètres!$A$1:$I$89,3,0)*0.475*44/12</f>
        <v>#VALUE!</v>
      </c>
      <c r="AC65" s="24" t="e">
        <f t="shared" si="3"/>
        <v>#VALUE!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63.410915175053098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149.52545095126411</v>
      </c>
      <c r="AO65" s="62">
        <f t="shared" si="36"/>
        <v>457.9161829331029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25.816083556684891</v>
      </c>
      <c r="AV65" s="23">
        <f>EXP(-LN(2)/25)*AV64+(1-EXP(-LN(2)/25))/(LN(2)/25)*Calculateur!AQ65*Calculateur!AS65*VLOOKUP('Données projet'!$B$10,Paramètres!$A$1:$I$89,3,0)*0.475*44/12</f>
        <v>8.0442027893033199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33.860286345988214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63.410915175053098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IF('Données projet'!$A$88&gt;35,BD64+BC65-BL64,IF(A65&lt;'Données projet'!$A$88,$BA$205^A65,IF(A65='Données projet'!$A$88,'Données projet'!$B$88,BD64+BC65-BL64)))</f>
        <v>190.99999999999994</v>
      </c>
      <c r="BE65" s="14">
        <f>BD65*VLOOKUP('Données projet'!$B$11,Paramètres!$A$1:$I$89,3,0)*VLOOKUP('Données projet'!$B$11,Paramètres!$A$1:$I$89,5,0)</f>
        <v>193.67399999999995</v>
      </c>
      <c r="BF65" s="14">
        <f t="shared" si="37"/>
        <v>48.351314467254007</v>
      </c>
      <c r="BG65" s="22">
        <f t="shared" si="7"/>
        <v>421.527422697134</v>
      </c>
      <c r="BH65" s="62">
        <f t="shared" si="8"/>
        <v>690.70077833899541</v>
      </c>
      <c r="BI65" s="62">
        <f ca="1">AVERAGE(OFFSET($BH$3,0,0,'Données projet'!$E$11+1,1))-AVERAGE(OFFSET($H$3,0,0,'Données projet'!$E$11+1,1))</f>
        <v>408.82357969905803</v>
      </c>
      <c r="BJ65" s="62">
        <f t="shared" si="38"/>
        <v>263.2013060831145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14.766584767066796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14.766584767066796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63.410915175053098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</v>
      </c>
      <c r="BY65" s="13">
        <f>IF('Données projet'!$A$114&gt;35,BY64+BX65-CG64,IF(A65&lt;'Données projet'!$A$114,$BV$205^A65,IF(A65='Données projet'!$A$114,'Données projet'!$B$114,BY64+BX65-CG64)))</f>
        <v>251</v>
      </c>
      <c r="BZ65" s="14">
        <f>BY65*VLOOKUP('Données projet'!$B$12,Paramètres!$A$1:$I$89,3,0)*VLOOKUP('Données projet'!$B$12,Paramètres!$A$1:$I$89,5,0)</f>
        <v>238.85159999999999</v>
      </c>
      <c r="CA65" s="14">
        <f t="shared" si="39"/>
        <v>58.192377695429009</v>
      </c>
      <c r="CB65" s="22">
        <f t="shared" si="10"/>
        <v>517.3515944862055</v>
      </c>
      <c r="CC65" s="62">
        <f t="shared" si="11"/>
        <v>786.52495012806685</v>
      </c>
      <c r="CD65" s="62">
        <f ca="1">AVERAGE(OFFSET($CC$3,0,0,'Données projet'!$E$12+1,1))-AVERAGE(OFFSET($H$3,0,0,'Données projet'!$E$12+1,1))</f>
        <v>451.95887041951761</v>
      </c>
      <c r="CE65" s="62">
        <f t="shared" si="40"/>
        <v>311.32964503257341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17.823169831342348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17.823169831342348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63.410915175053098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63.410915175053098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63.410915175053098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63.410915175053098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63.410915175053098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63.410915175053098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3.9000000000000004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8.9631360000000075</v>
      </c>
      <c r="D66" s="12">
        <f t="shared" si="32"/>
        <v>3.1999685398410986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27.034501045698491</v>
      </c>
      <c r="H66" s="70">
        <f t="shared" si="1"/>
        <v>220.65074040688992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63.525221065779121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-1.3596945791505279E-13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251.99201350544561</v>
      </c>
      <c r="T66" s="62">
        <f t="shared" si="34"/>
        <v>366.66533117979162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 t="e">
        <f>EXP(-LN(2)/35)*Z65+(1-EXP(-LN(2)/35))/(LN(2)/35)*V66*W66*VLOOKUP('Données projet'!$B$9,Paramètres!$A$1:$I$89,3,0)*0.475*44/12</f>
        <v>#VALUE!</v>
      </c>
      <c r="AA66" s="23" t="e">
        <f>EXP(-LN(2)/25)*AA65+(1-EXP(-LN(2)/25))/(LN(2)/25)*Calculateur!V66*Calculateur!X66*VLOOKUP('Données projet'!$B$9,Paramètres!$A$1:$I$89,3,0)*0.475*44/12</f>
        <v>#VALUE!</v>
      </c>
      <c r="AB66" s="23" t="e">
        <f>EXP(-LN(2)/2)*AB65+(1-EXP(-LN(2)/2))/(LN(2)/2)*V66*Y66*VLOOKUP('Données projet'!$B$9,Paramètres!$A$1:$I$89,3,0)*0.475*44/12</f>
        <v>#VALUE!</v>
      </c>
      <c r="AC66" s="24" t="e">
        <f t="shared" si="3"/>
        <v>#VALUE!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63.525221065779121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149.52545095126411</v>
      </c>
      <c r="AO66" s="62">
        <f t="shared" si="36"/>
        <v>457.9161829331029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25.309845904394457</v>
      </c>
      <c r="AV66" s="23">
        <f>EXP(-LN(2)/25)*AV65+(1-EXP(-LN(2)/25))/(LN(2)/25)*Calculateur!AQ66*Calculateur!AS66*VLOOKUP('Données projet'!$B$10,Paramètres!$A$1:$I$89,3,0)*0.475*44/12</f>
        <v>7.8242336410035813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33.134079545398038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63.525221065779121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IF('Données projet'!$A$88&gt;35,BD65+BC66-BL65,IF(A66&lt;'Données projet'!$A$88,$BA$205^A66,IF(A66='Données projet'!$A$88,'Données projet'!$B$88,BD65+BC66-BL65)))</f>
        <v>197.99999999999994</v>
      </c>
      <c r="BE66" s="14">
        <f>BD66*VLOOKUP('Données projet'!$B$11,Paramètres!$A$1:$I$89,3,0)*VLOOKUP('Données projet'!$B$11,Paramètres!$A$1:$I$89,5,0)</f>
        <v>200.77199999999993</v>
      </c>
      <c r="BF66" s="14">
        <f t="shared" si="37"/>
        <v>49.913791898945412</v>
      </c>
      <c r="BG66" s="22">
        <f t="shared" si="7"/>
        <v>436.61108755732977</v>
      </c>
      <c r="BH66" s="62">
        <f t="shared" si="8"/>
        <v>706.20356479851989</v>
      </c>
      <c r="BI66" s="62">
        <f ca="1">AVERAGE(OFFSET($BH$3,0,0,'Données projet'!$E$11+1,1))-AVERAGE(OFFSET($H$3,0,0,'Données projet'!$E$11+1,1))</f>
        <v>408.82357969905803</v>
      </c>
      <c r="BJ66" s="62">
        <f t="shared" si="38"/>
        <v>263.2013060831145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14.477021046511984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14.477021046511984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63.525221065779121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</v>
      </c>
      <c r="BY66" s="13">
        <f>IF('Données projet'!$A$114&gt;35,BY65+BX66-CG65,IF(A66&lt;'Données projet'!$A$114,$BV$205^A66,IF(A66='Données projet'!$A$114,'Données projet'!$B$114,BY65+BX66-CG65)))</f>
        <v>259</v>
      </c>
      <c r="BZ66" s="14">
        <f>BY66*VLOOKUP('Données projet'!$B$12,Paramètres!$A$1:$I$89,3,0)*VLOOKUP('Données projet'!$B$12,Paramètres!$A$1:$I$89,5,0)</f>
        <v>246.46440000000001</v>
      </c>
      <c r="CA66" s="14">
        <f t="shared" si="39"/>
        <v>59.828218865086768</v>
      </c>
      <c r="CB66" s="22">
        <f t="shared" si="10"/>
        <v>533.45964452335932</v>
      </c>
      <c r="CC66" s="62">
        <f t="shared" si="11"/>
        <v>803.05212176454938</v>
      </c>
      <c r="CD66" s="62">
        <f ca="1">AVERAGE(OFFSET($CC$3,0,0,'Données projet'!$E$12+1,1))-AVERAGE(OFFSET($H$3,0,0,'Données projet'!$E$12+1,1))</f>
        <v>451.95887041951761</v>
      </c>
      <c r="CE66" s="62">
        <f t="shared" si="40"/>
        <v>311.32964503257341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17.473668342009894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17.473668342009894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63.525221065779121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63.525221065779121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63.525221065779121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63.525221065779121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63.525221065779121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63.525221065779121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3.9000000000000004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9.1054080000000077</v>
      </c>
      <c r="D67" s="12">
        <f t="shared" si="32"/>
        <v>3.2448081499746291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27.265600297512535</v>
      </c>
      <c r="H67" s="70">
        <f t="shared" si="1"/>
        <v>220.97662646120583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63.637544004850731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-1.3596945791505279E-13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251.99201350544561</v>
      </c>
      <c r="T67" s="62">
        <f t="shared" si="34"/>
        <v>366.66533117979162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 t="e">
        <f>EXP(-LN(2)/35)*Z66+(1-EXP(-LN(2)/35))/(LN(2)/35)*V67*W67*VLOOKUP('Données projet'!$B$9,Paramètres!$A$1:$I$89,3,0)*0.475*44/12</f>
        <v>#VALUE!</v>
      </c>
      <c r="AA67" s="23" t="e">
        <f>EXP(-LN(2)/25)*AA66+(1-EXP(-LN(2)/25))/(LN(2)/25)*Calculateur!V67*Calculateur!X67*VLOOKUP('Données projet'!$B$9,Paramètres!$A$1:$I$89,3,0)*0.475*44/12</f>
        <v>#VALUE!</v>
      </c>
      <c r="AB67" s="23" t="e">
        <f>EXP(-LN(2)/2)*AB66+(1-EXP(-LN(2)/2))/(LN(2)/2)*V67*Y67*VLOOKUP('Données projet'!$B$9,Paramètres!$A$1:$I$89,3,0)*0.475*44/12</f>
        <v>#VALUE!</v>
      </c>
      <c r="AC67" s="24" t="e">
        <f t="shared" si="3"/>
        <v>#VALUE!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63.637544004850731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149.52545095126411</v>
      </c>
      <c r="AO67" s="62">
        <f t="shared" si="36"/>
        <v>457.9161829331029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24.813535263690959</v>
      </c>
      <c r="AV67" s="23">
        <f>EXP(-LN(2)/25)*AV66+(1-EXP(-LN(2)/25))/(LN(2)/25)*Calculateur!AQ67*Calculateur!AS67*VLOOKUP('Données projet'!$B$10,Paramètres!$A$1:$I$89,3,0)*0.475*44/12</f>
        <v>7.6102795606317741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32.423814824322733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63.637544004850731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IF('Données projet'!$A$88&gt;35,BD66+BC67-BL66,IF(A67&lt;'Données projet'!$A$88,$BA$205^A67,IF(A67='Données projet'!$A$88,'Données projet'!$B$88,BD66+BC67-BL66)))</f>
        <v>204.99999999999994</v>
      </c>
      <c r="BE67" s="14">
        <f>BD67*VLOOKUP('Données projet'!$B$11,Paramètres!$A$1:$I$89,3,0)*VLOOKUP('Données projet'!$B$11,Paramètres!$A$1:$I$89,5,0)</f>
        <v>207.86999999999998</v>
      </c>
      <c r="BF67" s="14">
        <f t="shared" si="37"/>
        <v>51.469851298719313</v>
      </c>
      <c r="BG67" s="22">
        <f t="shared" si="7"/>
        <v>451.68357434526939</v>
      </c>
      <c r="BH67" s="62">
        <f t="shared" si="8"/>
        <v>721.6879023630554</v>
      </c>
      <c r="BI67" s="62">
        <f ca="1">AVERAGE(OFFSET($BH$3,0,0,'Données projet'!$E$11+1,1))-AVERAGE(OFFSET($H$3,0,0,'Données projet'!$E$11+1,1))</f>
        <v>408.82357969905803</v>
      </c>
      <c r="BJ67" s="62">
        <f t="shared" si="38"/>
        <v>263.2013060831145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14.193135493900822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14.193135493900822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63.637544004850731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</v>
      </c>
      <c r="BY67" s="13">
        <f>IF('Données projet'!$A$114&gt;35,BY66+BX67-CG66,IF(A67&lt;'Données projet'!$A$114,$BV$205^A67,IF(A67='Données projet'!$A$114,'Données projet'!$B$114,BY66+BX67-CG66)))</f>
        <v>267</v>
      </c>
      <c r="BZ67" s="14">
        <f>BY67*VLOOKUP('Données projet'!$B$12,Paramètres!$A$1:$I$89,3,0)*VLOOKUP('Données projet'!$B$12,Paramètres!$A$1:$I$89,5,0)</f>
        <v>254.0772</v>
      </c>
      <c r="CA67" s="14">
        <f t="shared" si="39"/>
        <v>61.458188159552755</v>
      </c>
      <c r="CB67" s="22">
        <f t="shared" si="10"/>
        <v>549.55746771122097</v>
      </c>
      <c r="CC67" s="62">
        <f t="shared" si="11"/>
        <v>819.56179572900692</v>
      </c>
      <c r="CD67" s="62">
        <f ca="1">AVERAGE(OFFSET($CC$3,0,0,'Données projet'!$E$12+1,1))-AVERAGE(OFFSET($H$3,0,0,'Données projet'!$E$12+1,1))</f>
        <v>451.95887041951761</v>
      </c>
      <c r="CE67" s="62">
        <f t="shared" si="40"/>
        <v>311.32964503257341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17.131020363708391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17.131020363708391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63.637544004850731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63.637544004850731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63.637544004850731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63.637544004850731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63.637544004850731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63.637544004850731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3.9000000000000004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9.2476800000000079</v>
      </c>
      <c r="D68" s="12">
        <f t="shared" si="32"/>
        <v>3.2895662786782096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27.496598912613095</v>
      </c>
      <c r="H68" s="70">
        <f t="shared" ref="H68:H131" si="56">(B68+E68+F68)*44/12+(C68+D68)*0.475*44/12</f>
        <v>221.30237060203123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63.747918392045925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-1.3596945791505279E-13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251.99201350544561</v>
      </c>
      <c r="T68" s="62">
        <f t="shared" si="34"/>
        <v>366.66533117979162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 t="e">
        <f>EXP(-LN(2)/35)*Z67+(1-EXP(-LN(2)/35))/(LN(2)/35)*V68*W68*VLOOKUP('Données projet'!$B$9,Paramètres!$A$1:$I$89,3,0)*0.475*44/12</f>
        <v>#VALUE!</v>
      </c>
      <c r="AA68" s="23" t="e">
        <f>EXP(-LN(2)/25)*AA67+(1-EXP(-LN(2)/25))/(LN(2)/25)*Calculateur!V68*Calculateur!X68*VLOOKUP('Données projet'!$B$9,Paramètres!$A$1:$I$89,3,0)*0.475*44/12</f>
        <v>#VALUE!</v>
      </c>
      <c r="AB68" s="23" t="e">
        <f>EXP(-LN(2)/2)*AB67+(1-EXP(-LN(2)/2))/(LN(2)/2)*V68*Y68*VLOOKUP('Données projet'!$B$9,Paramètres!$A$1:$I$89,3,0)*0.475*44/12</f>
        <v>#VALUE!</v>
      </c>
      <c r="AC68" s="24" t="e">
        <f t="shared" ref="AC68:AC131" si="57">SUM(Z68:AB68)</f>
        <v>#VALUE!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63.747918392045925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149.52545095126411</v>
      </c>
      <c r="AO68" s="62">
        <f t="shared" si="36"/>
        <v>457.9161829331029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24.326956971932056</v>
      </c>
      <c r="AV68" s="23">
        <f>EXP(-LN(2)/25)*AV67+(1-EXP(-LN(2)/25))/(LN(2)/25)*Calculateur!AQ68*Calculateur!AS68*VLOOKUP('Données projet'!$B$10,Paramètres!$A$1:$I$89,3,0)*0.475*44/12</f>
        <v>7.4021760658390896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31.729133037771145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63.747918392045925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212</v>
      </c>
      <c r="BB68" s="13">
        <f>VLOOKUP(A68,'Données projet'!$A$87:$I$107,9,0)</f>
        <v>7</v>
      </c>
      <c r="BC68" s="13">
        <f t="array" ref="BC68">INDEX(BB:BB,MIN(IF(ISNUMBER(BB68:BB264),ROW(BB68:BB264),"")))</f>
        <v>7</v>
      </c>
      <c r="BD68" s="13">
        <f>IF('Données projet'!$A$88&gt;35,BD67+BC68-BL67,IF(A68&lt;'Données projet'!$A$88,$BA$205^A68,IF(A68='Données projet'!$A$88,'Données projet'!$B$88,BD67+BC68-BL67)))</f>
        <v>211.99999999999994</v>
      </c>
      <c r="BE68" s="14">
        <f>BD68*VLOOKUP('Données projet'!$B$11,Paramètres!$A$1:$I$89,3,0)*VLOOKUP('Données projet'!$B$11,Paramètres!$A$1:$I$89,5,0)</f>
        <v>214.96799999999993</v>
      </c>
      <c r="BF68" s="14">
        <f t="shared" si="37"/>
        <v>53.019736939092994</v>
      </c>
      <c r="BG68" s="22">
        <f t="shared" ref="BG68:BG131" si="61">(BE68+BF68)*0.475*44/12</f>
        <v>466.74530850225352</v>
      </c>
      <c r="BH68" s="62">
        <f t="shared" ref="BH68:BH131" si="62">BG68+(AY68+AZ68)*44/12</f>
        <v>737.15434260642201</v>
      </c>
      <c r="BI68" s="62">
        <f ca="1">AVERAGE(OFFSET($BH$3,0,0,'Données projet'!$E$11+1,1))-AVERAGE(OFFSET($H$3,0,0,'Données projet'!$E$11+1,1))</f>
        <v>408.82357969905803</v>
      </c>
      <c r="BJ68" s="62">
        <f t="shared" si="38"/>
        <v>263.2013060831145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22</v>
      </c>
      <c r="BM68" s="17">
        <f>IF(ISNA(VLOOKUP(A68,'Données projet'!$A$87:$I$107,5,0)),0%,VLOOKUP(A68,'Données projet'!$A$87:$I$107,5,0)*VLOOKUP('Données projet'!$B$11,Paramètres!$A$1:$I$89,7,0))</f>
        <v>0.215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19.216895907546803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19.216895907546803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63.747918392045925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275</v>
      </c>
      <c r="BW68" s="13">
        <f>VLOOKUP(A68,'Données projet'!$A$113:$I$133,9,0)</f>
        <v>8</v>
      </c>
      <c r="BX68" s="13">
        <f t="array" ref="BX68">INDEX(BW:BW,MIN(IF(ISNUMBER(BW68:BW264),ROW(BW68:BW264),"")))</f>
        <v>8</v>
      </c>
      <c r="BY68" s="13">
        <f>IF('Données projet'!$A$114&gt;35,BY67+BX68-CG67,IF(A68&lt;'Données projet'!$A$114,$BV$205^A68,IF(A68='Données projet'!$A$114,'Données projet'!$B$114,BY67+BX68-CG67)))</f>
        <v>275</v>
      </c>
      <c r="BZ68" s="14">
        <f>BY68*VLOOKUP('Données projet'!$B$12,Paramètres!$A$1:$I$89,3,0)*VLOOKUP('Données projet'!$B$12,Paramètres!$A$1:$I$89,5,0)</f>
        <v>261.69</v>
      </c>
      <c r="CA68" s="14">
        <f t="shared" si="39"/>
        <v>63.082481711546343</v>
      </c>
      <c r="CB68" s="22">
        <f t="shared" ref="CB68:CB131" si="64">(BZ68+CA68)*0.475*44/12</f>
        <v>565.64540564760989</v>
      </c>
      <c r="CC68" s="62">
        <f t="shared" ref="CC68:CC131" si="65">CB68+(BT68+BU68)*44/12</f>
        <v>836.05443975177832</v>
      </c>
      <c r="CD68" s="62">
        <f ca="1">AVERAGE(OFFSET($CC$3,0,0,'Données projet'!$E$12+1,1))-AVERAGE(OFFSET($H$3,0,0,'Données projet'!$E$12+1,1))</f>
        <v>451.95887041951761</v>
      </c>
      <c r="CE68" s="62">
        <f t="shared" si="40"/>
        <v>311.32964503257341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31</v>
      </c>
      <c r="CH68" s="17">
        <f>IF(ISNA(VLOOKUP(A68,'Données projet'!$A$113:$I$133,5,0)),0%,VLOOKUP(A68,'Données projet'!$A$113:$I$133,5,0)*VLOOKUP('Données projet'!$B$12,Paramètres!$A$1:$I$89,7,0))</f>
        <v>0.215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23.806442315001846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23.806442315001846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63.747918392045925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63.747918392045925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63.747918392045925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63.747918392045925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63.747918392045925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63.747918392045925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3.9000000000000004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9.3899520000000081</v>
      </c>
      <c r="D69" s="12">
        <f t="shared" ref="D69:D132" si="86">IFERROR(EXP(-1.0587+0.8836*LN(C69)+0.284),0)</f>
        <v>3.3342443242855082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27.727498618064921</v>
      </c>
      <c r="H69" s="70">
        <f t="shared" si="56"/>
        <v>221.62797526479727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63.856378030383439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-1.3596945791505279E-13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251.99201350544561</v>
      </c>
      <c r="T69" s="62">
        <f t="shared" ref="T69:T132" si="88">$T$3</f>
        <v>366.66533117979162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 t="e">
        <f>EXP(-LN(2)/35)*Z68+(1-EXP(-LN(2)/35))/(LN(2)/35)*V69*W69*VLOOKUP('Données projet'!$B$9,Paramètres!$A$1:$I$89,3,0)*0.475*44/12</f>
        <v>#VALUE!</v>
      </c>
      <c r="AA69" s="23" t="e">
        <f>EXP(-LN(2)/25)*AA68+(1-EXP(-LN(2)/25))/(LN(2)/25)*Calculateur!V69*Calculateur!X69*VLOOKUP('Données projet'!$B$9,Paramètres!$A$1:$I$89,3,0)*0.475*44/12</f>
        <v>#VALUE!</v>
      </c>
      <c r="AB69" s="23" t="e">
        <f>EXP(-LN(2)/2)*AB68+(1-EXP(-LN(2)/2))/(LN(2)/2)*V69*Y69*VLOOKUP('Données projet'!$B$9,Paramètres!$A$1:$I$89,3,0)*0.475*44/12</f>
        <v>#VALUE!</v>
      </c>
      <c r="AC69" s="24" t="e">
        <f t="shared" si="57"/>
        <v>#VALUE!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63.856378030383439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149.52545095126411</v>
      </c>
      <c r="AO69" s="62">
        <f t="shared" ref="AO69:AO132" si="90">$AO$3</f>
        <v>457.9161829331029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23.849920183691093</v>
      </c>
      <c r="AV69" s="23">
        <f>EXP(-LN(2)/25)*AV68+(1-EXP(-LN(2)/25))/(LN(2)/25)*Calculateur!AQ69*Calculateur!AS69*VLOOKUP('Données projet'!$B$10,Paramètres!$A$1:$I$89,3,0)*0.475*44/12</f>
        <v>7.1997631720551984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31.049683355746293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63.856378030383439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6.6</v>
      </c>
      <c r="BD69" s="13">
        <f>IF('Données projet'!$A$88&gt;35,BD68+BC69-BL68,IF(A69&lt;'Données projet'!$A$88,$BA$205^A69,IF(A69='Données projet'!$A$88,'Données projet'!$B$88,BD68+BC69-BL68)))</f>
        <v>196.59999999999994</v>
      </c>
      <c r="BE69" s="14">
        <f>BD69*VLOOKUP('Données projet'!$B$11,Paramètres!$A$1:$I$89,3,0)*VLOOKUP('Données projet'!$B$11,Paramètres!$A$1:$I$89,5,0)</f>
        <v>199.35239999999996</v>
      </c>
      <c r="BF69" s="14">
        <f t="shared" ref="BF69:BF132" si="91">EXP(-1.0587+0.8836*LN(BE69)+0.284)</f>
        <v>49.601817992937235</v>
      </c>
      <c r="BG69" s="22">
        <f t="shared" si="61"/>
        <v>433.59526300436556</v>
      </c>
      <c r="BH69" s="62">
        <f t="shared" si="62"/>
        <v>704.40198244910482</v>
      </c>
      <c r="BI69" s="62">
        <f ca="1">AVERAGE(OFFSET($BH$3,0,0,'Données projet'!$E$11+1,1))-AVERAGE(OFFSET($H$3,0,0,'Données projet'!$E$11+1,1))</f>
        <v>408.82357969905803</v>
      </c>
      <c r="BJ69" s="62">
        <f t="shared" ref="BJ69:BJ132" si="92">$BJ$3</f>
        <v>263.2013060831145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18.840064299948946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18.840064299948946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63.856378030383439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7.6</v>
      </c>
      <c r="BY69" s="13">
        <f>IF('Données projet'!$A$114&gt;35,BY68+BX69-CG68,IF(A69&lt;'Données projet'!$A$114,$BV$205^A69,IF(A69='Données projet'!$A$114,'Données projet'!$B$114,BY68+BX69-CG68)))</f>
        <v>251.60000000000002</v>
      </c>
      <c r="BZ69" s="14">
        <f>BY69*VLOOKUP('Données projet'!$B$12,Paramètres!$A$1:$I$89,3,0)*VLOOKUP('Données projet'!$B$12,Paramètres!$A$1:$I$89,5,0)</f>
        <v>239.42256</v>
      </c>
      <c r="CA69" s="14">
        <f t="shared" ref="CA69:CA132" si="93">EXP(-1.0587+0.8836*LN(BZ69)+0.284)</f>
        <v>58.315274040589699</v>
      </c>
      <c r="CB69" s="22">
        <f t="shared" si="64"/>
        <v>518.56006095402699</v>
      </c>
      <c r="CC69" s="62">
        <f t="shared" si="65"/>
        <v>789.3667803987662</v>
      </c>
      <c r="CD69" s="62">
        <f ca="1">AVERAGE(OFFSET($CC$3,0,0,'Données projet'!$E$12+1,1))-AVERAGE(OFFSET($H$3,0,0,'Données projet'!$E$12+1,1))</f>
        <v>451.95887041951761</v>
      </c>
      <c r="CE69" s="62">
        <f t="shared" ref="CE69:CE132" si="94">$CE$3</f>
        <v>311.32964503257341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23.339612501700692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23.339612501700692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63.856378030383439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63.856378030383439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63.856378030383439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63.856378030383439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63.856378030383439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63.856378030383439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3.9000000000000004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9.5322240000000082</v>
      </c>
      <c r="D70" s="12">
        <f t="shared" si="86"/>
        <v>3.3788436403246909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27.958301085594016</v>
      </c>
      <c r="H70" s="70">
        <f t="shared" si="56"/>
        <v>221.95344280689886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63.962956136475228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-1.3596945791505279E-13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251.99201350544561</v>
      </c>
      <c r="T70" s="62">
        <f t="shared" si="88"/>
        <v>366.66533117979162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 t="e">
        <f>EXP(-LN(2)/35)*Z69+(1-EXP(-LN(2)/35))/(LN(2)/35)*V70*W70*VLOOKUP('Données projet'!$B$9,Paramètres!$A$1:$I$89,3,0)*0.475*44/12</f>
        <v>#VALUE!</v>
      </c>
      <c r="AA70" s="23" t="e">
        <f>EXP(-LN(2)/25)*AA69+(1-EXP(-LN(2)/25))/(LN(2)/25)*Calculateur!V70*Calculateur!X70*VLOOKUP('Données projet'!$B$9,Paramètres!$A$1:$I$89,3,0)*0.475*44/12</f>
        <v>#VALUE!</v>
      </c>
      <c r="AB70" s="23" t="e">
        <f>EXP(-LN(2)/2)*AB69+(1-EXP(-LN(2)/2))/(LN(2)/2)*V70*Y70*VLOOKUP('Données projet'!$B$9,Paramètres!$A$1:$I$89,3,0)*0.475*44/12</f>
        <v>#VALUE!</v>
      </c>
      <c r="AC70" s="24" t="e">
        <f t="shared" si="57"/>
        <v>#VALUE!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63.962956136475228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149.52545095126411</v>
      </c>
      <c r="AO70" s="62">
        <f t="shared" si="90"/>
        <v>457.9161829331029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23.382237795903826</v>
      </c>
      <c r="AV70" s="23">
        <f>EXP(-LN(2)/25)*AV69+(1-EXP(-LN(2)/25))/(LN(2)/25)*Calculateur!AQ70*Calculateur!AS70*VLOOKUP('Données projet'!$B$10,Paramètres!$A$1:$I$89,3,0)*0.475*44/12</f>
        <v>7.0028852694962591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30.385123065400087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63.962956136475228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6.6</v>
      </c>
      <c r="BD70" s="13">
        <f>IF('Données projet'!$A$88&gt;35,BD69+BC70-BL69,IF(A70&lt;'Données projet'!$A$88,$BA$205^A70,IF(A70='Données projet'!$A$88,'Données projet'!$B$88,BD69+BC70-BL69)))</f>
        <v>203.19999999999993</v>
      </c>
      <c r="BE70" s="14">
        <f>BD70*VLOOKUP('Données projet'!$B$11,Paramètres!$A$1:$I$89,3,0)*VLOOKUP('Données projet'!$B$11,Paramètres!$A$1:$I$89,5,0)</f>
        <v>206.04479999999992</v>
      </c>
      <c r="BF70" s="14">
        <f t="shared" si="91"/>
        <v>51.070320860749725</v>
      </c>
      <c r="BG70" s="22">
        <f t="shared" si="61"/>
        <v>447.80883549913892</v>
      </c>
      <c r="BH70" s="62">
        <f t="shared" si="62"/>
        <v>719.00634133288145</v>
      </c>
      <c r="BI70" s="62">
        <f ca="1">AVERAGE(OFFSET($BH$3,0,0,'Données projet'!$E$11+1,1))-AVERAGE(OFFSET($H$3,0,0,'Données projet'!$E$11+1,1))</f>
        <v>408.82357969905803</v>
      </c>
      <c r="BJ70" s="62">
        <f t="shared" si="92"/>
        <v>263.2013060831145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18.470622130331499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18.470622130331499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63.962956136475228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7.6</v>
      </c>
      <c r="BY70" s="13">
        <f>IF('Données projet'!$A$114&gt;35,BY69+BX70-CG69,IF(A70&lt;'Données projet'!$A$114,$BV$205^A70,IF(A70='Données projet'!$A$114,'Données projet'!$B$114,BY69+BX70-CG69)))</f>
        <v>259.20000000000005</v>
      </c>
      <c r="BZ70" s="14">
        <f>BY70*VLOOKUP('Données projet'!$B$12,Paramètres!$A$1:$I$89,3,0)*VLOOKUP('Données projet'!$B$12,Paramètres!$A$1:$I$89,5,0)</f>
        <v>246.65472000000005</v>
      </c>
      <c r="CA70" s="14">
        <f t="shared" si="93"/>
        <v>59.869038818016229</v>
      </c>
      <c r="CB70" s="22">
        <f t="shared" si="64"/>
        <v>533.86221327471173</v>
      </c>
      <c r="CC70" s="62">
        <f t="shared" si="65"/>
        <v>805.05971910845415</v>
      </c>
      <c r="CD70" s="62">
        <f ca="1">AVERAGE(OFFSET($CC$3,0,0,'Données projet'!$E$12+1,1))-AVERAGE(OFFSET($H$3,0,0,'Données projet'!$E$12+1,1))</f>
        <v>451.95887041951761</v>
      </c>
      <c r="CE70" s="62">
        <f t="shared" si="94"/>
        <v>311.32964503257341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22.881936936300303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22.881936936300303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63.962956136475228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63.962956136475228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63.962956136475228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63.962956136475228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63.962956136475228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63.962956136475228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3.9000000000000004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9.6744960000000084</v>
      </c>
      <c r="D71" s="12">
        <f t="shared" si="86"/>
        <v>3.4233655376009855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28.189007934159825</v>
      </c>
      <c r="H71" s="70">
        <f t="shared" si="56"/>
        <v>222.27877551132173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64.067685350699279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-1.3596945791505279E-13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251.99201350544561</v>
      </c>
      <c r="T71" s="62">
        <f t="shared" si="88"/>
        <v>366.66533117979162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 t="e">
        <f>EXP(-LN(2)/35)*Z70+(1-EXP(-LN(2)/35))/(LN(2)/35)*V71*W71*VLOOKUP('Données projet'!$B$9,Paramètres!$A$1:$I$89,3,0)*0.475*44/12</f>
        <v>#VALUE!</v>
      </c>
      <c r="AA71" s="23" t="e">
        <f>EXP(-LN(2)/25)*AA70+(1-EXP(-LN(2)/25))/(LN(2)/25)*Calculateur!V71*Calculateur!X71*VLOOKUP('Données projet'!$B$9,Paramètres!$A$1:$I$89,3,0)*0.475*44/12</f>
        <v>#VALUE!</v>
      </c>
      <c r="AB71" s="23" t="e">
        <f>EXP(-LN(2)/2)*AB70+(1-EXP(-LN(2)/2))/(LN(2)/2)*V71*Y71*VLOOKUP('Données projet'!$B$9,Paramètres!$A$1:$I$89,3,0)*0.475*44/12</f>
        <v>#VALUE!</v>
      </c>
      <c r="AC71" s="24" t="e">
        <f t="shared" si="57"/>
        <v>#VALUE!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64.067685350699279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149.52545095126411</v>
      </c>
      <c r="AO71" s="62">
        <f t="shared" si="90"/>
        <v>457.9161829331029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22.923726374482975</v>
      </c>
      <c r="AV71" s="23">
        <f>EXP(-LN(2)/25)*AV70+(1-EXP(-LN(2)/25))/(LN(2)/25)*Calculateur!AQ71*Calculateur!AS71*VLOOKUP('Données projet'!$B$10,Paramètres!$A$1:$I$89,3,0)*0.475*44/12</f>
        <v>6.8113910035361531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29.735117378019126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64.067685350699279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6.6</v>
      </c>
      <c r="BD71" s="13">
        <f>IF('Données projet'!$A$88&gt;35,BD70+BC71-BL70,IF(A71&lt;'Données projet'!$A$88,$BA$205^A71,IF(A71='Données projet'!$A$88,'Données projet'!$B$88,BD70+BC71-BL70)))</f>
        <v>209.79999999999993</v>
      </c>
      <c r="BE71" s="14">
        <f>BD71*VLOOKUP('Données projet'!$B$11,Paramètres!$A$1:$I$89,3,0)*VLOOKUP('Données projet'!$B$11,Paramètres!$A$1:$I$89,5,0)</f>
        <v>212.73719999999992</v>
      </c>
      <c r="BF71" s="14">
        <f t="shared" si="91"/>
        <v>52.533281199481387</v>
      </c>
      <c r="BG71" s="22">
        <f t="shared" si="61"/>
        <v>462.0127547557633</v>
      </c>
      <c r="BH71" s="62">
        <f t="shared" si="62"/>
        <v>733.59426770832738</v>
      </c>
      <c r="BI71" s="62">
        <f ca="1">AVERAGE(OFFSET($BH$3,0,0,'Données projet'!$E$11+1,1))-AVERAGE(OFFSET($H$3,0,0,'Données projet'!$E$11+1,1))</f>
        <v>408.82357969905803</v>
      </c>
      <c r="BJ71" s="62">
        <f t="shared" si="92"/>
        <v>263.2013060831145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18.108424496322776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18.108424496322776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64.067685350699279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7.6</v>
      </c>
      <c r="BY71" s="13">
        <f>IF('Données projet'!$A$114&gt;35,BY70+BX71-CG70,IF(A71&lt;'Données projet'!$A$114,$BV$205^A71,IF(A71='Données projet'!$A$114,'Données projet'!$B$114,BY70+BX71-CG70)))</f>
        <v>266.80000000000007</v>
      </c>
      <c r="BZ71" s="14">
        <f>BY71*VLOOKUP('Données projet'!$B$12,Paramètres!$A$1:$I$89,3,0)*VLOOKUP('Données projet'!$B$12,Paramètres!$A$1:$I$89,5,0)</f>
        <v>253.88688000000008</v>
      </c>
      <c r="CA71" s="14">
        <f t="shared" si="93"/>
        <v>61.417508891277024</v>
      </c>
      <c r="CB71" s="22">
        <f t="shared" si="64"/>
        <v>549.15514398564085</v>
      </c>
      <c r="CC71" s="62">
        <f t="shared" si="65"/>
        <v>820.73665693820487</v>
      </c>
      <c r="CD71" s="62">
        <f ca="1">AVERAGE(OFFSET($CC$3,0,0,'Données projet'!$E$12+1,1))-AVERAGE(OFFSET($H$3,0,0,'Données projet'!$E$12+1,1))</f>
        <v>451.95887041951761</v>
      </c>
      <c r="CE71" s="62">
        <f t="shared" si="94"/>
        <v>311.32964503257341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22.433236109582886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22.433236109582886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64.067685350699279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64.067685350699279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64.067685350699279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64.067685350699279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64.067685350699279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64.067685350699279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3.9000000000000004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9.8167680000000086</v>
      </c>
      <c r="D72" s="12">
        <f t="shared" si="86"/>
        <v>3.4678112861532413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28.419620732371733</v>
      </c>
      <c r="H72" s="70">
        <f t="shared" si="56"/>
        <v>222.60397559005025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64.170597747195984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-1.3596945791505279E-13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251.99201350544561</v>
      </c>
      <c r="T72" s="62">
        <f t="shared" si="88"/>
        <v>366.66533117979162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 t="e">
        <f>EXP(-LN(2)/35)*Z71+(1-EXP(-LN(2)/35))/(LN(2)/35)*V72*W72*VLOOKUP('Données projet'!$B$9,Paramètres!$A$1:$I$89,3,0)*0.475*44/12</f>
        <v>#VALUE!</v>
      </c>
      <c r="AA72" s="23" t="e">
        <f>EXP(-LN(2)/25)*AA71+(1-EXP(-LN(2)/25))/(LN(2)/25)*Calculateur!V72*Calculateur!X72*VLOOKUP('Données projet'!$B$9,Paramètres!$A$1:$I$89,3,0)*0.475*44/12</f>
        <v>#VALUE!</v>
      </c>
      <c r="AB72" s="23" t="e">
        <f>EXP(-LN(2)/2)*AB71+(1-EXP(-LN(2)/2))/(LN(2)/2)*V72*Y72*VLOOKUP('Données projet'!$B$9,Paramètres!$A$1:$I$89,3,0)*0.475*44/12</f>
        <v>#VALUE!</v>
      </c>
      <c r="AC72" s="24" t="e">
        <f t="shared" si="57"/>
        <v>#VALUE!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64.170597747195984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149.52545095126411</v>
      </c>
      <c r="AO72" s="62">
        <f t="shared" si="90"/>
        <v>457.9161829331029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22.474206082371836</v>
      </c>
      <c r="AV72" s="23">
        <f>EXP(-LN(2)/25)*AV71+(1-EXP(-LN(2)/25))/(LN(2)/25)*Calculateur!AQ72*Calculateur!AS72*VLOOKUP('Données projet'!$B$10,Paramètres!$A$1:$I$89,3,0)*0.475*44/12</f>
        <v>6.6251331583489721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29.099339240720809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64.170597747195984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6.6</v>
      </c>
      <c r="BD72" s="13">
        <f>IF('Données projet'!$A$88&gt;35,BD71+BC72-BL71,IF(A72&lt;'Données projet'!$A$88,$BA$205^A72,IF(A72='Données projet'!$A$88,'Données projet'!$B$88,BD71+BC72-BL71)))</f>
        <v>216.39999999999992</v>
      </c>
      <c r="BE72" s="14">
        <f>BD72*VLOOKUP('Données projet'!$B$11,Paramètres!$A$1:$I$89,3,0)*VLOOKUP('Données projet'!$B$11,Paramètres!$A$1:$I$89,5,0)</f>
        <v>219.42959999999991</v>
      </c>
      <c r="BF72" s="14">
        <f t="shared" si="91"/>
        <v>53.990893373543535</v>
      </c>
      <c r="BG72" s="22">
        <f t="shared" si="61"/>
        <v>476.20735929225475</v>
      </c>
      <c r="BH72" s="62">
        <f t="shared" si="62"/>
        <v>748.16621769864003</v>
      </c>
      <c r="BI72" s="62">
        <f ca="1">AVERAGE(OFFSET($BH$3,0,0,'Données projet'!$E$11+1,1))-AVERAGE(OFFSET($H$3,0,0,'Données projet'!$E$11+1,1))</f>
        <v>408.82357969905803</v>
      </c>
      <c r="BJ72" s="62">
        <f t="shared" si="92"/>
        <v>263.2013060831145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17.75332933699822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17.75332933699822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64.170597747195984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7.6</v>
      </c>
      <c r="BY72" s="13">
        <f>IF('Données projet'!$A$114&gt;35,BY71+BX72-CG71,IF(A72&lt;'Données projet'!$A$114,$BV$205^A72,IF(A72='Données projet'!$A$114,'Données projet'!$B$114,BY71+BX72-CG71)))</f>
        <v>274.40000000000009</v>
      </c>
      <c r="BZ72" s="14">
        <f>BY72*VLOOKUP('Données projet'!$B$12,Paramètres!$A$1:$I$89,3,0)*VLOOKUP('Données projet'!$B$12,Paramètres!$A$1:$I$89,5,0)</f>
        <v>261.1190400000001</v>
      </c>
      <c r="CA72" s="14">
        <f t="shared" si="93"/>
        <v>62.960852407139683</v>
      </c>
      <c r="CB72" s="22">
        <f t="shared" si="64"/>
        <v>564.43914594243518</v>
      </c>
      <c r="CC72" s="62">
        <f t="shared" si="65"/>
        <v>836.39800434882045</v>
      </c>
      <c r="CD72" s="62">
        <f ca="1">AVERAGE(OFFSET($CC$3,0,0,'Données projet'!$E$12+1,1))-AVERAGE(OFFSET($H$3,0,0,'Données projet'!$E$12+1,1))</f>
        <v>451.95887041951761</v>
      </c>
      <c r="CE72" s="62">
        <f t="shared" si="94"/>
        <v>311.32964503257341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21.993334032396916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21.993334032396916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64.170597747195984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64.170597747195984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64.170597747195984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64.170597747195984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64.170597747195984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64.170597747195984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3.9000000000000004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9.9590400000000088</v>
      </c>
      <c r="D73" s="12">
        <f t="shared" si="86"/>
        <v>3.5121821170938654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28.650141000761554</v>
      </c>
      <c r="H73" s="70">
        <f t="shared" si="56"/>
        <v>222.92904518727184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64.271724843691118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-1.3596945791505279E-13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251.99201350544561</v>
      </c>
      <c r="T73" s="62">
        <f t="shared" si="88"/>
        <v>366.66533117979162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 t="e">
        <f>EXP(-LN(2)/35)*Z72+(1-EXP(-LN(2)/35))/(LN(2)/35)*V73*W73*VLOOKUP('Données projet'!$B$9,Paramètres!$A$1:$I$89,3,0)*0.475*44/12</f>
        <v>#VALUE!</v>
      </c>
      <c r="AA73" s="23" t="e">
        <f>EXP(-LN(2)/25)*AA72+(1-EXP(-LN(2)/25))/(LN(2)/25)*Calculateur!V73*Calculateur!X73*VLOOKUP('Données projet'!$B$9,Paramètres!$A$1:$I$89,3,0)*0.475*44/12</f>
        <v>#VALUE!</v>
      </c>
      <c r="AB73" s="23" t="e">
        <f>EXP(-LN(2)/2)*AB72+(1-EXP(-LN(2)/2))/(LN(2)/2)*V73*Y73*VLOOKUP('Données projet'!$B$9,Paramètres!$A$1:$I$89,3,0)*0.475*44/12</f>
        <v>#VALUE!</v>
      </c>
      <c r="AC73" s="24" t="e">
        <f t="shared" si="57"/>
        <v>#VALUE!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64.271724843691118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149.52545095126411</v>
      </c>
      <c r="AO73" s="62">
        <f t="shared" si="90"/>
        <v>457.9161829331029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22.033500609008691</v>
      </c>
      <c r="AV73" s="23">
        <f>EXP(-LN(2)/25)*AV72+(1-EXP(-LN(2)/25))/(LN(2)/25)*Calculateur!AQ73*Calculateur!AS73*VLOOKUP('Données projet'!$B$10,Paramètres!$A$1:$I$89,3,0)*0.475*44/12</f>
        <v>6.443968543733309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28.477469152742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64.271724843691118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223</v>
      </c>
      <c r="BB73" s="13">
        <f>VLOOKUP(A73,'Données projet'!$A$87:$I$107,9,0)</f>
        <v>6.6</v>
      </c>
      <c r="BC73" s="13">
        <f t="array" ref="BC73">INDEX(BB:BB,MIN(IF(ISNUMBER(BB73:BB269),ROW(BB73:BB269),"")))</f>
        <v>6.6</v>
      </c>
      <c r="BD73" s="13">
        <f>IF('Données projet'!$A$88&gt;35,BD72+BC73-BL72,IF(A73&lt;'Données projet'!$A$88,$BA$205^A73,IF(A73='Données projet'!$A$88,'Données projet'!$B$88,BD72+BC73-BL72)))</f>
        <v>222.99999999999991</v>
      </c>
      <c r="BE73" s="14">
        <f>BD73*VLOOKUP('Données projet'!$B$11,Paramètres!$A$1:$I$89,3,0)*VLOOKUP('Données projet'!$B$11,Paramètres!$A$1:$I$89,5,0)</f>
        <v>226.12199999999996</v>
      </c>
      <c r="BF73" s="14">
        <f t="shared" si="91"/>
        <v>55.443339217820046</v>
      </c>
      <c r="BG73" s="22">
        <f t="shared" si="61"/>
        <v>490.39296580436979</v>
      </c>
      <c r="BH73" s="62">
        <f t="shared" si="62"/>
        <v>762.72262356457054</v>
      </c>
      <c r="BI73" s="62">
        <f ca="1">AVERAGE(OFFSET($BH$3,0,0,'Données projet'!$E$11+1,1))-AVERAGE(OFFSET($H$3,0,0,'Données projet'!$E$11+1,1))</f>
        <v>408.82357969905803</v>
      </c>
      <c r="BJ73" s="62">
        <f t="shared" si="92"/>
        <v>263.2013060831145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22</v>
      </c>
      <c r="BM73" s="17">
        <f>IF(ISNA(VLOOKUP(A73,'Données projet'!$A$87:$I$107,5,0)),0%,VLOOKUP(A73,'Données projet'!$A$87:$I$107,5,0)*VLOOKUP('Données projet'!$B$11,Paramètres!$A$1:$I$89,7,0))</f>
        <v>0.215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22.707276520884886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22.707276520884886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64.271724843691118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282</v>
      </c>
      <c r="BW73" s="13">
        <f>VLOOKUP(A73,'Données projet'!$A$113:$I$133,9,0)</f>
        <v>7.6</v>
      </c>
      <c r="BX73" s="13">
        <f t="array" ref="BX73">INDEX(BW:BW,MIN(IF(ISNUMBER(BW73:BW269),ROW(BW73:BW269),"")))</f>
        <v>7.6</v>
      </c>
      <c r="BY73" s="13">
        <f>IF('Données projet'!$A$114&gt;35,BY72+BX73-CG72,IF(A73&lt;'Données projet'!$A$114,$BV$205^A73,IF(A73='Données projet'!$A$114,'Données projet'!$B$114,BY72+BX73-CG72)))</f>
        <v>282.00000000000011</v>
      </c>
      <c r="BZ73" s="14">
        <f>BY73*VLOOKUP('Données projet'!$B$12,Paramètres!$A$1:$I$89,3,0)*VLOOKUP('Données projet'!$B$12,Paramètres!$A$1:$I$89,5,0)</f>
        <v>268.35120000000012</v>
      </c>
      <c r="CA73" s="14">
        <f t="shared" si="93"/>
        <v>64.499227668096125</v>
      </c>
      <c r="CB73" s="22">
        <f t="shared" si="64"/>
        <v>579.71449485526762</v>
      </c>
      <c r="CC73" s="62">
        <f t="shared" si="65"/>
        <v>852.04415261546842</v>
      </c>
      <c r="CD73" s="62">
        <f ca="1">AVERAGE(OFFSET($CC$3,0,0,'Données projet'!$E$12+1,1))-AVERAGE(OFFSET($H$3,0,0,'Données projet'!$E$12+1,1))</f>
        <v>451.95887041951761</v>
      </c>
      <c r="CE73" s="62">
        <f t="shared" si="94"/>
        <v>311.32964503257341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31</v>
      </c>
      <c r="CH73" s="17">
        <f>IF(ISNA(VLOOKUP(A73,'Données projet'!$A$113:$I$133,5,0)),0%,VLOOKUP(A73,'Données projet'!$A$113:$I$133,5,0)*VLOOKUP('Données projet'!$B$12,Paramètres!$A$1:$I$89,7,0))</f>
        <v>0.215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28.573408978365887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28.573408978365887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64.271724843691118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64.271724843691118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64.271724843691118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64.271724843691118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64.271724843691118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64.271724843691118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3.9000000000000004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10.101312000000009</v>
      </c>
      <c r="D74" s="12">
        <f t="shared" si="86"/>
        <v>3.5564792243406176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28.880570213922461</v>
      </c>
      <c r="H74" s="70">
        <f t="shared" si="56"/>
        <v>223.25398638239326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64.371097611148386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-1.3596945791505279E-13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251.99201350544561</v>
      </c>
      <c r="T74" s="62">
        <f t="shared" si="88"/>
        <v>366.66533117979162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 t="e">
        <f>EXP(-LN(2)/35)*Z73+(1-EXP(-LN(2)/35))/(LN(2)/35)*V74*W74*VLOOKUP('Données projet'!$B$9,Paramètres!$A$1:$I$89,3,0)*0.475*44/12</f>
        <v>#VALUE!</v>
      </c>
      <c r="AA74" s="23" t="e">
        <f>EXP(-LN(2)/25)*AA73+(1-EXP(-LN(2)/25))/(LN(2)/25)*Calculateur!V74*Calculateur!X74*VLOOKUP('Données projet'!$B$9,Paramètres!$A$1:$I$89,3,0)*0.475*44/12</f>
        <v>#VALUE!</v>
      </c>
      <c r="AB74" s="23" t="e">
        <f>EXP(-LN(2)/2)*AB73+(1-EXP(-LN(2)/2))/(LN(2)/2)*V74*Y74*VLOOKUP('Données projet'!$B$9,Paramètres!$A$1:$I$89,3,0)*0.475*44/12</f>
        <v>#VALUE!</v>
      </c>
      <c r="AC74" s="24" t="e">
        <f t="shared" si="57"/>
        <v>#VALUE!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64.371097611148386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149.52545095126411</v>
      </c>
      <c r="AO74" s="62">
        <f t="shared" si="90"/>
        <v>457.9161829331029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21.601437101174401</v>
      </c>
      <c r="AV74" s="23">
        <f>EXP(-LN(2)/25)*AV73+(1-EXP(-LN(2)/25))/(LN(2)/25)*Calculateur!AQ74*Calculateur!AS74*VLOOKUP('Données projet'!$B$10,Paramètres!$A$1:$I$89,3,0)*0.475*44/12</f>
        <v>6.2677578850313438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27.869194986205745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64.371097611148386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6.6</v>
      </c>
      <c r="BD74" s="13">
        <f>IF('Données projet'!$A$88&gt;35,BD73+BC74-BL73,IF(A74&lt;'Données projet'!$A$88,$BA$205^A74,IF(A74='Données projet'!$A$88,'Données projet'!$B$88,BD73+BC74-BL73)))</f>
        <v>207.59999999999991</v>
      </c>
      <c r="BE74" s="14">
        <f>BD74*VLOOKUP('Données projet'!$B$11,Paramètres!$A$1:$I$89,3,0)*VLOOKUP('Données projet'!$B$11,Paramètres!$A$1:$I$89,5,0)</f>
        <v>210.50639999999993</v>
      </c>
      <c r="BF74" s="14">
        <f t="shared" si="91"/>
        <v>52.046231322304777</v>
      </c>
      <c r="BG74" s="22">
        <f t="shared" si="61"/>
        <v>457.27916621968069</v>
      </c>
      <c r="BH74" s="62">
        <f t="shared" si="62"/>
        <v>729.97319079389149</v>
      </c>
      <c r="BI74" s="62">
        <f ca="1">AVERAGE(OFFSET($BH$3,0,0,'Données projet'!$E$11+1,1))-AVERAGE(OFFSET($H$3,0,0,'Données projet'!$E$11+1,1))</f>
        <v>408.82357969905803</v>
      </c>
      <c r="BJ74" s="62">
        <f t="shared" si="92"/>
        <v>263.2013060831145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22.26200067838143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22.26200067838143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64.371097611148386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7.2</v>
      </c>
      <c r="BY74" s="13">
        <f>IF('Données projet'!$A$114&gt;35,BY73+BX74-CG73,IF(A74&lt;'Données projet'!$A$114,$BV$205^A74,IF(A74='Données projet'!$A$114,'Données projet'!$B$114,BY73+BX74-CG73)))</f>
        <v>258.2000000000001</v>
      </c>
      <c r="BZ74" s="14">
        <f>BY74*VLOOKUP('Données projet'!$B$12,Paramètres!$A$1:$I$89,3,0)*VLOOKUP('Données projet'!$B$12,Paramètres!$A$1:$I$89,5,0)</f>
        <v>245.7031200000001</v>
      </c>
      <c r="CA74" s="14">
        <f t="shared" si="93"/>
        <v>59.664902329356607</v>
      </c>
      <c r="CB74" s="22">
        <f t="shared" si="64"/>
        <v>531.84930555696292</v>
      </c>
      <c r="CC74" s="62">
        <f t="shared" si="65"/>
        <v>804.54333013117366</v>
      </c>
      <c r="CD74" s="62">
        <f ca="1">AVERAGE(OFFSET($CC$3,0,0,'Données projet'!$E$12+1,1))-AVERAGE(OFFSET($H$3,0,0,'Données projet'!$E$12+1,1))</f>
        <v>451.95887041951761</v>
      </c>
      <c r="CE74" s="62">
        <f t="shared" si="94"/>
        <v>311.32964503257341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28.01310185635873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28.01310185635873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64.371097611148386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64.371097611148386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64.371097611148386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64.371097611148386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64.371097611148386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64.371097611148386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3.9000000000000004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10.243584000000009</v>
      </c>
      <c r="D75" s="12">
        <f t="shared" si="86"/>
        <v>3.6007037662480661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29.110909802523938</v>
      </c>
      <c r="H75" s="70">
        <f t="shared" si="56"/>
        <v>223.57880119288205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64.468746483254478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-1.3596945791505279E-13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251.99201350544561</v>
      </c>
      <c r="T75" s="62">
        <f t="shared" si="88"/>
        <v>366.66533117979162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 t="e">
        <f>EXP(-LN(2)/35)*Z74+(1-EXP(-LN(2)/35))/(LN(2)/35)*V75*W75*VLOOKUP('Données projet'!$B$9,Paramètres!$A$1:$I$89,3,0)*0.475*44/12</f>
        <v>#VALUE!</v>
      </c>
      <c r="AA75" s="23" t="e">
        <f>EXP(-LN(2)/25)*AA74+(1-EXP(-LN(2)/25))/(LN(2)/25)*Calculateur!V75*Calculateur!X75*VLOOKUP('Données projet'!$B$9,Paramètres!$A$1:$I$89,3,0)*0.475*44/12</f>
        <v>#VALUE!</v>
      </c>
      <c r="AB75" s="23" t="e">
        <f>EXP(-LN(2)/2)*AB74+(1-EXP(-LN(2)/2))/(LN(2)/2)*V75*Y75*VLOOKUP('Données projet'!$B$9,Paramètres!$A$1:$I$89,3,0)*0.475*44/12</f>
        <v>#VALUE!</v>
      </c>
      <c r="AC75" s="24" t="e">
        <f t="shared" si="57"/>
        <v>#VALUE!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64.468746483254478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149.52545095126411</v>
      </c>
      <c r="AO75" s="62">
        <f t="shared" si="90"/>
        <v>457.9161829331029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21.177846095196024</v>
      </c>
      <c r="AV75" s="23">
        <f>EXP(-LN(2)/25)*AV74+(1-EXP(-LN(2)/25))/(LN(2)/25)*Calculateur!AQ75*Calculateur!AS75*VLOOKUP('Données projet'!$B$10,Paramètres!$A$1:$I$89,3,0)*0.475*44/12</f>
        <v>6.0963657160580995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27.274211811254123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64.468746483254478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6.6</v>
      </c>
      <c r="BD75" s="13">
        <f>IF('Données projet'!$A$88&gt;35,BD74+BC75-BL74,IF(A75&lt;'Données projet'!$A$88,$BA$205^A75,IF(A75='Données projet'!$A$88,'Données projet'!$B$88,BD74+BC75-BL74)))</f>
        <v>214.1999999999999</v>
      </c>
      <c r="BE75" s="14">
        <f>BD75*VLOOKUP('Données projet'!$B$11,Paramètres!$A$1:$I$89,3,0)*VLOOKUP('Données projet'!$B$11,Paramètres!$A$1:$I$89,5,0)</f>
        <v>217.19879999999989</v>
      </c>
      <c r="BF75" s="14">
        <f t="shared" si="91"/>
        <v>53.505605420483995</v>
      </c>
      <c r="BG75" s="22">
        <f t="shared" si="61"/>
        <v>471.47683944067609</v>
      </c>
      <c r="BH75" s="62">
        <f t="shared" si="62"/>
        <v>744.52890987927583</v>
      </c>
      <c r="BI75" s="62">
        <f ca="1">AVERAGE(OFFSET($BH$3,0,0,'Données projet'!$E$11+1,1))-AVERAGE(OFFSET($H$3,0,0,'Données projet'!$E$11+1,1))</f>
        <v>408.82357969905803</v>
      </c>
      <c r="BJ75" s="62">
        <f t="shared" si="92"/>
        <v>263.2013060831145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21.82545642355802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21.82545642355802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64.468746483254478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7.2</v>
      </c>
      <c r="BY75" s="13">
        <f>IF('Données projet'!$A$114&gt;35,BY74+BX75-CG74,IF(A75&lt;'Données projet'!$A$114,$BV$205^A75,IF(A75='Données projet'!$A$114,'Données projet'!$B$114,BY74+BX75-CG74)))</f>
        <v>265.40000000000009</v>
      </c>
      <c r="BZ75" s="14">
        <f>BY75*VLOOKUP('Données projet'!$B$12,Paramètres!$A$1:$I$89,3,0)*VLOOKUP('Données projet'!$B$12,Paramètres!$A$1:$I$89,5,0)</f>
        <v>252.55464000000012</v>
      </c>
      <c r="CA75" s="14">
        <f t="shared" si="93"/>
        <v>61.132654455470124</v>
      </c>
      <c r="CB75" s="22">
        <f t="shared" si="64"/>
        <v>546.33870450994402</v>
      </c>
      <c r="CC75" s="62">
        <f t="shared" si="65"/>
        <v>819.39077494854382</v>
      </c>
      <c r="CD75" s="62">
        <f ca="1">AVERAGE(OFFSET($CC$3,0,0,'Données projet'!$E$12+1,1))-AVERAGE(OFFSET($H$3,0,0,'Données projet'!$E$12+1,1))</f>
        <v>451.95887041951761</v>
      </c>
      <c r="CE75" s="62">
        <f t="shared" si="94"/>
        <v>311.32964503257341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27.463782015260534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27.463782015260534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64.468746483254478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64.468746483254478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64.468746483254478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64.468746483254478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64.468746483254478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64.468746483254478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3.9000000000000004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10.385856000000009</v>
      </c>
      <c r="D76" s="12">
        <f t="shared" si="86"/>
        <v>3.6448568671458421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29.341161155211719</v>
      </c>
      <c r="H76" s="70">
        <f t="shared" si="56"/>
        <v>223.9034915769457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64.564701365739722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-1.3596945791505279E-13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251.99201350544561</v>
      </c>
      <c r="T76" s="62">
        <f t="shared" si="88"/>
        <v>366.66533117979162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 t="e">
        <f>EXP(-LN(2)/35)*Z75+(1-EXP(-LN(2)/35))/(LN(2)/35)*V76*W76*VLOOKUP('Données projet'!$B$9,Paramètres!$A$1:$I$89,3,0)*0.475*44/12</f>
        <v>#VALUE!</v>
      </c>
      <c r="AA76" s="23" t="e">
        <f>EXP(-LN(2)/25)*AA75+(1-EXP(-LN(2)/25))/(LN(2)/25)*Calculateur!V76*Calculateur!X76*VLOOKUP('Données projet'!$B$9,Paramètres!$A$1:$I$89,3,0)*0.475*44/12</f>
        <v>#VALUE!</v>
      </c>
      <c r="AB76" s="23" t="e">
        <f>EXP(-LN(2)/2)*AB75+(1-EXP(-LN(2)/2))/(LN(2)/2)*V76*Y76*VLOOKUP('Données projet'!$B$9,Paramètres!$A$1:$I$89,3,0)*0.475*44/12</f>
        <v>#VALUE!</v>
      </c>
      <c r="AC76" s="24" t="e">
        <f t="shared" si="57"/>
        <v>#VALUE!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64.564701365739722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149.52545095126411</v>
      </c>
      <c r="AO76" s="62">
        <f t="shared" si="90"/>
        <v>457.9161829331029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20.762561450479879</v>
      </c>
      <c r="AV76" s="23">
        <f>EXP(-LN(2)/25)*AV75+(1-EXP(-LN(2)/25))/(LN(2)/25)*Calculateur!AQ76*Calculateur!AS76*VLOOKUP('Données projet'!$B$10,Paramètres!$A$1:$I$89,3,0)*0.475*44/12</f>
        <v>5.9296602749585512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26.692221725438429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64.564701365739722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6.6</v>
      </c>
      <c r="BD76" s="13">
        <f>IF('Données projet'!$A$88&gt;35,BD75+BC76-BL75,IF(A76&lt;'Données projet'!$A$88,$BA$205^A76,IF(A76='Données projet'!$A$88,'Données projet'!$B$88,BD75+BC76-BL75)))</f>
        <v>220.7999999999999</v>
      </c>
      <c r="BE76" s="14">
        <f>BD76*VLOOKUP('Données projet'!$B$11,Paramètres!$A$1:$I$89,3,0)*VLOOKUP('Données projet'!$B$11,Paramètres!$A$1:$I$89,5,0)</f>
        <v>223.89119999999988</v>
      </c>
      <c r="BF76" s="14">
        <f t="shared" si="91"/>
        <v>54.95975389514858</v>
      </c>
      <c r="BG76" s="22">
        <f t="shared" si="61"/>
        <v>485.66541136738351</v>
      </c>
      <c r="BH76" s="62">
        <f t="shared" si="62"/>
        <v>759.06931637509592</v>
      </c>
      <c r="BI76" s="62">
        <f ca="1">AVERAGE(OFFSET($BH$3,0,0,'Données projet'!$E$11+1,1))-AVERAGE(OFFSET($H$3,0,0,'Données projet'!$E$11+1,1))</f>
        <v>408.82357969905803</v>
      </c>
      <c r="BJ76" s="62">
        <f t="shared" si="92"/>
        <v>263.2013060831145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21.397472535305994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21.397472535305994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64.564701365739722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7.2</v>
      </c>
      <c r="BY76" s="13">
        <f>IF('Données projet'!$A$114&gt;35,BY75+BX76-CG75,IF(A76&lt;'Données projet'!$A$114,$BV$205^A76,IF(A76='Données projet'!$A$114,'Données projet'!$B$114,BY75+BX76-CG75)))</f>
        <v>272.60000000000008</v>
      </c>
      <c r="BZ76" s="14">
        <f>BY76*VLOOKUP('Données projet'!$B$12,Paramètres!$A$1:$I$89,3,0)*VLOOKUP('Données projet'!$B$12,Paramètres!$A$1:$I$89,5,0)</f>
        <v>259.40616000000011</v>
      </c>
      <c r="CA76" s="14">
        <f t="shared" si="93"/>
        <v>62.595778424976423</v>
      </c>
      <c r="CB76" s="22">
        <f t="shared" si="64"/>
        <v>560.82004275683403</v>
      </c>
      <c r="CC76" s="62">
        <f t="shared" si="65"/>
        <v>834.22394776454644</v>
      </c>
      <c r="CD76" s="62">
        <f ca="1">AVERAGE(OFFSET($CC$3,0,0,'Données projet'!$E$12+1,1))-AVERAGE(OFFSET($H$3,0,0,'Données projet'!$E$12+1,1))</f>
        <v>451.95887041951761</v>
      </c>
      <c r="CE76" s="62">
        <f t="shared" si="94"/>
        <v>311.32964503257341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26.925234001194255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26.925234001194255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64.564701365739722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64.564701365739722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64.564701365739722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64.564701365739722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64.564701365739722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64.564701365739722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3.9000000000000004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10.528128000000009</v>
      </c>
      <c r="D77" s="12">
        <f t="shared" si="86"/>
        <v>3.6889396187901924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29.571325620400533</v>
      </c>
      <c r="H77" s="70">
        <f t="shared" si="56"/>
        <v>224.2280594360596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64.658991645536815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-1.3596945791505279E-13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251.99201350544561</v>
      </c>
      <c r="T77" s="62">
        <f t="shared" si="88"/>
        <v>366.66533117979162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 t="e">
        <f>EXP(-LN(2)/35)*Z76+(1-EXP(-LN(2)/35))/(LN(2)/35)*V77*W77*VLOOKUP('Données projet'!$B$9,Paramètres!$A$1:$I$89,3,0)*0.475*44/12</f>
        <v>#VALUE!</v>
      </c>
      <c r="AA77" s="23" t="e">
        <f>EXP(-LN(2)/25)*AA76+(1-EXP(-LN(2)/25))/(LN(2)/25)*Calculateur!V77*Calculateur!X77*VLOOKUP('Données projet'!$B$9,Paramètres!$A$1:$I$89,3,0)*0.475*44/12</f>
        <v>#VALUE!</v>
      </c>
      <c r="AB77" s="23" t="e">
        <f>EXP(-LN(2)/2)*AB76+(1-EXP(-LN(2)/2))/(LN(2)/2)*V77*Y77*VLOOKUP('Données projet'!$B$9,Paramètres!$A$1:$I$89,3,0)*0.475*44/12</f>
        <v>#VALUE!</v>
      </c>
      <c r="AC77" s="24" t="e">
        <f t="shared" si="57"/>
        <v>#VALUE!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64.658991645536815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149.52545095126411</v>
      </c>
      <c r="AO77" s="62">
        <f t="shared" si="90"/>
        <v>457.9161829331029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20.355420284347996</v>
      </c>
      <c r="AV77" s="23">
        <f>EXP(-LN(2)/25)*AV76+(1-EXP(-LN(2)/25))/(LN(2)/25)*Calculateur!AQ77*Calculateur!AS77*VLOOKUP('Données projet'!$B$10,Paramètres!$A$1:$I$89,3,0)*0.475*44/12</f>
        <v>5.7675134029125283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26.122933687260524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64.658991645536815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6.6</v>
      </c>
      <c r="BD77" s="13">
        <f>IF('Données projet'!$A$88&gt;35,BD76+BC77-BL76,IF(A77&lt;'Données projet'!$A$88,$BA$205^A77,IF(A77='Données projet'!$A$88,'Données projet'!$B$88,BD76+BC77-BL76)))</f>
        <v>227.39999999999989</v>
      </c>
      <c r="BE77" s="14">
        <f>BD77*VLOOKUP('Données projet'!$B$11,Paramètres!$A$1:$I$89,3,0)*VLOOKUP('Données projet'!$B$11,Paramètres!$A$1:$I$89,5,0)</f>
        <v>230.58359999999993</v>
      </c>
      <c r="BF77" s="14">
        <f t="shared" si="91"/>
        <v>56.408850878327968</v>
      </c>
      <c r="BG77" s="22">
        <f t="shared" si="61"/>
        <v>499.84518527975439</v>
      </c>
      <c r="BH77" s="62">
        <f t="shared" si="62"/>
        <v>773.59482131338939</v>
      </c>
      <c r="BI77" s="62">
        <f ca="1">AVERAGE(OFFSET($BH$3,0,0,'Données projet'!$E$11+1,1))-AVERAGE(OFFSET($H$3,0,0,'Données projet'!$E$11+1,1))</f>
        <v>408.82357969905803</v>
      </c>
      <c r="BJ77" s="62">
        <f t="shared" si="92"/>
        <v>263.2013060831145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20.977881150058195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20.977881150058195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64.658991645536815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7.2</v>
      </c>
      <c r="BY77" s="13">
        <f>IF('Données projet'!$A$114&gt;35,BY76+BX77-CG76,IF(A77&lt;'Données projet'!$A$114,$BV$205^A77,IF(A77='Données projet'!$A$114,'Données projet'!$B$114,BY76+BX77-CG76)))</f>
        <v>279.80000000000007</v>
      </c>
      <c r="BZ77" s="14">
        <f>BY77*VLOOKUP('Données projet'!$B$12,Paramètres!$A$1:$I$89,3,0)*VLOOKUP('Données projet'!$B$12,Paramètres!$A$1:$I$89,5,0)</f>
        <v>266.25768000000005</v>
      </c>
      <c r="CA77" s="14">
        <f t="shared" si="93"/>
        <v>64.054410529549628</v>
      </c>
      <c r="CB77" s="22">
        <f t="shared" si="64"/>
        <v>575.29355767229902</v>
      </c>
      <c r="CC77" s="62">
        <f t="shared" si="65"/>
        <v>849.04319370593407</v>
      </c>
      <c r="CD77" s="62">
        <f ca="1">AVERAGE(OFFSET($CC$3,0,0,'Données projet'!$E$12+1,1))-AVERAGE(OFFSET($H$3,0,0,'Données projet'!$E$12+1,1))</f>
        <v>451.95887041951761</v>
      </c>
      <c r="CE77" s="62">
        <f t="shared" si="94"/>
        <v>311.32964503257341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26.397246585201962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26.397246585201962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64.658991645536815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64.658991645536815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64.658991645536815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64.658991645536815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64.658991645536815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64.658991645536815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3.9000000000000004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10.67040000000001</v>
      </c>
      <c r="D78" s="12">
        <f t="shared" si="86"/>
        <v>3.7329530817348506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29.801404507967266</v>
      </c>
      <c r="H78" s="70">
        <f t="shared" si="56"/>
        <v>224.55250661735488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64.751646199780922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-1.3596945791505279E-13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251.99201350544561</v>
      </c>
      <c r="T78" s="62">
        <f t="shared" si="88"/>
        <v>366.66533117979162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 t="e">
        <f>EXP(-LN(2)/35)*Z77+(1-EXP(-LN(2)/35))/(LN(2)/35)*V78*W78*VLOOKUP('Données projet'!$B$9,Paramètres!$A$1:$I$89,3,0)*0.475*44/12</f>
        <v>#VALUE!</v>
      </c>
      <c r="AA78" s="23" t="e">
        <f>EXP(-LN(2)/25)*AA77+(1-EXP(-LN(2)/25))/(LN(2)/25)*Calculateur!V78*Calculateur!X78*VLOOKUP('Données projet'!$B$9,Paramètres!$A$1:$I$89,3,0)*0.475*44/12</f>
        <v>#VALUE!</v>
      </c>
      <c r="AB78" s="23" t="e">
        <f>EXP(-LN(2)/2)*AB77+(1-EXP(-LN(2)/2))/(LN(2)/2)*V78*Y78*VLOOKUP('Données projet'!$B$9,Paramètres!$A$1:$I$89,3,0)*0.475*44/12</f>
        <v>#VALUE!</v>
      </c>
      <c r="AC78" s="24" t="e">
        <f t="shared" si="57"/>
        <v>#VALUE!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64.751646199780922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149.52545095126411</v>
      </c>
      <c r="AO78" s="62">
        <f t="shared" si="90"/>
        <v>457.9161829331029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19.956262908152368</v>
      </c>
      <c r="AV78" s="23">
        <f>EXP(-LN(2)/25)*AV77+(1-EXP(-LN(2)/25))/(LN(2)/25)*Calculateur!AQ78*Calculateur!AS78*VLOOKUP('Données projet'!$B$10,Paramètres!$A$1:$I$89,3,0)*0.475*44/12</f>
        <v>5.6098004456095376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25.566063353761905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64.751646199780922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234</v>
      </c>
      <c r="BB78" s="13">
        <f>VLOOKUP(A78,'Données projet'!$A$87:$I$107,9,0)</f>
        <v>6.6</v>
      </c>
      <c r="BC78" s="13">
        <f t="array" ref="BC78">INDEX(BB:BB,MIN(IF(ISNUMBER(BB78:BB274),ROW(BB78:BB274),"")))</f>
        <v>6.6</v>
      </c>
      <c r="BD78" s="13">
        <f>IF('Données projet'!$A$88&gt;35,BD77+BC78-BL77,IF(A78&lt;'Données projet'!$A$88,$BA$205^A78,IF(A78='Données projet'!$A$88,'Données projet'!$B$88,BD77+BC78-BL77)))</f>
        <v>233.99999999999989</v>
      </c>
      <c r="BE78" s="14">
        <f>BD78*VLOOKUP('Données projet'!$B$11,Paramètres!$A$1:$I$89,3,0)*VLOOKUP('Données projet'!$B$11,Paramètres!$A$1:$I$89,5,0)</f>
        <v>237.2759999999999</v>
      </c>
      <c r="BF78" s="14">
        <f t="shared" si="91"/>
        <v>57.853059819349511</v>
      </c>
      <c r="BG78" s="22">
        <f t="shared" si="61"/>
        <v>514.0164458520336</v>
      </c>
      <c r="BH78" s="62">
        <f t="shared" si="62"/>
        <v>788.1058152512303</v>
      </c>
      <c r="BI78" s="62">
        <f ca="1">AVERAGE(OFFSET($BH$3,0,0,'Données projet'!$E$11+1,1))-AVERAGE(OFFSET($H$3,0,0,'Données projet'!$E$11+1,1))</f>
        <v>408.82357969905803</v>
      </c>
      <c r="BJ78" s="62">
        <f t="shared" si="92"/>
        <v>263.2013060831145</v>
      </c>
      <c r="BK78" s="16">
        <f>IF(ISNA(VLOOKUP(A78,'Données projet'!$A$87:$I$107,3,0)),0,VLOOKUP(A78,'Données projet'!$A$87:$I$107,3,0))</f>
        <v>13</v>
      </c>
      <c r="BL78" s="16">
        <f>IF(ISNA(VLOOKUP(A78,'Données projet'!$A$87:$I$107,4,0)),0,VLOOKUP(A78,'Données projet'!$A$87:$I$107,4,0))</f>
        <v>22</v>
      </c>
      <c r="BM78" s="17">
        <f>IF(ISNA(VLOOKUP(A78,'Données projet'!$A$87:$I$107,5,0)),0%,VLOOKUP(A78,'Données projet'!$A$87:$I$107,5,0)*VLOOKUP('Données projet'!$B$11,Paramètres!$A$1:$I$89,7,0))</f>
        <v>0.25800000000000001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26.929012668417862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26.929012668417862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64.751646199780922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287</v>
      </c>
      <c r="BW78" s="13">
        <f>VLOOKUP(A78,'Données projet'!$A$113:$I$133,9,0)</f>
        <v>7.2</v>
      </c>
      <c r="BX78" s="13">
        <f t="array" ref="BX78">INDEX(BW:BW,MIN(IF(ISNUMBER(BW78:BW274),ROW(BW78:BW274),"")))</f>
        <v>7.2</v>
      </c>
      <c r="BY78" s="13">
        <f>IF('Données projet'!$A$114&gt;35,BY77+BX78-CG77,IF(A78&lt;'Données projet'!$A$114,$BV$205^A78,IF(A78='Données projet'!$A$114,'Données projet'!$B$114,BY77+BX78-CG77)))</f>
        <v>287.00000000000006</v>
      </c>
      <c r="BZ78" s="14">
        <f>BY78*VLOOKUP('Données projet'!$B$12,Paramètres!$A$1:$I$89,3,0)*VLOOKUP('Données projet'!$B$12,Paramètres!$A$1:$I$89,5,0)</f>
        <v>273.10920000000004</v>
      </c>
      <c r="CA78" s="14">
        <f t="shared" si="93"/>
        <v>65.508679646972269</v>
      </c>
      <c r="CB78" s="22">
        <f t="shared" si="64"/>
        <v>589.75947371847678</v>
      </c>
      <c r="CC78" s="62">
        <f t="shared" si="65"/>
        <v>863.84884311767348</v>
      </c>
      <c r="CD78" s="62">
        <f ca="1">AVERAGE(OFFSET($CC$3,0,0,'Données projet'!$E$12+1,1))-AVERAGE(OFFSET($H$3,0,0,'Données projet'!$E$12+1,1))</f>
        <v>451.95887041951761</v>
      </c>
      <c r="CE78" s="62">
        <f t="shared" si="94"/>
        <v>311.32964503257341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31</v>
      </c>
      <c r="CH78" s="17">
        <f>IF(ISNA(VLOOKUP(A78,'Données projet'!$A$113:$I$133,5,0)),0%,VLOOKUP(A78,'Données projet'!$A$113:$I$133,5,0)*VLOOKUP('Données projet'!$B$12,Paramètres!$A$1:$I$89,7,0))</f>
        <v>0.25800000000000001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34.293233654478868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34.293233654478868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64.751646199780922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64.751646199780922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64.751646199780922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64.751646199780922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64.751646199780922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64.751646199780922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3.9000000000000004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10.81267200000001</v>
      </c>
      <c r="D79" s="12">
        <f t="shared" si="86"/>
        <v>3.7768982866267065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30.031399090851249</v>
      </c>
      <c r="H79" s="70">
        <f t="shared" si="56"/>
        <v>224.87683491587487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64.842693404653431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-1.3596945791505279E-13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251.99201350544561</v>
      </c>
      <c r="T79" s="62">
        <f t="shared" si="88"/>
        <v>366.66533117979162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 t="e">
        <f>EXP(-LN(2)/35)*Z78+(1-EXP(-LN(2)/35))/(LN(2)/35)*V79*W79*VLOOKUP('Données projet'!$B$9,Paramètres!$A$1:$I$89,3,0)*0.475*44/12</f>
        <v>#VALUE!</v>
      </c>
      <c r="AA79" s="23" t="e">
        <f>EXP(-LN(2)/25)*AA78+(1-EXP(-LN(2)/25))/(LN(2)/25)*Calculateur!V79*Calculateur!X79*VLOOKUP('Données projet'!$B$9,Paramètres!$A$1:$I$89,3,0)*0.475*44/12</f>
        <v>#VALUE!</v>
      </c>
      <c r="AB79" s="23" t="e">
        <f>EXP(-LN(2)/2)*AB78+(1-EXP(-LN(2)/2))/(LN(2)/2)*V79*Y79*VLOOKUP('Données projet'!$B$9,Paramètres!$A$1:$I$89,3,0)*0.475*44/12</f>
        <v>#VALUE!</v>
      </c>
      <c r="AC79" s="24" t="e">
        <f t="shared" si="57"/>
        <v>#VALUE!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64.842693404653431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149.52545095126411</v>
      </c>
      <c r="AO79" s="62">
        <f t="shared" si="90"/>
        <v>457.9161829331029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19.564932764641977</v>
      </c>
      <c r="AV79" s="23">
        <f>EXP(-LN(2)/25)*AV78+(1-EXP(-LN(2)/25))/(LN(2)/25)*Calculateur!AQ79*Calculateur!AS79*VLOOKUP('Données projet'!$B$10,Paramètres!$A$1:$I$89,3,0)*0.475*44/12</f>
        <v>5.456400157417761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25.021332922059738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64.842693404653431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6.2</v>
      </c>
      <c r="BD79" s="13">
        <f>IF('Données projet'!$A$88&gt;35,BD78+BC79-BL78,IF(A79&lt;'Données projet'!$A$88,$BA$205^A79,IF(A79='Données projet'!$A$88,'Données projet'!$B$88,BD78+BC79-BL78)))</f>
        <v>218.19999999999987</v>
      </c>
      <c r="BE79" s="14">
        <f>BD79*VLOOKUP('Données projet'!$B$11,Paramètres!$A$1:$I$89,3,0)*VLOOKUP('Données projet'!$B$11,Paramètres!$A$1:$I$89,5,0)</f>
        <v>221.2547999999999</v>
      </c>
      <c r="BF79" s="14">
        <f t="shared" si="91"/>
        <v>54.387519961078311</v>
      </c>
      <c r="BG79" s="22">
        <f t="shared" si="61"/>
        <v>480.07704059887783</v>
      </c>
      <c r="BH79" s="62">
        <f t="shared" si="62"/>
        <v>754.50024974927373</v>
      </c>
      <c r="BI79" s="62">
        <f ca="1">AVERAGE(OFFSET($BH$3,0,0,'Données projet'!$E$11+1,1))-AVERAGE(OFFSET($H$3,0,0,'Données projet'!$E$11+1,1))</f>
        <v>408.82357969905803</v>
      </c>
      <c r="BJ79" s="62">
        <f t="shared" si="92"/>
        <v>263.2013060831145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26.400951155066075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26.400951155066075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64.842693404653431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7.4</v>
      </c>
      <c r="BY79" s="13">
        <f>IF('Données projet'!$A$114&gt;35,BY78+BX79-CG78,IF(A79&lt;'Données projet'!$A$114,$BV$205^A79,IF(A79='Données projet'!$A$114,'Données projet'!$B$114,BY78+BX79-CG78)))</f>
        <v>263.40000000000003</v>
      </c>
      <c r="BZ79" s="14">
        <f>BY79*VLOOKUP('Données projet'!$B$12,Paramètres!$A$1:$I$89,3,0)*VLOOKUP('Données projet'!$B$12,Paramètres!$A$1:$I$89,5,0)</f>
        <v>250.65144000000001</v>
      </c>
      <c r="CA79" s="14">
        <f t="shared" si="93"/>
        <v>60.725415788925126</v>
      </c>
      <c r="CB79" s="22">
        <f t="shared" si="64"/>
        <v>542.31469049904456</v>
      </c>
      <c r="CC79" s="62">
        <f t="shared" si="65"/>
        <v>816.73789964944046</v>
      </c>
      <c r="CD79" s="62">
        <f ca="1">AVERAGE(OFFSET($CC$3,0,0,'Données projet'!$E$12+1,1))-AVERAGE(OFFSET($H$3,0,0,'Données projet'!$E$12+1,1))</f>
        <v>451.95887041951761</v>
      </c>
      <c r="CE79" s="62">
        <f t="shared" si="94"/>
        <v>311.32964503257341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33.620764259321703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33.620764259321703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64.842693404653431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64.842693404653431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64.842693404653431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64.842693404653431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64.842693404653431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64.842693404653431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3.9000000000000004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10.95494400000001</v>
      </c>
      <c r="D80" s="12">
        <f t="shared" si="86"/>
        <v>3.8207762354313544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30.261310606567861</v>
      </c>
      <c r="H80" s="70">
        <f t="shared" si="56"/>
        <v>225.20104607670962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64.932161144072481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-1.3596945791505279E-13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251.99201350544561</v>
      </c>
      <c r="T80" s="62">
        <f t="shared" si="88"/>
        <v>366.66533117979162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 t="e">
        <f>EXP(-LN(2)/35)*Z79+(1-EXP(-LN(2)/35))/(LN(2)/35)*V80*W80*VLOOKUP('Données projet'!$B$9,Paramètres!$A$1:$I$89,3,0)*0.475*44/12</f>
        <v>#VALUE!</v>
      </c>
      <c r="AA80" s="23" t="e">
        <f>EXP(-LN(2)/25)*AA79+(1-EXP(-LN(2)/25))/(LN(2)/25)*Calculateur!V80*Calculateur!X80*VLOOKUP('Données projet'!$B$9,Paramètres!$A$1:$I$89,3,0)*0.475*44/12</f>
        <v>#VALUE!</v>
      </c>
      <c r="AB80" s="23" t="e">
        <f>EXP(-LN(2)/2)*AB79+(1-EXP(-LN(2)/2))/(LN(2)/2)*V80*Y80*VLOOKUP('Données projet'!$B$9,Paramètres!$A$1:$I$89,3,0)*0.475*44/12</f>
        <v>#VALUE!</v>
      </c>
      <c r="AC80" s="24" t="e">
        <f t="shared" si="57"/>
        <v>#VALUE!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64.932161144072481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149.52545095126411</v>
      </c>
      <c r="AO80" s="62">
        <f t="shared" si="90"/>
        <v>457.9161829331029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19.181276366558006</v>
      </c>
      <c r="AV80" s="23">
        <f>EXP(-LN(2)/25)*AV79+(1-EXP(-LN(2)/25))/(LN(2)/25)*Calculateur!AQ80*Calculateur!AS80*VLOOKUP('Données projet'!$B$10,Paramètres!$A$1:$I$89,3,0)*0.475*44/12</f>
        <v>5.3071946081735586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24.488470974731563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64.932161144072481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6.2</v>
      </c>
      <c r="BD80" s="13">
        <f>IF('Données projet'!$A$88&gt;35,BD79+BC80-BL79,IF(A80&lt;'Données projet'!$A$88,$BA$205^A80,IF(A80='Données projet'!$A$88,'Données projet'!$B$88,BD79+BC80-BL79)))</f>
        <v>224.39999999999986</v>
      </c>
      <c r="BE80" s="14">
        <f>BD80*VLOOKUP('Données projet'!$B$11,Paramètres!$A$1:$I$89,3,0)*VLOOKUP('Données projet'!$B$11,Paramètres!$A$1:$I$89,5,0)</f>
        <v>227.5415999999999</v>
      </c>
      <c r="BF80" s="14">
        <f t="shared" si="91"/>
        <v>55.750785974779468</v>
      </c>
      <c r="BG80" s="22">
        <f t="shared" si="61"/>
        <v>493.40090557274078</v>
      </c>
      <c r="BH80" s="62">
        <f t="shared" si="62"/>
        <v>768.15216310100652</v>
      </c>
      <c r="BI80" s="62">
        <f ca="1">AVERAGE(OFFSET($BH$3,0,0,'Données projet'!$E$11+1,1))-AVERAGE(OFFSET($H$3,0,0,'Données projet'!$E$11+1,1))</f>
        <v>408.82357969905803</v>
      </c>
      <c r="BJ80" s="62">
        <f t="shared" si="92"/>
        <v>263.2013060831145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25.883244605905396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25.883244605905396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64.932161144072481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7.4</v>
      </c>
      <c r="BY80" s="13">
        <f>IF('Données projet'!$A$114&gt;35,BY79+BX80-CG79,IF(A80&lt;'Données projet'!$A$114,$BV$205^A80,IF(A80='Données projet'!$A$114,'Données projet'!$B$114,BY79+BX80-CG79)))</f>
        <v>270.8</v>
      </c>
      <c r="BZ80" s="14">
        <f>BY80*VLOOKUP('Données projet'!$B$12,Paramètres!$A$1:$I$89,3,0)*VLOOKUP('Données projet'!$B$12,Paramètres!$A$1:$I$89,5,0)</f>
        <v>257.69328000000002</v>
      </c>
      <c r="CA80" s="14">
        <f t="shared" si="93"/>
        <v>62.230423737412906</v>
      </c>
      <c r="CB80" s="22">
        <f t="shared" si="64"/>
        <v>557.20045067599415</v>
      </c>
      <c r="CC80" s="62">
        <f t="shared" si="65"/>
        <v>831.95170820425983</v>
      </c>
      <c r="CD80" s="62">
        <f ca="1">AVERAGE(OFFSET($CC$3,0,0,'Données projet'!$E$12+1,1))-AVERAGE(OFFSET($H$3,0,0,'Données projet'!$E$12+1,1))</f>
        <v>451.95887041951761</v>
      </c>
      <c r="CE80" s="62">
        <f t="shared" si="94"/>
        <v>311.32964503257341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32.961481578837741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32.961481578837741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64.932161144072481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64.932161144072481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64.932161144072481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64.932161144072481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64.932161144072481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64.932161144072481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3.9000000000000004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11.09721600000001</v>
      </c>
      <c r="D81" s="12">
        <f t="shared" si="86"/>
        <v>3.8645879025931458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30.491140258641376</v>
      </c>
      <c r="H81" s="70">
        <f t="shared" si="56"/>
        <v>225.5251417970164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65.020076818232482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-1.3596945791505279E-13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251.99201350544561</v>
      </c>
      <c r="T81" s="62">
        <f t="shared" si="88"/>
        <v>366.66533117979162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 t="e">
        <f>EXP(-LN(2)/35)*Z80+(1-EXP(-LN(2)/35))/(LN(2)/35)*V81*W81*VLOOKUP('Données projet'!$B$9,Paramètres!$A$1:$I$89,3,0)*0.475*44/12</f>
        <v>#VALUE!</v>
      </c>
      <c r="AA81" s="23" t="e">
        <f>EXP(-LN(2)/25)*AA80+(1-EXP(-LN(2)/25))/(LN(2)/25)*Calculateur!V81*Calculateur!X81*VLOOKUP('Données projet'!$B$9,Paramètres!$A$1:$I$89,3,0)*0.475*44/12</f>
        <v>#VALUE!</v>
      </c>
      <c r="AB81" s="23" t="e">
        <f>EXP(-LN(2)/2)*AB80+(1-EXP(-LN(2)/2))/(LN(2)/2)*V81*Y81*VLOOKUP('Données projet'!$B$9,Paramètres!$A$1:$I$89,3,0)*0.475*44/12</f>
        <v>#VALUE!</v>
      </c>
      <c r="AC81" s="24" t="e">
        <f t="shared" si="57"/>
        <v>#VALUE!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65.020076818232482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149.52545095126411</v>
      </c>
      <c r="AO81" s="62">
        <f t="shared" si="90"/>
        <v>457.9161829331029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18.805143236433164</v>
      </c>
      <c r="AV81" s="23">
        <f>EXP(-LN(2)/25)*AV80+(1-EXP(-LN(2)/25))/(LN(2)/25)*Calculateur!AQ81*Calculateur!AS81*VLOOKUP('Données projet'!$B$10,Paramètres!$A$1:$I$89,3,0)*0.475*44/12</f>
        <v>5.1620690925198183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23.967212328952982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65.020076818232482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6.2</v>
      </c>
      <c r="BD81" s="13">
        <f>IF('Données projet'!$A$88&gt;35,BD80+BC81-BL80,IF(A81&lt;'Données projet'!$A$88,$BA$205^A81,IF(A81='Données projet'!$A$88,'Données projet'!$B$88,BD80+BC81-BL80)))</f>
        <v>230.59999999999985</v>
      </c>
      <c r="BE81" s="14">
        <f>BD81*VLOOKUP('Données projet'!$B$11,Paramètres!$A$1:$I$89,3,0)*VLOOKUP('Données projet'!$B$11,Paramètres!$A$1:$I$89,5,0)</f>
        <v>233.82839999999985</v>
      </c>
      <c r="BF81" s="14">
        <f t="shared" si="91"/>
        <v>57.109674120619815</v>
      </c>
      <c r="BG81" s="22">
        <f t="shared" si="61"/>
        <v>506.71714576007918</v>
      </c>
      <c r="BH81" s="62">
        <f t="shared" si="62"/>
        <v>781.7907607602649</v>
      </c>
      <c r="BI81" s="62">
        <f ca="1">AVERAGE(OFFSET($BH$3,0,0,'Données projet'!$E$11+1,1))-AVERAGE(OFFSET($H$3,0,0,'Données projet'!$E$11+1,1))</f>
        <v>408.82357969905803</v>
      </c>
      <c r="BJ81" s="62">
        <f t="shared" si="92"/>
        <v>263.2013060831145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25.375689966403943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25.375689966403943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65.020076818232482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7.4</v>
      </c>
      <c r="BY81" s="13">
        <f>IF('Données projet'!$A$114&gt;35,BY80+BX81-CG80,IF(A81&lt;'Données projet'!$A$114,$BV$205^A81,IF(A81='Données projet'!$A$114,'Données projet'!$B$114,BY80+BX81-CG80)))</f>
        <v>278.2</v>
      </c>
      <c r="BZ81" s="14">
        <f>BY81*VLOOKUP('Données projet'!$B$12,Paramètres!$A$1:$I$89,3,0)*VLOOKUP('Données projet'!$B$12,Paramètres!$A$1:$I$89,5,0)</f>
        <v>264.73511999999999</v>
      </c>
      <c r="CA81" s="14">
        <f t="shared" si="93"/>
        <v>63.730651536894079</v>
      </c>
      <c r="CB81" s="22">
        <f t="shared" si="64"/>
        <v>572.07788542675723</v>
      </c>
      <c r="CC81" s="62">
        <f t="shared" si="65"/>
        <v>847.15150042694302</v>
      </c>
      <c r="CD81" s="62">
        <f ca="1">AVERAGE(OFFSET($CC$3,0,0,'Données projet'!$E$12+1,1))-AVERAGE(OFFSET($H$3,0,0,'Données projet'!$E$12+1,1))</f>
        <v>451.95887041951761</v>
      </c>
      <c r="CE81" s="62">
        <f t="shared" si="94"/>
        <v>311.32964503257341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32.315127029595338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32.315127029595338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65.020076818232482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65.020076818232482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65.020076818232482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65.020076818232482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65.020076818232482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65.020076818232482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3.9000000000000004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11.23948800000001</v>
      </c>
      <c r="D82" s="12">
        <f t="shared" si="86"/>
        <v>3.90833423613407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30.720889217962096</v>
      </c>
      <c r="H82" s="70">
        <f t="shared" si="56"/>
        <v>225.84912372793352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65.106467351995832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-1.3596945791505279E-13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251.99201350544561</v>
      </c>
      <c r="T82" s="62">
        <f t="shared" si="88"/>
        <v>366.66533117979162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 t="e">
        <f>EXP(-LN(2)/35)*Z81+(1-EXP(-LN(2)/35))/(LN(2)/35)*V82*W82*VLOOKUP('Données projet'!$B$9,Paramètres!$A$1:$I$89,3,0)*0.475*44/12</f>
        <v>#VALUE!</v>
      </c>
      <c r="AA82" s="23" t="e">
        <f>EXP(-LN(2)/25)*AA81+(1-EXP(-LN(2)/25))/(LN(2)/25)*Calculateur!V82*Calculateur!X82*VLOOKUP('Données projet'!$B$9,Paramètres!$A$1:$I$89,3,0)*0.475*44/12</f>
        <v>#VALUE!</v>
      </c>
      <c r="AB82" s="23" t="e">
        <f>EXP(-LN(2)/2)*AB81+(1-EXP(-LN(2)/2))/(LN(2)/2)*V82*Y82*VLOOKUP('Données projet'!$B$9,Paramètres!$A$1:$I$89,3,0)*0.475*44/12</f>
        <v>#VALUE!</v>
      </c>
      <c r="AC82" s="24" t="e">
        <f t="shared" si="57"/>
        <v>#VALUE!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65.106467351995832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149.52545095126411</v>
      </c>
      <c r="AO82" s="62">
        <f t="shared" si="90"/>
        <v>457.9161829331029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18.436385847571515</v>
      </c>
      <c r="AV82" s="23">
        <f>EXP(-LN(2)/25)*AV81+(1-EXP(-LN(2)/25))/(LN(2)/25)*Calculateur!AQ82*Calculateur!AS82*VLOOKUP('Données projet'!$B$10,Paramètres!$A$1:$I$89,3,0)*0.475*44/12</f>
        <v>5.0209120417234487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23.457297889294964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65.106467351995832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6.2</v>
      </c>
      <c r="BD82" s="13">
        <f>IF('Données projet'!$A$88&gt;35,BD81+BC82-BL81,IF(A82&lt;'Données projet'!$A$88,$BA$205^A82,IF(A82='Données projet'!$A$88,'Données projet'!$B$88,BD81+BC82-BL81)))</f>
        <v>236.79999999999984</v>
      </c>
      <c r="BE82" s="14">
        <f>BD82*VLOOKUP('Données projet'!$B$11,Paramètres!$A$1:$I$89,3,0)*VLOOKUP('Données projet'!$B$11,Paramètres!$A$1:$I$89,5,0)</f>
        <v>240.11519999999985</v>
      </c>
      <c r="BF82" s="14">
        <f t="shared" si="91"/>
        <v>58.464315631105265</v>
      </c>
      <c r="BG82" s="22">
        <f t="shared" si="61"/>
        <v>520.02598972417468</v>
      </c>
      <c r="BH82" s="62">
        <f t="shared" si="62"/>
        <v>795.41637001482604</v>
      </c>
      <c r="BI82" s="62">
        <f ca="1">AVERAGE(OFFSET($BH$3,0,0,'Données projet'!$E$11+1,1))-AVERAGE(OFFSET($H$3,0,0,'Données projet'!$E$11+1,1))</f>
        <v>408.82357969905803</v>
      </c>
      <c r="BJ82" s="62">
        <f t="shared" si="92"/>
        <v>263.2013060831145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24.878088163805351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24.878088163805351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65.106467351995832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7.4</v>
      </c>
      <c r="BY82" s="13">
        <f>IF('Données projet'!$A$114&gt;35,BY81+BX82-CG81,IF(A82&lt;'Données projet'!$A$114,$BV$205^A82,IF(A82='Données projet'!$A$114,'Données projet'!$B$114,BY81+BX82-CG81)))</f>
        <v>285.59999999999997</v>
      </c>
      <c r="BZ82" s="14">
        <f>BY82*VLOOKUP('Données projet'!$B$12,Paramètres!$A$1:$I$89,3,0)*VLOOKUP('Données projet'!$B$12,Paramètres!$A$1:$I$89,5,0)</f>
        <v>271.77695999999997</v>
      </c>
      <c r="CA82" s="14">
        <f t="shared" si="93"/>
        <v>65.226240951838292</v>
      </c>
      <c r="CB82" s="22">
        <f t="shared" si="64"/>
        <v>586.94724165778496</v>
      </c>
      <c r="CC82" s="62">
        <f t="shared" si="65"/>
        <v>862.33762194843632</v>
      </c>
      <c r="CD82" s="62">
        <f ca="1">AVERAGE(OFFSET($CC$3,0,0,'Données projet'!$E$12+1,1))-AVERAGE(OFFSET($H$3,0,0,'Données projet'!$E$12+1,1))</f>
        <v>451.95887041951761</v>
      </c>
      <c r="CE82" s="62">
        <f t="shared" si="94"/>
        <v>311.32964503257341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31.681447098826233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31.681447098826233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65.106467351995832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65.106467351995832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65.106467351995832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65.106467351995832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65.106467351995832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65.106467351995832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3.9000000000000004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11.381760000000011</v>
      </c>
      <c r="D83" s="12">
        <f t="shared" si="86"/>
        <v>3.9520161586954128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30.950558624072944</v>
      </c>
      <c r="H83" s="70">
        <f t="shared" si="56"/>
        <v>226.17299347639454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65.191359203138674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-1.3596945791505279E-13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251.99201350544561</v>
      </c>
      <c r="T83" s="62">
        <f t="shared" si="88"/>
        <v>366.66533117979162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 t="e">
        <f>EXP(-LN(2)/35)*Z82+(1-EXP(-LN(2)/35))/(LN(2)/35)*V83*W83*VLOOKUP('Données projet'!$B$9,Paramètres!$A$1:$I$89,3,0)*0.475*44/12</f>
        <v>#VALUE!</v>
      </c>
      <c r="AA83" s="23" t="e">
        <f>EXP(-LN(2)/25)*AA82+(1-EXP(-LN(2)/25))/(LN(2)/25)*Calculateur!V83*Calculateur!X83*VLOOKUP('Données projet'!$B$9,Paramètres!$A$1:$I$89,3,0)*0.475*44/12</f>
        <v>#VALUE!</v>
      </c>
      <c r="AB83" s="23" t="e">
        <f>EXP(-LN(2)/2)*AB82+(1-EXP(-LN(2)/2))/(LN(2)/2)*V83*Y83*VLOOKUP('Données projet'!$B$9,Paramètres!$A$1:$I$89,3,0)*0.475*44/12</f>
        <v>#VALUE!</v>
      </c>
      <c r="AC83" s="24" t="e">
        <f t="shared" si="57"/>
        <v>#VALUE!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65.191359203138674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149.52545095126411</v>
      </c>
      <c r="AO83" s="62">
        <f t="shared" si="90"/>
        <v>457.9161829331029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18.074859566185644</v>
      </c>
      <c r="AV83" s="23">
        <f>EXP(-LN(2)/25)*AV82+(1-EXP(-LN(2)/25))/(LN(2)/25)*Calculateur!AQ83*Calculateur!AS83*VLOOKUP('Données projet'!$B$10,Paramètres!$A$1:$I$89,3,0)*0.475*44/12</f>
        <v>4.8836149379042322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22.958474504089878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65.191359203138674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243</v>
      </c>
      <c r="BB83" s="13">
        <f>VLOOKUP(A83,'Données projet'!$A$87:$I$107,9,0)</f>
        <v>6.2</v>
      </c>
      <c r="BC83" s="13">
        <f t="array" ref="BC83">INDEX(BB:BB,MIN(IF(ISNUMBER(BB83:BB279),ROW(BB83:BB279),"")))</f>
        <v>6.2</v>
      </c>
      <c r="BD83" s="13">
        <f>IF('Données projet'!$A$88&gt;35,BD82+BC83-BL82,IF(A83&lt;'Données projet'!$A$88,$BA$205^A83,IF(A83='Données projet'!$A$88,'Données projet'!$B$88,BD82+BC83-BL82)))</f>
        <v>242.99999999999983</v>
      </c>
      <c r="BE83" s="14">
        <f>BD83*VLOOKUP('Données projet'!$B$11,Paramètres!$A$1:$I$89,3,0)*VLOOKUP('Données projet'!$B$11,Paramètres!$A$1:$I$89,5,0)</f>
        <v>246.40199999999984</v>
      </c>
      <c r="BF83" s="14">
        <f t="shared" si="91"/>
        <v>59.814834475385474</v>
      </c>
      <c r="BG83" s="22">
        <f t="shared" si="61"/>
        <v>533.32765337796275</v>
      </c>
      <c r="BH83" s="62">
        <f t="shared" si="62"/>
        <v>809.02930378947121</v>
      </c>
      <c r="BI83" s="62">
        <f ca="1">AVERAGE(OFFSET($BH$3,0,0,'Données projet'!$E$11+1,1))-AVERAGE(OFFSET($H$3,0,0,'Données projet'!$E$11+1,1))</f>
        <v>408.82357969905803</v>
      </c>
      <c r="BJ83" s="62">
        <f t="shared" si="92"/>
        <v>263.2013060831145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0.25800000000000001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30.463534684586445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30.463534684586445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65.191359203138674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293</v>
      </c>
      <c r="BW83" s="13">
        <f>VLOOKUP(A83,'Données projet'!$A$113:$I$133,9,0)</f>
        <v>7.4</v>
      </c>
      <c r="BX83" s="13">
        <f t="array" ref="BX83">INDEX(BW:BW,MIN(IF(ISNUMBER(BW83:BW279),ROW(BW83:BW279),"")))</f>
        <v>7.4</v>
      </c>
      <c r="BY83" s="13">
        <f>IF('Données projet'!$A$114&gt;35,BY82+BX83-CG82,IF(A83&lt;'Données projet'!$A$114,$BV$205^A83,IF(A83='Données projet'!$A$114,'Données projet'!$B$114,BY82+BX83-CG82)))</f>
        <v>292.99999999999994</v>
      </c>
      <c r="BZ83" s="14">
        <f>BY83*VLOOKUP('Données projet'!$B$12,Paramètres!$A$1:$I$89,3,0)*VLOOKUP('Données projet'!$B$12,Paramètres!$A$1:$I$89,5,0)</f>
        <v>278.81879999999995</v>
      </c>
      <c r="CA83" s="14">
        <f t="shared" si="93"/>
        <v>66.717325981909937</v>
      </c>
      <c r="CB83" s="22">
        <f t="shared" si="64"/>
        <v>601.80875275182643</v>
      </c>
      <c r="CC83" s="62">
        <f t="shared" si="65"/>
        <v>877.5104031633349</v>
      </c>
      <c r="CD83" s="62">
        <f ca="1">AVERAGE(OFFSET($CC$3,0,0,'Données projet'!$E$12+1,1))-AVERAGE(OFFSET($H$3,0,0,'Données projet'!$E$12+1,1))</f>
        <v>451.95887041951761</v>
      </c>
      <c r="CE83" s="62">
        <f t="shared" si="94"/>
        <v>311.32964503257341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31</v>
      </c>
      <c r="CH83" s="17">
        <f>IF(ISNA(VLOOKUP(A83,'Données projet'!$A$113:$I$133,5,0)),0%,VLOOKUP(A83,'Données projet'!$A$113:$I$133,5,0)*VLOOKUP('Données projet'!$B$12,Paramètres!$A$1:$I$89,7,0))</f>
        <v>0.30099999999999999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40.876084381422054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40.876084381422054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65.191359203138674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65.191359203138674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65.191359203138674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65.191359203138674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65.191359203138674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65.191359203138674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3.9000000000000004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11.524032000000011</v>
      </c>
      <c r="D84" s="12">
        <f t="shared" si="86"/>
        <v>3.9956345685258405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31.180149586389827</v>
      </c>
      <c r="H84" s="70">
        <f t="shared" si="56"/>
        <v>226.49675260684918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65.274778370453944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-1.3596945791505279E-13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251.99201350544561</v>
      </c>
      <c r="T84" s="62">
        <f t="shared" si="88"/>
        <v>366.66533117979162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 t="e">
        <f>EXP(-LN(2)/35)*Z83+(1-EXP(-LN(2)/35))/(LN(2)/35)*V84*W84*VLOOKUP('Données projet'!$B$9,Paramètres!$A$1:$I$89,3,0)*0.475*44/12</f>
        <v>#VALUE!</v>
      </c>
      <c r="AA84" s="23" t="e">
        <f>EXP(-LN(2)/25)*AA83+(1-EXP(-LN(2)/25))/(LN(2)/25)*Calculateur!V84*Calculateur!X84*VLOOKUP('Données projet'!$B$9,Paramètres!$A$1:$I$89,3,0)*0.475*44/12</f>
        <v>#VALUE!</v>
      </c>
      <c r="AB84" s="23" t="e">
        <f>EXP(-LN(2)/2)*AB83+(1-EXP(-LN(2)/2))/(LN(2)/2)*V84*Y84*VLOOKUP('Données projet'!$B$9,Paramètres!$A$1:$I$89,3,0)*0.475*44/12</f>
        <v>#VALUE!</v>
      </c>
      <c r="AC84" s="24" t="e">
        <f t="shared" si="57"/>
        <v>#VALUE!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65.274778370453944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149.52545095126411</v>
      </c>
      <c r="AO84" s="62">
        <f t="shared" si="90"/>
        <v>457.9161829331029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17.720422594668491</v>
      </c>
      <c r="AV84" s="23">
        <f>EXP(-LN(2)/25)*AV83+(1-EXP(-LN(2)/25))/(LN(2)/25)*Calculateur!AQ84*Calculateur!AS84*VLOOKUP('Données projet'!$B$10,Paramètres!$A$1:$I$89,3,0)*0.475*44/12</f>
        <v>4.750072230609093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22.470494825277584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65.274778370453944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227.79999999999984</v>
      </c>
      <c r="BE84" s="14">
        <f>BD84*VLOOKUP('Données projet'!$B$11,Paramètres!$A$1:$I$89,3,0)*VLOOKUP('Données projet'!$B$11,Paramètres!$A$1:$I$89,5,0)</f>
        <v>230.98919999999987</v>
      </c>
      <c r="BF84" s="14">
        <f t="shared" si="91"/>
        <v>56.496516245657226</v>
      </c>
      <c r="BG84" s="22">
        <f t="shared" si="61"/>
        <v>500.70428912785269</v>
      </c>
      <c r="BH84" s="62">
        <f t="shared" si="62"/>
        <v>776.71180981951716</v>
      </c>
      <c r="BI84" s="62">
        <f ca="1">AVERAGE(OFFSET($BH$3,0,0,'Données projet'!$E$11+1,1))-AVERAGE(OFFSET($H$3,0,0,'Données projet'!$E$11+1,1))</f>
        <v>408.82357969905803</v>
      </c>
      <c r="BJ84" s="62">
        <f t="shared" si="92"/>
        <v>263.2013060831145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29.86616335034315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29.86616335034315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65.274778370453944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7</v>
      </c>
      <c r="BY84" s="13">
        <f>IF('Données projet'!$A$114&gt;35,BY83+BX84-CG83,IF(A84&lt;'Données projet'!$A$114,$BV$205^A84,IF(A84='Données projet'!$A$114,'Données projet'!$B$114,BY83+BX84-CG83)))</f>
        <v>268.99999999999994</v>
      </c>
      <c r="BZ84" s="14">
        <f>BY84*VLOOKUP('Données projet'!$B$12,Paramètres!$A$1:$I$89,3,0)*VLOOKUP('Données projet'!$B$12,Paramètres!$A$1:$I$89,5,0)</f>
        <v>255.98039999999997</v>
      </c>
      <c r="CA84" s="14">
        <f t="shared" si="93"/>
        <v>61.864786260587792</v>
      </c>
      <c r="CB84" s="22">
        <f t="shared" si="64"/>
        <v>553.58036607052361</v>
      </c>
      <c r="CC84" s="62">
        <f t="shared" si="65"/>
        <v>829.58788676218808</v>
      </c>
      <c r="CD84" s="62">
        <f ca="1">AVERAGE(OFFSET($CC$3,0,0,'Données projet'!$E$12+1,1))-AVERAGE(OFFSET($H$3,0,0,'Données projet'!$E$12+1,1))</f>
        <v>451.95887041951761</v>
      </c>
      <c r="CE84" s="62">
        <f t="shared" si="94"/>
        <v>311.32964503257341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40.074529298652017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40.074529298652017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65.274778370453944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65.274778370453944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65.274778370453944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65.274778370453944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65.274778370453944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65.274778370453944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3.9000000000000004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11.666304000000011</v>
      </c>
      <c r="D85" s="12">
        <f t="shared" si="86"/>
        <v>4.0391903404193048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31.409663185359996</v>
      </c>
      <c r="H85" s="70">
        <f t="shared" si="56"/>
        <v>226.82040264289697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65.356750401713612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-1.3596945791505279E-13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251.99201350544561</v>
      </c>
      <c r="T85" s="62">
        <f t="shared" si="88"/>
        <v>366.66533117979162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 t="e">
        <f>EXP(-LN(2)/35)*Z84+(1-EXP(-LN(2)/35))/(LN(2)/35)*V85*W85*VLOOKUP('Données projet'!$B$9,Paramètres!$A$1:$I$89,3,0)*0.475*44/12</f>
        <v>#VALUE!</v>
      </c>
      <c r="AA85" s="23" t="e">
        <f>EXP(-LN(2)/25)*AA84+(1-EXP(-LN(2)/25))/(LN(2)/25)*Calculateur!V85*Calculateur!X85*VLOOKUP('Données projet'!$B$9,Paramètres!$A$1:$I$89,3,0)*0.475*44/12</f>
        <v>#VALUE!</v>
      </c>
      <c r="AB85" s="23" t="e">
        <f>EXP(-LN(2)/2)*AB84+(1-EXP(-LN(2)/2))/(LN(2)/2)*V85*Y85*VLOOKUP('Données projet'!$B$9,Paramètres!$A$1:$I$89,3,0)*0.475*44/12</f>
        <v>#VALUE!</v>
      </c>
      <c r="AC85" s="24" t="e">
        <f t="shared" si="57"/>
        <v>#VALUE!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65.356750401713612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149.52545095126411</v>
      </c>
      <c r="AO85" s="62">
        <f t="shared" si="90"/>
        <v>457.9161829331029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17.372935915977585</v>
      </c>
      <c r="AV85" s="23">
        <f>EXP(-LN(2)/25)*AV84+(1-EXP(-LN(2)/25))/(LN(2)/25)*Calculateur!AQ85*Calculateur!AS85*VLOOKUP('Données projet'!$B$10,Paramètres!$A$1:$I$89,3,0)*0.475*44/12</f>
        <v>4.6201812556676449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21.993117171645231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65.356750401713612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233.59999999999985</v>
      </c>
      <c r="BE85" s="14">
        <f>BD85*VLOOKUP('Données projet'!$B$11,Paramètres!$A$1:$I$89,3,0)*VLOOKUP('Données projet'!$B$11,Paramètres!$A$1:$I$89,5,0)</f>
        <v>236.87039999999988</v>
      </c>
      <c r="BF85" s="14">
        <f t="shared" si="91"/>
        <v>57.765668276484661</v>
      </c>
      <c r="BG85" s="22">
        <f t="shared" si="61"/>
        <v>513.15781891487723</v>
      </c>
      <c r="BH85" s="62">
        <f t="shared" si="62"/>
        <v>789.46590372116043</v>
      </c>
      <c r="BI85" s="62">
        <f ca="1">AVERAGE(OFFSET($BH$3,0,0,'Données projet'!$E$11+1,1))-AVERAGE(OFFSET($H$3,0,0,'Données projet'!$E$11+1,1))</f>
        <v>408.82357969905803</v>
      </c>
      <c r="BJ85" s="62">
        <f t="shared" si="92"/>
        <v>263.2013060831145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29.28050610360383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29.28050610360383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65.356750401713612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7</v>
      </c>
      <c r="BY85" s="13">
        <f>IF('Données projet'!$A$114&gt;35,BY84+BX85-CG84,IF(A85&lt;'Données projet'!$A$114,$BV$205^A85,IF(A85='Données projet'!$A$114,'Données projet'!$B$114,BY84+BX85-CG84)))</f>
        <v>275.99999999999994</v>
      </c>
      <c r="BZ85" s="14">
        <f>BY85*VLOOKUP('Données projet'!$B$12,Paramètres!$A$1:$I$89,3,0)*VLOOKUP('Données projet'!$B$12,Paramètres!$A$1:$I$89,5,0)</f>
        <v>262.64159999999993</v>
      </c>
      <c r="CA85" s="14">
        <f t="shared" si="93"/>
        <v>63.285128621471941</v>
      </c>
      <c r="CB85" s="22">
        <f t="shared" si="64"/>
        <v>567.65571901573014</v>
      </c>
      <c r="CC85" s="62">
        <f t="shared" si="65"/>
        <v>843.96380382201346</v>
      </c>
      <c r="CD85" s="62">
        <f ca="1">AVERAGE(OFFSET($CC$3,0,0,'Données projet'!$E$12+1,1))-AVERAGE(OFFSET($H$3,0,0,'Données projet'!$E$12+1,1))</f>
        <v>451.95887041951761</v>
      </c>
      <c r="CE85" s="62">
        <f t="shared" si="94"/>
        <v>311.32964503257341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39.288692222154772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39.288692222154772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65.356750401713612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65.356750401713612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65.356750401713612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65.356750401713612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65.356750401713612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65.356750401713612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3.9000000000000004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11.808576000000011</v>
      </c>
      <c r="D86" s="12">
        <f t="shared" si="86"/>
        <v>4.0826843266058939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31.639100473562383</v>
      </c>
      <c r="H86" s="70">
        <f t="shared" si="56"/>
        <v>227.1439450688386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65.437300401492934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-1.3596945791505279E-13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251.99201350544561</v>
      </c>
      <c r="T86" s="62">
        <f t="shared" si="88"/>
        <v>366.66533117979162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 t="e">
        <f>EXP(-LN(2)/35)*Z85+(1-EXP(-LN(2)/35))/(LN(2)/35)*V86*W86*VLOOKUP('Données projet'!$B$9,Paramètres!$A$1:$I$89,3,0)*0.475*44/12</f>
        <v>#VALUE!</v>
      </c>
      <c r="AA86" s="23" t="e">
        <f>EXP(-LN(2)/25)*AA85+(1-EXP(-LN(2)/25))/(LN(2)/25)*Calculateur!V86*Calculateur!X86*VLOOKUP('Données projet'!$B$9,Paramètres!$A$1:$I$89,3,0)*0.475*44/12</f>
        <v>#VALUE!</v>
      </c>
      <c r="AB86" s="23" t="e">
        <f>EXP(-LN(2)/2)*AB85+(1-EXP(-LN(2)/2))/(LN(2)/2)*V86*Y86*VLOOKUP('Données projet'!$B$9,Paramètres!$A$1:$I$89,3,0)*0.475*44/12</f>
        <v>#VALUE!</v>
      </c>
      <c r="AC86" s="24" t="e">
        <f t="shared" si="57"/>
        <v>#VALUE!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65.437300401492934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149.52545095126411</v>
      </c>
      <c r="AO86" s="62">
        <f t="shared" si="90"/>
        <v>457.9161829331029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17.032263239109863</v>
      </c>
      <c r="AV86" s="23">
        <f>EXP(-LN(2)/25)*AV85+(1-EXP(-LN(2)/25))/(LN(2)/25)*Calculateur!AQ86*Calculateur!AS86*VLOOKUP('Données projet'!$B$10,Paramètres!$A$1:$I$89,3,0)*0.475*44/12</f>
        <v>4.4938421562666404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21.526105395376504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65.437300401492934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239.39999999999986</v>
      </c>
      <c r="BE86" s="14">
        <f>BD86*VLOOKUP('Données projet'!$B$11,Paramètres!$A$1:$I$89,3,0)*VLOOKUP('Données projet'!$B$11,Paramètres!$A$1:$I$89,5,0)</f>
        <v>242.75159999999988</v>
      </c>
      <c r="BF86" s="14">
        <f t="shared" si="91"/>
        <v>59.031157268460191</v>
      </c>
      <c r="BG86" s="22">
        <f t="shared" si="61"/>
        <v>525.60496890923457</v>
      </c>
      <c r="BH86" s="62">
        <f t="shared" si="62"/>
        <v>802.20840371470865</v>
      </c>
      <c r="BI86" s="62">
        <f ca="1">AVERAGE(OFFSET($BH$3,0,0,'Données projet'!$E$11+1,1))-AVERAGE(OFFSET($H$3,0,0,'Données projet'!$E$11+1,1))</f>
        <v>408.82357969905803</v>
      </c>
      <c r="BJ86" s="62">
        <f t="shared" si="92"/>
        <v>263.2013060831145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28.706333238257418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28.706333238257418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65.437300401492934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7</v>
      </c>
      <c r="BY86" s="13">
        <f>IF('Données projet'!$A$114&gt;35,BY85+BX86-CG85,IF(A86&lt;'Données projet'!$A$114,$BV$205^A86,IF(A86='Données projet'!$A$114,'Données projet'!$B$114,BY85+BX86-CG85)))</f>
        <v>282.99999999999994</v>
      </c>
      <c r="BZ86" s="14">
        <f>BY86*VLOOKUP('Données projet'!$B$12,Paramètres!$A$1:$I$89,3,0)*VLOOKUP('Données projet'!$B$12,Paramètres!$A$1:$I$89,5,0)</f>
        <v>269.30279999999993</v>
      </c>
      <c r="CA86" s="14">
        <f t="shared" si="93"/>
        <v>64.701283593559893</v>
      </c>
      <c r="CB86" s="22">
        <f t="shared" si="64"/>
        <v>581.72377892545001</v>
      </c>
      <c r="CC86" s="62">
        <f t="shared" si="65"/>
        <v>858.32721373092409</v>
      </c>
      <c r="CD86" s="62">
        <f ca="1">AVERAGE(OFFSET($CC$3,0,0,'Données projet'!$E$12+1,1))-AVERAGE(OFFSET($H$3,0,0,'Données projet'!$E$12+1,1))</f>
        <v>451.95887041951761</v>
      </c>
      <c r="CE86" s="62">
        <f t="shared" si="94"/>
        <v>311.32964503257341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38.51826493141435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38.51826493141435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65.437300401492934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65.437300401492934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65.437300401492934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65.437300401492934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65.437300401492934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65.437300401492934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3.9000000000000004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11.950848000000011</v>
      </c>
      <c r="D87" s="12">
        <f t="shared" si="86"/>
        <v>4.1261173575985204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31.868462476753276</v>
      </c>
      <c r="H87" s="70">
        <f t="shared" si="56"/>
        <v>227.46738133115076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65.516453038858884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-1.3596945791505279E-13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251.99201350544561</v>
      </c>
      <c r="T87" s="62">
        <f t="shared" si="88"/>
        <v>366.66533117979162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 t="e">
        <f>EXP(-LN(2)/35)*Z86+(1-EXP(-LN(2)/35))/(LN(2)/35)*V87*W87*VLOOKUP('Données projet'!$B$9,Paramètres!$A$1:$I$89,3,0)*0.475*44/12</f>
        <v>#VALUE!</v>
      </c>
      <c r="AA87" s="23" t="e">
        <f>EXP(-LN(2)/25)*AA86+(1-EXP(-LN(2)/25))/(LN(2)/25)*Calculateur!V87*Calculateur!X87*VLOOKUP('Données projet'!$B$9,Paramètres!$A$1:$I$89,3,0)*0.475*44/12</f>
        <v>#VALUE!</v>
      </c>
      <c r="AB87" s="23" t="e">
        <f>EXP(-LN(2)/2)*AB86+(1-EXP(-LN(2)/2))/(LN(2)/2)*V87*Y87*VLOOKUP('Données projet'!$B$9,Paramètres!$A$1:$I$89,3,0)*0.475*44/12</f>
        <v>#VALUE!</v>
      </c>
      <c r="AC87" s="24" t="e">
        <f t="shared" si="57"/>
        <v>#VALUE!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65.516453038858884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149.52545095126411</v>
      </c>
      <c r="AO87" s="62">
        <f t="shared" si="90"/>
        <v>457.9161829331029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16.698270945645699</v>
      </c>
      <c r="AV87" s="23">
        <f>EXP(-LN(2)/25)*AV86+(1-EXP(-LN(2)/25))/(LN(2)/25)*Calculateur!AQ87*Calculateur!AS87*VLOOKUP('Données projet'!$B$10,Paramètres!$A$1:$I$89,3,0)*0.475*44/12</f>
        <v>4.3709578061826413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21.069228751828341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65.516453038858884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245.19999999999987</v>
      </c>
      <c r="BE87" s="14">
        <f>BD87*VLOOKUP('Données projet'!$B$11,Paramètres!$A$1:$I$89,3,0)*VLOOKUP('Données projet'!$B$11,Paramètres!$A$1:$I$89,5,0)</f>
        <v>248.63279999999986</v>
      </c>
      <c r="BF87" s="14">
        <f t="shared" si="91"/>
        <v>60.293082176848401</v>
      </c>
      <c r="BG87" s="22">
        <f t="shared" si="61"/>
        <v>538.04591145801066</v>
      </c>
      <c r="BH87" s="62">
        <f t="shared" si="62"/>
        <v>814.93957260049319</v>
      </c>
      <c r="BI87" s="62">
        <f ca="1">AVERAGE(OFFSET($BH$3,0,0,'Données projet'!$E$11+1,1))-AVERAGE(OFFSET($H$3,0,0,'Données projet'!$E$11+1,1))</f>
        <v>408.82357969905803</v>
      </c>
      <c r="BJ87" s="62">
        <f t="shared" si="92"/>
        <v>263.2013060831145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28.143419552589581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28.143419552589581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65.516453038858884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7</v>
      </c>
      <c r="BY87" s="13">
        <f>IF('Données projet'!$A$114&gt;35,BY86+BX87-CG86,IF(A87&lt;'Données projet'!$A$114,$BV$205^A87,IF(A87='Données projet'!$A$114,'Données projet'!$B$114,BY86+BX87-CG86)))</f>
        <v>289.99999999999994</v>
      </c>
      <c r="BZ87" s="14">
        <f>BY87*VLOOKUP('Données projet'!$B$12,Paramètres!$A$1:$I$89,3,0)*VLOOKUP('Données projet'!$B$12,Paramètres!$A$1:$I$89,5,0)</f>
        <v>275.96399999999994</v>
      </c>
      <c r="CA87" s="14">
        <f t="shared" si="93"/>
        <v>66.113366665488911</v>
      </c>
      <c r="CB87" s="22">
        <f t="shared" si="64"/>
        <v>595.7847469423931</v>
      </c>
      <c r="CC87" s="62">
        <f t="shared" si="65"/>
        <v>872.67840808487563</v>
      </c>
      <c r="CD87" s="62">
        <f ca="1">AVERAGE(OFFSET($CC$3,0,0,'Données projet'!$E$12+1,1))-AVERAGE(OFFSET($H$3,0,0,'Données projet'!$E$12+1,1))</f>
        <v>451.95887041951761</v>
      </c>
      <c r="CE87" s="62">
        <f t="shared" si="94"/>
        <v>311.32964503257341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37.7629452499311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37.7629452499311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65.516453038858884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65.516453038858884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65.516453038858884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65.516453038858884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65.516453038858884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65.516453038858884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3.9000000000000004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12.093120000000011</v>
      </c>
      <c r="D88" s="12">
        <f t="shared" si="86"/>
        <v>4.1694902429981529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32.097750194860893</v>
      </c>
      <c r="H88" s="70">
        <f t="shared" si="56"/>
        <v>227.79071283988847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65.594232554925341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-1.3596945791505279E-13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251.99201350544561</v>
      </c>
      <c r="T88" s="62">
        <f t="shared" si="88"/>
        <v>366.66533117979162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 t="e">
        <f>EXP(-LN(2)/35)*Z87+(1-EXP(-LN(2)/35))/(LN(2)/35)*V88*W88*VLOOKUP('Données projet'!$B$9,Paramètres!$A$1:$I$89,3,0)*0.475*44/12</f>
        <v>#VALUE!</v>
      </c>
      <c r="AA88" s="23" t="e">
        <f>EXP(-LN(2)/25)*AA87+(1-EXP(-LN(2)/25))/(LN(2)/25)*Calculateur!V88*Calculateur!X88*VLOOKUP('Données projet'!$B$9,Paramètres!$A$1:$I$89,3,0)*0.475*44/12</f>
        <v>#VALUE!</v>
      </c>
      <c r="AB88" s="23" t="e">
        <f>EXP(-LN(2)/2)*AB87+(1-EXP(-LN(2)/2))/(LN(2)/2)*V88*Y88*VLOOKUP('Données projet'!$B$9,Paramètres!$A$1:$I$89,3,0)*0.475*44/12</f>
        <v>#VALUE!</v>
      </c>
      <c r="AC88" s="24" t="e">
        <f t="shared" si="57"/>
        <v>#VALUE!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65.594232554925341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149.52545095126411</v>
      </c>
      <c r="AO88" s="62">
        <f t="shared" si="90"/>
        <v>457.9161829331029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16.370828037341184</v>
      </c>
      <c r="AV88" s="23">
        <f>EXP(-LN(2)/25)*AV87+(1-EXP(-LN(2)/25))/(LN(2)/25)*Calculateur!AQ88*Calculateur!AS88*VLOOKUP('Données projet'!$B$10,Paramètres!$A$1:$I$89,3,0)*0.475*44/12</f>
        <v>4.2514337351138956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20.622261772455079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65.594232554925341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251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250.99999999999989</v>
      </c>
      <c r="BE88" s="14">
        <f>BD88*VLOOKUP('Données projet'!$B$11,Paramètres!$A$1:$I$89,3,0)*VLOOKUP('Données projet'!$B$11,Paramètres!$A$1:$I$89,5,0)</f>
        <v>254.5139999999999</v>
      </c>
      <c r="BF88" s="14">
        <f t="shared" si="91"/>
        <v>61.551537008472913</v>
      </c>
      <c r="BG88" s="22">
        <f t="shared" si="61"/>
        <v>550.48081028975685</v>
      </c>
      <c r="BH88" s="62">
        <f t="shared" si="62"/>
        <v>827.65966299114984</v>
      </c>
      <c r="BI88" s="62">
        <f ca="1">AVERAGE(OFFSET($BH$3,0,0,'Données projet'!$E$11+1,1))-AVERAGE(OFFSET($H$3,0,0,'Données projet'!$E$11+1,1))</f>
        <v>408.82357969905803</v>
      </c>
      <c r="BJ88" s="62">
        <f t="shared" si="92"/>
        <v>263.2013060831145</v>
      </c>
      <c r="BK88" s="16">
        <f>IF(ISNA(VLOOKUP(A88,'Données projet'!$A$87:$I$107,3,0)),0,VLOOKUP(A88,'Données projet'!$A$87:$I$107,3,0))</f>
        <v>15</v>
      </c>
      <c r="BL88" s="16">
        <f>IF(ISNA(VLOOKUP(A88,'Données projet'!$A$87:$I$107,4,0)),0,VLOOKUP(A88,'Données projet'!$A$87:$I$107,4,0))</f>
        <v>20</v>
      </c>
      <c r="BM88" s="17">
        <f>IF(ISNA(VLOOKUP(A88,'Données projet'!$A$87:$I$107,5,0)),0%,VLOOKUP(A88,'Données projet'!$A$87:$I$107,5,0)*VLOOKUP('Données projet'!$B$11,Paramètres!$A$1:$I$89,7,0))</f>
        <v>0.30099999999999999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34.339644989329642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34.339644989329642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65.594232554925341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297</v>
      </c>
      <c r="BW88" s="13">
        <f>VLOOKUP(A88,'Données projet'!$A$113:$I$133,9,0)</f>
        <v>7</v>
      </c>
      <c r="BX88" s="13">
        <f t="array" ref="BX88">INDEX(BW:BW,MIN(IF(ISNUMBER(BW88:BW284),ROW(BW88:BW284),"")))</f>
        <v>7</v>
      </c>
      <c r="BY88" s="13">
        <f>IF('Données projet'!$A$114&gt;35,BY87+BX88-CG87,IF(A88&lt;'Données projet'!$A$114,$BV$205^A88,IF(A88='Données projet'!$A$114,'Données projet'!$B$114,BY87+BX88-CG87)))</f>
        <v>296.99999999999994</v>
      </c>
      <c r="BZ88" s="14">
        <f>BY88*VLOOKUP('Données projet'!$B$12,Paramètres!$A$1:$I$89,3,0)*VLOOKUP('Données projet'!$B$12,Paramètres!$A$1:$I$89,5,0)</f>
        <v>282.62519999999995</v>
      </c>
      <c r="CA88" s="14">
        <f t="shared" si="93"/>
        <v>67.521487432655874</v>
      </c>
      <c r="CB88" s="22">
        <f t="shared" si="64"/>
        <v>609.83881394520893</v>
      </c>
      <c r="CC88" s="62">
        <f t="shared" si="65"/>
        <v>887.01766664660181</v>
      </c>
      <c r="CD88" s="62">
        <f ca="1">AVERAGE(OFFSET($CC$3,0,0,'Données projet'!$E$12+1,1))-AVERAGE(OFFSET($H$3,0,0,'Données projet'!$E$12+1,1))</f>
        <v>451.95887041951761</v>
      </c>
      <c r="CE88" s="62">
        <f t="shared" si="94"/>
        <v>311.32964503257341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30</v>
      </c>
      <c r="CH88" s="17">
        <f>IF(ISNA(VLOOKUP(A88,'Données projet'!$A$113:$I$133,5,0)),0%,VLOOKUP(A88,'Données projet'!$A$113:$I$133,5,0)*VLOOKUP('Données projet'!$B$12,Paramètres!$A$1:$I$89,7,0))</f>
        <v>0.30099999999999999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46.521686413569121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46.521686413569121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65.594232554925341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65.594232554925341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65.594232554925341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65.594232554925341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65.594232554925341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65.594232554925341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3.9000000000000004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12.235392000000012</v>
      </c>
      <c r="D89" s="12">
        <f t="shared" si="86"/>
        <v>4.2128037722600515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32.326964602931724</v>
      </c>
      <c r="H89" s="70">
        <f t="shared" si="56"/>
        <v>228.1139409700196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65.670662770277005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-1.3596945791505279E-13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251.99201350544561</v>
      </c>
      <c r="T89" s="62">
        <f t="shared" si="88"/>
        <v>366.66533117979162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 t="e">
        <f>EXP(-LN(2)/35)*Z88+(1-EXP(-LN(2)/35))/(LN(2)/35)*V89*W89*VLOOKUP('Données projet'!$B$9,Paramètres!$A$1:$I$89,3,0)*0.475*44/12</f>
        <v>#VALUE!</v>
      </c>
      <c r="AA89" s="23" t="e">
        <f>EXP(-LN(2)/25)*AA88+(1-EXP(-LN(2)/25))/(LN(2)/25)*Calculateur!V89*Calculateur!X89*VLOOKUP('Données projet'!$B$9,Paramètres!$A$1:$I$89,3,0)*0.475*44/12</f>
        <v>#VALUE!</v>
      </c>
      <c r="AB89" s="23" t="e">
        <f>EXP(-LN(2)/2)*AB88+(1-EXP(-LN(2)/2))/(LN(2)/2)*V89*Y89*VLOOKUP('Données projet'!$B$9,Paramètres!$A$1:$I$89,3,0)*0.475*44/12</f>
        <v>#VALUE!</v>
      </c>
      <c r="AC89" s="24" t="e">
        <f t="shared" si="57"/>
        <v>#VALUE!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65.670662770277005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149.52545095126411</v>
      </c>
      <c r="AO89" s="62">
        <f t="shared" si="90"/>
        <v>457.9161829331029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16.049806084748067</v>
      </c>
      <c r="AV89" s="23">
        <f>EXP(-LN(2)/25)*AV88+(1-EXP(-LN(2)/25))/(LN(2)/25)*Calculateur!AQ89*Calculateur!AS89*VLOOKUP('Données projet'!$B$10,Paramètres!$A$1:$I$89,3,0)*0.475*44/12</f>
        <v>4.1351780560540226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20.18498414080209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65.670662770277005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236.59999999999991</v>
      </c>
      <c r="BE89" s="14">
        <f>BD89*VLOOKUP('Données projet'!$B$11,Paramètres!$A$1:$I$89,3,0)*VLOOKUP('Données projet'!$B$11,Paramètres!$A$1:$I$89,5,0)</f>
        <v>239.91239999999991</v>
      </c>
      <c r="BF89" s="14">
        <f t="shared" si="91"/>
        <v>58.420682515047339</v>
      </c>
      <c r="BG89" s="22">
        <f t="shared" si="61"/>
        <v>519.59678538037394</v>
      </c>
      <c r="BH89" s="62">
        <f t="shared" si="62"/>
        <v>797.05588220472305</v>
      </c>
      <c r="BI89" s="62">
        <f ca="1">AVERAGE(OFFSET($BH$3,0,0,'Données projet'!$E$11+1,1))-AVERAGE(OFFSET($H$3,0,0,'Données projet'!$E$11+1,1))</f>
        <v>408.82357969905803</v>
      </c>
      <c r="BJ89" s="62">
        <f t="shared" si="92"/>
        <v>263.2013060831145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33.666265496204176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33.666265496204176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65.670662770277005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260.35775999999998</v>
      </c>
      <c r="CA89" s="14">
        <f t="shared" si="93"/>
        <v>62.7986318267358</v>
      </c>
      <c r="CB89" s="22">
        <f t="shared" si="64"/>
        <v>562.83071576489817</v>
      </c>
      <c r="CC89" s="62">
        <f t="shared" si="65"/>
        <v>840.28981258924728</v>
      </c>
      <c r="CD89" s="62">
        <f ca="1">AVERAGE(OFFSET($CC$3,0,0,'Données projet'!$E$12+1,1))-AVERAGE(OFFSET($H$3,0,0,'Données projet'!$E$12+1,1))</f>
        <v>451.95887041951761</v>
      </c>
      <c r="CE89" s="62">
        <f t="shared" si="94"/>
        <v>311.32964503257341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45.609424518425904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45.609424518425904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65.670662770277005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65.670662770277005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65.670662770277005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65.670662770277005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65.670662770277005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65.670662770277005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3.9000000000000004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12.377664000000012</v>
      </c>
      <c r="D90" s="12">
        <f t="shared" si="86"/>
        <v>4.256058715423384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32.556106652031701</v>
      </c>
      <c r="H90" s="70">
        <f t="shared" si="56"/>
        <v>228.43706706269575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65.745767092264643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-1.3596945791505279E-13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251.99201350544561</v>
      </c>
      <c r="T90" s="62">
        <f t="shared" si="88"/>
        <v>366.66533117979162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 t="e">
        <f>EXP(-LN(2)/35)*Z89+(1-EXP(-LN(2)/35))/(LN(2)/35)*V90*W90*VLOOKUP('Données projet'!$B$9,Paramètres!$A$1:$I$89,3,0)*0.475*44/12</f>
        <v>#VALUE!</v>
      </c>
      <c r="AA90" s="23" t="e">
        <f>EXP(-LN(2)/25)*AA89+(1-EXP(-LN(2)/25))/(LN(2)/25)*Calculateur!V90*Calculateur!X90*VLOOKUP('Données projet'!$B$9,Paramètres!$A$1:$I$89,3,0)*0.475*44/12</f>
        <v>#VALUE!</v>
      </c>
      <c r="AB90" s="23" t="e">
        <f>EXP(-LN(2)/2)*AB89+(1-EXP(-LN(2)/2))/(LN(2)/2)*V90*Y90*VLOOKUP('Données projet'!$B$9,Paramètres!$A$1:$I$89,3,0)*0.475*44/12</f>
        <v>#VALUE!</v>
      </c>
      <c r="AC90" s="24" t="e">
        <f t="shared" si="57"/>
        <v>#VALUE!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65.745767092264643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149.52545095126411</v>
      </c>
      <c r="AO90" s="62">
        <f t="shared" si="90"/>
        <v>457.9161829331029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15.735079176841245</v>
      </c>
      <c r="AV90" s="23">
        <f>EXP(-LN(2)/25)*AV89+(1-EXP(-LN(2)/25))/(LN(2)/25)*Calculateur!AQ90*Calculateur!AS90*VLOOKUP('Données projet'!$B$10,Paramètres!$A$1:$I$89,3,0)*0.475*44/12</f>
        <v>4.0221013946516626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19.757180571492906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65.745767092264643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242.1999999999999</v>
      </c>
      <c r="BE90" s="14">
        <f>BD90*VLOOKUP('Données projet'!$B$11,Paramètres!$A$1:$I$89,3,0)*VLOOKUP('Données projet'!$B$11,Paramètres!$A$1:$I$89,5,0)</f>
        <v>245.59079999999992</v>
      </c>
      <c r="BF90" s="14">
        <f t="shared" si="91"/>
        <v>59.64080146485307</v>
      </c>
      <c r="BG90" s="22">
        <f t="shared" si="61"/>
        <v>531.61170588461891</v>
      </c>
      <c r="BH90" s="62">
        <f t="shared" si="62"/>
        <v>809.3461852229226</v>
      </c>
      <c r="BI90" s="62">
        <f ca="1">AVERAGE(OFFSET($BH$3,0,0,'Données projet'!$E$11+1,1))-AVERAGE(OFFSET($H$3,0,0,'Données projet'!$E$11+1,1))</f>
        <v>408.82357969905803</v>
      </c>
      <c r="BJ90" s="62">
        <f t="shared" si="92"/>
        <v>263.2013060831145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33.006090564217963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33.006090564217963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65.745767092264643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6.6</v>
      </c>
      <c r="BY90" s="13">
        <f>IF('Données projet'!$A$114&gt;35,BY89+BX90-CG89,IF(A90&lt;'Données projet'!$A$114,$BV$205^A90,IF(A90='Données projet'!$A$114,'Données projet'!$B$114,BY89+BX90-CG89)))</f>
        <v>280.2</v>
      </c>
      <c r="BZ90" s="14">
        <f>BY90*VLOOKUP('Données projet'!$B$12,Paramètres!$A$1:$I$89,3,0)*VLOOKUP('Données projet'!$B$12,Paramètres!$A$1:$I$89,5,0)</f>
        <v>266.63832000000002</v>
      </c>
      <c r="CA90" s="14">
        <f t="shared" si="93"/>
        <v>64.135316563180027</v>
      </c>
      <c r="CB90" s="22">
        <f t="shared" si="64"/>
        <v>576.09741701420523</v>
      </c>
      <c r="CC90" s="62">
        <f t="shared" si="65"/>
        <v>853.83189635250892</v>
      </c>
      <c r="CD90" s="62">
        <f ca="1">AVERAGE(OFFSET($CC$3,0,0,'Données projet'!$E$12+1,1))-AVERAGE(OFFSET($H$3,0,0,'Données projet'!$E$12+1,1))</f>
        <v>451.95887041951761</v>
      </c>
      <c r="CE90" s="62">
        <f t="shared" si="94"/>
        <v>311.32964503257341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44.715051522621629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44.715051522621629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65.745767092264643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65.745767092264643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65.745767092264643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65.745767092264643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65.745767092264643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65.745767092264643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3.9000000000000004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12.519936000000012</v>
      </c>
      <c r="D91" s="12">
        <f t="shared" si="86"/>
        <v>4.2992558238063001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32.78517727010464</v>
      </c>
      <c r="H91" s="70">
        <f t="shared" si="56"/>
        <v>228.76009242646268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65.819568522173938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-1.3596945791505279E-13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251.99201350544561</v>
      </c>
      <c r="T91" s="62">
        <f t="shared" si="88"/>
        <v>366.66533117979162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 t="e">
        <f>EXP(-LN(2)/35)*Z90+(1-EXP(-LN(2)/35))/(LN(2)/35)*V91*W91*VLOOKUP('Données projet'!$B$9,Paramètres!$A$1:$I$89,3,0)*0.475*44/12</f>
        <v>#VALUE!</v>
      </c>
      <c r="AA91" s="23" t="e">
        <f>EXP(-LN(2)/25)*AA90+(1-EXP(-LN(2)/25))/(LN(2)/25)*Calculateur!V91*Calculateur!X91*VLOOKUP('Données projet'!$B$9,Paramètres!$A$1:$I$89,3,0)*0.475*44/12</f>
        <v>#VALUE!</v>
      </c>
      <c r="AB91" s="23" t="e">
        <f>EXP(-LN(2)/2)*AB90+(1-EXP(-LN(2)/2))/(LN(2)/2)*V91*Y91*VLOOKUP('Données projet'!$B$9,Paramètres!$A$1:$I$89,3,0)*0.475*44/12</f>
        <v>#VALUE!</v>
      </c>
      <c r="AC91" s="24" t="e">
        <f t="shared" si="57"/>
        <v>#VALUE!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65.819568522173938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149.52545095126411</v>
      </c>
      <c r="AO91" s="62">
        <f t="shared" si="90"/>
        <v>457.9161829331029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15.426523871634016</v>
      </c>
      <c r="AV91" s="23">
        <f>EXP(-LN(2)/25)*AV90+(1-EXP(-LN(2)/25))/(LN(2)/25)*Calculateur!AQ91*Calculateur!AS91*VLOOKUP('Données projet'!$B$10,Paramètres!$A$1:$I$89,3,0)*0.475*44/12</f>
        <v>3.9121168205017933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19.338640692135808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65.819568522173938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247.7999999999999</v>
      </c>
      <c r="BE91" s="14">
        <f>BD91*VLOOKUP('Données projet'!$B$11,Paramètres!$A$1:$I$89,3,0)*VLOOKUP('Données projet'!$B$11,Paramètres!$A$1:$I$89,5,0)</f>
        <v>251.2691999999999</v>
      </c>
      <c r="BF91" s="14">
        <f t="shared" si="91"/>
        <v>60.857640778569092</v>
      </c>
      <c r="BG91" s="22">
        <f t="shared" si="61"/>
        <v>543.62091435600757</v>
      </c>
      <c r="BH91" s="62">
        <f t="shared" si="62"/>
        <v>821.62599893731203</v>
      </c>
      <c r="BI91" s="62">
        <f ca="1">AVERAGE(OFFSET($BH$3,0,0,'Données projet'!$E$11+1,1))-AVERAGE(OFFSET($H$3,0,0,'Données projet'!$E$11+1,1))</f>
        <v>408.82357969905803</v>
      </c>
      <c r="BJ91" s="62">
        <f t="shared" si="92"/>
        <v>263.2013060831145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32.358861259981047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32.358861259981047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65.819568522173938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6.6</v>
      </c>
      <c r="BY91" s="13">
        <f>IF('Données projet'!$A$114&gt;35,BY90+BX91-CG90,IF(A91&lt;'Données projet'!$A$114,$BV$205^A91,IF(A91='Données projet'!$A$114,'Données projet'!$B$114,BY90+BX91-CG90)))</f>
        <v>286.8</v>
      </c>
      <c r="BZ91" s="14">
        <f>BY91*VLOOKUP('Données projet'!$B$12,Paramètres!$A$1:$I$89,3,0)*VLOOKUP('Données projet'!$B$12,Paramètres!$A$1:$I$89,5,0)</f>
        <v>272.91888</v>
      </c>
      <c r="CA91" s="14">
        <f t="shared" si="93"/>
        <v>65.468341098154568</v>
      </c>
      <c r="CB91" s="22">
        <f t="shared" si="64"/>
        <v>589.35774341261913</v>
      </c>
      <c r="CC91" s="62">
        <f t="shared" si="65"/>
        <v>867.36282799392347</v>
      </c>
      <c r="CD91" s="62">
        <f ca="1">AVERAGE(OFFSET($CC$3,0,0,'Données projet'!$E$12+1,1))-AVERAGE(OFFSET($H$3,0,0,'Données projet'!$E$12+1,1))</f>
        <v>451.95887041951761</v>
      </c>
      <c r="CE91" s="62">
        <f t="shared" si="94"/>
        <v>311.32964503257341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43.838216635751415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43.838216635751415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65.819568522173938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65.819568522173938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65.819568522173938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65.819568522173938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65.819568522173938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65.819568522173938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3.9000000000000004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12.662208000000012</v>
      </c>
      <c r="D92" s="12">
        <f t="shared" si="86"/>
        <v>4.3423958306685453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33.01417736279064</v>
      </c>
      <c r="H92" s="70">
        <f t="shared" si="56"/>
        <v>229.0830183384144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65.892089662269569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-1.3596945791505279E-13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251.99201350544561</v>
      </c>
      <c r="T92" s="62">
        <f t="shared" si="88"/>
        <v>366.66533117979162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 t="e">
        <f>EXP(-LN(2)/35)*Z91+(1-EXP(-LN(2)/35))/(LN(2)/35)*V92*W92*VLOOKUP('Données projet'!$B$9,Paramètres!$A$1:$I$89,3,0)*0.475*44/12</f>
        <v>#VALUE!</v>
      </c>
      <c r="AA92" s="23" t="e">
        <f>EXP(-LN(2)/25)*AA91+(1-EXP(-LN(2)/25))/(LN(2)/25)*Calculateur!V92*Calculateur!X92*VLOOKUP('Données projet'!$B$9,Paramètres!$A$1:$I$89,3,0)*0.475*44/12</f>
        <v>#VALUE!</v>
      </c>
      <c r="AB92" s="23" t="e">
        <f>EXP(-LN(2)/2)*AB91+(1-EXP(-LN(2)/2))/(LN(2)/2)*V92*Y92*VLOOKUP('Données projet'!$B$9,Paramètres!$A$1:$I$89,3,0)*0.475*44/12</f>
        <v>#VALUE!</v>
      </c>
      <c r="AC92" s="24" t="e">
        <f t="shared" si="57"/>
        <v>#VALUE!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65.892089662269569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149.52545095126411</v>
      </c>
      <c r="AO92" s="62">
        <f t="shared" si="90"/>
        <v>457.9161829331029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15.124019147761748</v>
      </c>
      <c r="AV92" s="23">
        <f>EXP(-LN(2)/25)*AV91+(1-EXP(-LN(2)/25))/(LN(2)/25)*Calculateur!AQ92*Calculateur!AS92*VLOOKUP('Données projet'!$B$10,Paramètres!$A$1:$I$89,3,0)*0.475*44/12</f>
        <v>3.8051397803158893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18.929158928077637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65.892089662269569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253.39999999999989</v>
      </c>
      <c r="BE92" s="14">
        <f>BD92*VLOOKUP('Données projet'!$B$11,Paramètres!$A$1:$I$89,3,0)*VLOOKUP('Données projet'!$B$11,Paramètres!$A$1:$I$89,5,0)</f>
        <v>256.94759999999991</v>
      </c>
      <c r="BF92" s="14">
        <f t="shared" si="91"/>
        <v>62.071283104858246</v>
      </c>
      <c r="BG92" s="22">
        <f t="shared" si="61"/>
        <v>555.62455474096134</v>
      </c>
      <c r="BH92" s="62">
        <f t="shared" si="62"/>
        <v>833.89555016928307</v>
      </c>
      <c r="BI92" s="62">
        <f ca="1">AVERAGE(OFFSET($BH$3,0,0,'Données projet'!$E$11+1,1))-AVERAGE(OFFSET($H$3,0,0,'Données projet'!$E$11+1,1))</f>
        <v>408.82357969905803</v>
      </c>
      <c r="BJ92" s="62">
        <f t="shared" si="92"/>
        <v>263.2013060831145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31.724323727629326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31.724323727629326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65.892089662269569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6.6</v>
      </c>
      <c r="BY92" s="13">
        <f>IF('Données projet'!$A$114&gt;35,BY91+BX92-CG91,IF(A92&lt;'Données projet'!$A$114,$BV$205^A92,IF(A92='Données projet'!$A$114,'Données projet'!$B$114,BY91+BX92-CG91)))</f>
        <v>293.40000000000003</v>
      </c>
      <c r="BZ92" s="14">
        <f>BY92*VLOOKUP('Données projet'!$B$12,Paramètres!$A$1:$I$89,3,0)*VLOOKUP('Données projet'!$B$12,Paramètres!$A$1:$I$89,5,0)</f>
        <v>279.19944000000004</v>
      </c>
      <c r="CA92" s="14">
        <f t="shared" si="93"/>
        <v>66.797799357600098</v>
      </c>
      <c r="CB92" s="22">
        <f t="shared" si="64"/>
        <v>602.61185854782025</v>
      </c>
      <c r="CC92" s="62">
        <f t="shared" si="65"/>
        <v>880.88285397614209</v>
      </c>
      <c r="CD92" s="62">
        <f ca="1">AVERAGE(OFFSET($CC$3,0,0,'Données projet'!$E$12+1,1))-AVERAGE(OFFSET($H$3,0,0,'Données projet'!$E$12+1,1))</f>
        <v>451.95887041951761</v>
      </c>
      <c r="CE92" s="62">
        <f t="shared" si="94"/>
        <v>311.32964503257341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42.978575946196251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42.978575946196251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65.892089662269569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65.892089662269569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65.892089662269569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65.892089662269569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65.892089662269569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65.892089662269569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3.9000000000000004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12.804480000000012</v>
      </c>
      <c r="D93" s="12">
        <f t="shared" si="86"/>
        <v>4.3854794518434161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33.243107814206624</v>
      </c>
      <c r="H93" s="70">
        <f t="shared" si="56"/>
        <v>229.40584604529397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65.963352722717531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-1.3596945791505279E-13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251.99201350544561</v>
      </c>
      <c r="T93" s="62">
        <f t="shared" si="88"/>
        <v>366.66533117979162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 t="e">
        <f>EXP(-LN(2)/35)*Z92+(1-EXP(-LN(2)/35))/(LN(2)/35)*V93*W93*VLOOKUP('Données projet'!$B$9,Paramètres!$A$1:$I$89,3,0)*0.475*44/12</f>
        <v>#VALUE!</v>
      </c>
      <c r="AA93" s="23" t="e">
        <f>EXP(-LN(2)/25)*AA92+(1-EXP(-LN(2)/25))/(LN(2)/25)*Calculateur!V93*Calculateur!X93*VLOOKUP('Données projet'!$B$9,Paramètres!$A$1:$I$89,3,0)*0.475*44/12</f>
        <v>#VALUE!</v>
      </c>
      <c r="AB93" s="23" t="e">
        <f>EXP(-LN(2)/2)*AB92+(1-EXP(-LN(2)/2))/(LN(2)/2)*V93*Y93*VLOOKUP('Données projet'!$B$9,Paramètres!$A$1:$I$89,3,0)*0.475*44/12</f>
        <v>#VALUE!</v>
      </c>
      <c r="AC93" s="24" t="e">
        <f t="shared" si="57"/>
        <v>#VALUE!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65.963352722717531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149.52545095126411</v>
      </c>
      <c r="AO93" s="62">
        <f t="shared" si="90"/>
        <v>457.9161829331029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14.827446357014953</v>
      </c>
      <c r="AV93" s="23">
        <f>EXP(-LN(2)/25)*AV92+(1-EXP(-LN(2)/25))/(LN(2)/25)*Calculateur!AQ93*Calculateur!AS93*VLOOKUP('Données projet'!$B$10,Paramètres!$A$1:$I$89,3,0)*0.475*44/12</f>
        <v>3.701088032919547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18.528534389934499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65.963352722717531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259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258.99999999999989</v>
      </c>
      <c r="BE93" s="14">
        <f>BD93*VLOOKUP('Données projet'!$B$11,Paramètres!$A$1:$I$89,3,0)*VLOOKUP('Données projet'!$B$11,Paramètres!$A$1:$I$89,5,0)</f>
        <v>262.62599999999992</v>
      </c>
      <c r="BF93" s="14">
        <f t="shared" si="91"/>
        <v>63.281807230823397</v>
      </c>
      <c r="BG93" s="22">
        <f t="shared" si="61"/>
        <v>567.62276426035055</v>
      </c>
      <c r="BH93" s="62">
        <f t="shared" si="62"/>
        <v>846.15505757698156</v>
      </c>
      <c r="BI93" s="62">
        <f ca="1">AVERAGE(OFFSET($BH$3,0,0,'Données projet'!$E$11+1,1))-AVERAGE(OFFSET($H$3,0,0,'Données projet'!$E$11+1,1))</f>
        <v>408.82357969905803</v>
      </c>
      <c r="BJ93" s="62">
        <f t="shared" si="92"/>
        <v>263.2013060831145</v>
      </c>
      <c r="BK93" s="16">
        <f>IF(ISNA(VLOOKUP(A93,'Données projet'!$A$87:$I$107,3,0)),0,VLOOKUP(A93,'Données projet'!$A$87:$I$107,3,0))</f>
        <v>16</v>
      </c>
      <c r="BL93" s="16">
        <f>IF(ISNA(VLOOKUP(A93,'Données projet'!$A$87:$I$107,4,0)),0,VLOOKUP(A93,'Données projet'!$A$87:$I$107,4,0))</f>
        <v>20</v>
      </c>
      <c r="BM93" s="17">
        <f>IF(ISNA(VLOOKUP(A93,'Données projet'!$A$87:$I$107,5,0)),0%,VLOOKUP(A93,'Données projet'!$A$87:$I$107,5,0)*VLOOKUP('Données projet'!$B$11,Paramètres!$A$1:$I$89,7,0))</f>
        <v>0.30099999999999999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37.850329817632741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37.850329817632741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65.963352722717531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300</v>
      </c>
      <c r="BW93" s="13">
        <f>VLOOKUP(A93,'Données projet'!$A$113:$I$133,9,0)</f>
        <v>6.6</v>
      </c>
      <c r="BX93" s="13">
        <f t="array" ref="BX93">INDEX(BW:BW,MIN(IF(ISNUMBER(BW93:BW289),ROW(BW93:BW289),"")))</f>
        <v>6.6</v>
      </c>
      <c r="BY93" s="13">
        <f>IF('Données projet'!$A$114&gt;35,BY92+BX93-CG92,IF(A93&lt;'Données projet'!$A$114,$BV$205^A93,IF(A93='Données projet'!$A$114,'Données projet'!$B$114,BY92+BX93-CG92)))</f>
        <v>300.00000000000006</v>
      </c>
      <c r="BZ93" s="14">
        <f>BY93*VLOOKUP('Données projet'!$B$12,Paramètres!$A$1:$I$89,3,0)*VLOOKUP('Données projet'!$B$12,Paramètres!$A$1:$I$89,5,0)</f>
        <v>285.48000000000008</v>
      </c>
      <c r="CA93" s="14">
        <f t="shared" si="93"/>
        <v>68.123780800530767</v>
      </c>
      <c r="CB93" s="22">
        <f t="shared" si="64"/>
        <v>615.85991822759115</v>
      </c>
      <c r="CC93" s="62">
        <f t="shared" si="65"/>
        <v>894.39221154422216</v>
      </c>
      <c r="CD93" s="62">
        <f ca="1">AVERAGE(OFFSET($CC$3,0,0,'Données projet'!$E$12+1,1))-AVERAGE(OFFSET($H$3,0,0,'Données projet'!$E$12+1,1))</f>
        <v>451.95887041951761</v>
      </c>
      <c r="CE93" s="62">
        <f t="shared" si="94"/>
        <v>311.32964503257341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30</v>
      </c>
      <c r="CH93" s="17">
        <f>IF(ISNA(VLOOKUP(A93,'Données projet'!$A$113:$I$133,5,0)),0%,VLOOKUP(A93,'Données projet'!$A$113:$I$133,5,0)*VLOOKUP('Données projet'!$B$12,Paramètres!$A$1:$I$89,7,0))</f>
        <v>0.30099999999999999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51.635041773101122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51.635041773101122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65.963352722717531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65.963352722717531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65.963352722717531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65.963352722717531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65.963352722717531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65.963352722717531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3.9000000000000004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12.946752000000012</v>
      </c>
      <c r="D94" s="12">
        <f t="shared" si="86"/>
        <v>4.4285073863408426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33.471969487691169</v>
      </c>
      <c r="H94" s="70">
        <f t="shared" si="56"/>
        <v>229.72857676454365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66.033379528387044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-1.3596945791505279E-13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251.99201350544561</v>
      </c>
      <c r="T94" s="62">
        <f t="shared" si="88"/>
        <v>366.66533117979162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 t="e">
        <f>EXP(-LN(2)/35)*Z93+(1-EXP(-LN(2)/35))/(LN(2)/35)*V94*W94*VLOOKUP('Données projet'!$B$9,Paramètres!$A$1:$I$89,3,0)*0.475*44/12</f>
        <v>#VALUE!</v>
      </c>
      <c r="AA94" s="23" t="e">
        <f>EXP(-LN(2)/25)*AA93+(1-EXP(-LN(2)/25))/(LN(2)/25)*Calculateur!V94*Calculateur!X94*VLOOKUP('Données projet'!$B$9,Paramètres!$A$1:$I$89,3,0)*0.475*44/12</f>
        <v>#VALUE!</v>
      </c>
      <c r="AB94" s="23" t="e">
        <f>EXP(-LN(2)/2)*AB93+(1-EXP(-LN(2)/2))/(LN(2)/2)*V94*Y94*VLOOKUP('Données projet'!$B$9,Paramètres!$A$1:$I$89,3,0)*0.475*44/12</f>
        <v>#VALUE!</v>
      </c>
      <c r="AC94" s="24" t="e">
        <f t="shared" si="57"/>
        <v>#VALUE!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66.033379528387044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149.52545095126411</v>
      </c>
      <c r="AO94" s="62">
        <f t="shared" si="90"/>
        <v>457.9161829331029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14.536689177803161</v>
      </c>
      <c r="AV94" s="23">
        <f>EXP(-LN(2)/25)*AV93+(1-EXP(-LN(2)/25))/(LN(2)/25)*Calculateur!AQ94*Calculateur!AS94*VLOOKUP('Données projet'!$B$10,Paramètres!$A$1:$I$89,3,0)*0.475*44/12</f>
        <v>3.5998815860276014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18.136570763830761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66.033379528387044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5.4</v>
      </c>
      <c r="BD94" s="13">
        <f>IF('Données projet'!$A$88&gt;35,BD93+BC94-BL93,IF(A94&lt;'Données projet'!$A$88,$BA$205^A94,IF(A94='Données projet'!$A$88,'Données projet'!$B$88,BD93+BC94-BL93)))</f>
        <v>244.39999999999986</v>
      </c>
      <c r="BE94" s="14">
        <f>BD94*VLOOKUP('Données projet'!$B$11,Paramètres!$A$1:$I$89,3,0)*VLOOKUP('Données projet'!$B$11,Paramètres!$A$1:$I$89,5,0)</f>
        <v>247.8215999999999</v>
      </c>
      <c r="BF94" s="14">
        <f t="shared" si="91"/>
        <v>60.119231945607574</v>
      </c>
      <c r="BG94" s="22">
        <f t="shared" si="61"/>
        <v>536.33028230526634</v>
      </c>
      <c r="BH94" s="62">
        <f t="shared" si="62"/>
        <v>815.11934057601889</v>
      </c>
      <c r="BI94" s="62">
        <f ca="1">AVERAGE(OFFSET($BH$3,0,0,'Données projet'!$E$11+1,1))-AVERAGE(OFFSET($H$3,0,0,'Données projet'!$E$11+1,1))</f>
        <v>408.82357969905803</v>
      </c>
      <c r="BJ94" s="62">
        <f t="shared" si="92"/>
        <v>263.2013060831145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37.108107936330555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37.108107936330555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66.033379528387044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6.6</v>
      </c>
      <c r="BY94" s="13">
        <f>IF('Données projet'!$A$114&gt;35,BY93+BX94-CG93,IF(A94&lt;'Données projet'!$A$114,$BV$205^A94,IF(A94='Données projet'!$A$114,'Données projet'!$B$114,BY93+BX94-CG93)))</f>
        <v>276.60000000000008</v>
      </c>
      <c r="BZ94" s="14">
        <f>BY94*VLOOKUP('Données projet'!$B$12,Paramètres!$A$1:$I$89,3,0)*VLOOKUP('Données projet'!$B$12,Paramètres!$A$1:$I$89,5,0)</f>
        <v>263.21256000000011</v>
      </c>
      <c r="CA94" s="14">
        <f t="shared" si="93"/>
        <v>63.406675731103896</v>
      </c>
      <c r="CB94" s="22">
        <f t="shared" si="64"/>
        <v>568.86183556500612</v>
      </c>
      <c r="CC94" s="62">
        <f t="shared" si="65"/>
        <v>847.65089383575855</v>
      </c>
      <c r="CD94" s="62">
        <f ca="1">AVERAGE(OFFSET($CC$3,0,0,'Données projet'!$E$12+1,1))-AVERAGE(OFFSET($H$3,0,0,'Données projet'!$E$12+1,1))</f>
        <v>451.95887041951761</v>
      </c>
      <c r="CE94" s="62">
        <f t="shared" si="94"/>
        <v>311.32964503257341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50.622510098196287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50.622510098196287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66.033379528387044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66.033379528387044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66.033379528387044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66.033379528387044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66.033379528387044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66.033379528387044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3.9000000000000004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13.089024000000013</v>
      </c>
      <c r="D95" s="12">
        <f t="shared" si="86"/>
        <v>4.4714803169231994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33.70076322651569</v>
      </c>
      <c r="H95" s="70">
        <f t="shared" si="56"/>
        <v>230.05121168530792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66.102191525534678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-1.3596945791505279E-13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251.99201350544561</v>
      </c>
      <c r="T95" s="62">
        <f t="shared" si="88"/>
        <v>366.66533117979162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 t="e">
        <f>EXP(-LN(2)/35)*Z94+(1-EXP(-LN(2)/35))/(LN(2)/35)*V95*W95*VLOOKUP('Données projet'!$B$9,Paramètres!$A$1:$I$89,3,0)*0.475*44/12</f>
        <v>#VALUE!</v>
      </c>
      <c r="AA95" s="23" t="e">
        <f>EXP(-LN(2)/25)*AA94+(1-EXP(-LN(2)/25))/(LN(2)/25)*Calculateur!V95*Calculateur!X95*VLOOKUP('Données projet'!$B$9,Paramètres!$A$1:$I$89,3,0)*0.475*44/12</f>
        <v>#VALUE!</v>
      </c>
      <c r="AB95" s="23" t="e">
        <f>EXP(-LN(2)/2)*AB94+(1-EXP(-LN(2)/2))/(LN(2)/2)*V95*Y95*VLOOKUP('Données projet'!$B$9,Paramètres!$A$1:$I$89,3,0)*0.475*44/12</f>
        <v>#VALUE!</v>
      </c>
      <c r="AC95" s="24" t="e">
        <f t="shared" si="57"/>
        <v>#VALUE!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66.102191525534678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149.52545095126411</v>
      </c>
      <c r="AO95" s="62">
        <f t="shared" si="90"/>
        <v>457.9161829331029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14.251633569531345</v>
      </c>
      <c r="AV95" s="23">
        <f>EXP(-LN(2)/25)*AV94+(1-EXP(-LN(2)/25))/(LN(2)/25)*Calculateur!AQ95*Calculateur!AS95*VLOOKUP('Données projet'!$B$10,Paramètres!$A$1:$I$89,3,0)*0.475*44/12</f>
        <v>3.5014426347481318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17.753076204279477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66.102191525534678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5.4</v>
      </c>
      <c r="BD95" s="13">
        <f>IF('Données projet'!$A$88&gt;35,BD94+BC95-BL94,IF(A95&lt;'Données projet'!$A$88,$BA$205^A95,IF(A95='Données projet'!$A$88,'Données projet'!$B$88,BD94+BC95-BL94)))</f>
        <v>249.79999999999987</v>
      </c>
      <c r="BE95" s="14">
        <f>BD95*VLOOKUP('Données projet'!$B$11,Paramètres!$A$1:$I$89,3,0)*VLOOKUP('Données projet'!$B$11,Paramètres!$A$1:$I$89,5,0)</f>
        <v>253.29719999999989</v>
      </c>
      <c r="BF95" s="14">
        <f t="shared" si="91"/>
        <v>61.291447296462572</v>
      </c>
      <c r="BG95" s="22">
        <f t="shared" si="61"/>
        <v>547.90856070800544</v>
      </c>
      <c r="BH95" s="62">
        <f t="shared" si="62"/>
        <v>826.94992963496588</v>
      </c>
      <c r="BI95" s="62">
        <f ca="1">AVERAGE(OFFSET($BH$3,0,0,'Données projet'!$E$11+1,1))-AVERAGE(OFFSET($H$3,0,0,'Données projet'!$E$11+1,1))</f>
        <v>408.82357969905803</v>
      </c>
      <c r="BJ95" s="62">
        <f t="shared" si="92"/>
        <v>263.2013060831145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36.380440573410063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36.380440573410063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66.102191525534678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6.6</v>
      </c>
      <c r="BY95" s="13">
        <f>IF('Données projet'!$A$114&gt;35,BY94+BX95-CG94,IF(A95&lt;'Données projet'!$A$114,$BV$205^A95,IF(A95='Données projet'!$A$114,'Données projet'!$B$114,BY94+BX95-CG94)))</f>
        <v>283.2000000000001</v>
      </c>
      <c r="BZ95" s="14">
        <f>BY95*VLOOKUP('Données projet'!$B$12,Paramètres!$A$1:$I$89,3,0)*VLOOKUP('Données projet'!$B$12,Paramètres!$A$1:$I$89,5,0)</f>
        <v>269.49312000000009</v>
      </c>
      <c r="CA95" s="14">
        <f t="shared" si="93"/>
        <v>64.741684797344206</v>
      </c>
      <c r="CB95" s="22">
        <f t="shared" si="64"/>
        <v>582.12561835537451</v>
      </c>
      <c r="CC95" s="62">
        <f t="shared" si="65"/>
        <v>861.16698728233496</v>
      </c>
      <c r="CD95" s="62">
        <f ca="1">AVERAGE(OFFSET($CC$3,0,0,'Données projet'!$E$12+1,1))-AVERAGE(OFFSET($H$3,0,0,'Données projet'!$E$12+1,1))</f>
        <v>451.95887041951761</v>
      </c>
      <c r="CE95" s="62">
        <f t="shared" si="94"/>
        <v>311.32964503257341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49.629833551852997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49.629833551852997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66.102191525534678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66.102191525534678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66.102191525534678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66.102191525534678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66.102191525534678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66.102191525534678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3.9000000000000004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13.231296000000013</v>
      </c>
      <c r="D96" s="12">
        <f t="shared" si="86"/>
        <v>4.5143989106553777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33.929489854563855</v>
      </c>
      <c r="H96" s="70">
        <f t="shared" si="56"/>
        <v>230.37375196939146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66.16980978837239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-1.3596945791505279E-13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251.99201350544561</v>
      </c>
      <c r="T96" s="62">
        <f t="shared" si="88"/>
        <v>366.66533117979162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 t="e">
        <f>EXP(-LN(2)/35)*Z95+(1-EXP(-LN(2)/35))/(LN(2)/35)*V96*W96*VLOOKUP('Données projet'!$B$9,Paramètres!$A$1:$I$89,3,0)*0.475*44/12</f>
        <v>#VALUE!</v>
      </c>
      <c r="AA96" s="23" t="e">
        <f>EXP(-LN(2)/25)*AA95+(1-EXP(-LN(2)/25))/(LN(2)/25)*Calculateur!V96*Calculateur!X96*VLOOKUP('Données projet'!$B$9,Paramètres!$A$1:$I$89,3,0)*0.475*44/12</f>
        <v>#VALUE!</v>
      </c>
      <c r="AB96" s="23" t="e">
        <f>EXP(-LN(2)/2)*AB95+(1-EXP(-LN(2)/2))/(LN(2)/2)*V96*Y96*VLOOKUP('Données projet'!$B$9,Paramètres!$A$1:$I$89,3,0)*0.475*44/12</f>
        <v>#VALUE!</v>
      </c>
      <c r="AC96" s="24" t="e">
        <f t="shared" si="57"/>
        <v>#VALUE!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66.16980978837239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149.52545095126411</v>
      </c>
      <c r="AO96" s="62">
        <f t="shared" si="90"/>
        <v>457.9161829331029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13.972167727870985</v>
      </c>
      <c r="AV96" s="23">
        <f>EXP(-LN(2)/25)*AV95+(1-EXP(-LN(2)/25))/(LN(2)/25)*Calculateur!AQ96*Calculateur!AS96*VLOOKUP('Données projet'!$B$10,Paramètres!$A$1:$I$89,3,0)*0.475*44/12</f>
        <v>3.4056955017680788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17.377863229639065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66.16980978837239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5.4</v>
      </c>
      <c r="BD96" s="13">
        <f>IF('Données projet'!$A$88&gt;35,BD95+BC96-BL95,IF(A96&lt;'Données projet'!$A$88,$BA$205^A96,IF(A96='Données projet'!$A$88,'Données projet'!$B$88,BD95+BC96-BL95)))</f>
        <v>255.19999999999987</v>
      </c>
      <c r="BE96" s="14">
        <f>BD96*VLOOKUP('Données projet'!$B$11,Paramètres!$A$1:$I$89,3,0)*VLOOKUP('Données projet'!$B$11,Paramètres!$A$1:$I$89,5,0)</f>
        <v>258.77279999999985</v>
      </c>
      <c r="BF96" s="14">
        <f t="shared" si="91"/>
        <v>62.460716522234641</v>
      </c>
      <c r="BG96" s="22">
        <f t="shared" si="61"/>
        <v>559.4817079428916</v>
      </c>
      <c r="BH96" s="62">
        <f t="shared" si="62"/>
        <v>838.77101050025703</v>
      </c>
      <c r="BI96" s="62">
        <f ca="1">AVERAGE(OFFSET($BH$3,0,0,'Données projet'!$E$11+1,1))-AVERAGE(OFFSET($H$3,0,0,'Données projet'!$E$11+1,1))</f>
        <v>408.82357969905803</v>
      </c>
      <c r="BJ96" s="62">
        <f t="shared" si="92"/>
        <v>263.2013060831145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35.667042323643173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35.667042323643173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66.16980978837239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6.6</v>
      </c>
      <c r="BY96" s="13">
        <f>IF('Données projet'!$A$114&gt;35,BY95+BX96-CG95,IF(A96&lt;'Données projet'!$A$114,$BV$205^A96,IF(A96='Données projet'!$A$114,'Données projet'!$B$114,BY95+BX96-CG95)))</f>
        <v>289.80000000000013</v>
      </c>
      <c r="BZ96" s="14">
        <f>BY96*VLOOKUP('Données projet'!$B$12,Paramètres!$A$1:$I$89,3,0)*VLOOKUP('Données projet'!$B$12,Paramètres!$A$1:$I$89,5,0)</f>
        <v>275.77368000000013</v>
      </c>
      <c r="CA96" s="14">
        <f t="shared" si="93"/>
        <v>66.07307693020887</v>
      </c>
      <c r="CB96" s="22">
        <f t="shared" si="64"/>
        <v>595.38310165344728</v>
      </c>
      <c r="CC96" s="62">
        <f t="shared" si="65"/>
        <v>874.67240421081272</v>
      </c>
      <c r="CD96" s="62">
        <f ca="1">AVERAGE(OFFSET($CC$3,0,0,'Données projet'!$E$12+1,1))-AVERAGE(OFFSET($H$3,0,0,'Données projet'!$E$12+1,1))</f>
        <v>451.95887041951761</v>
      </c>
      <c r="CE96" s="62">
        <f t="shared" si="94"/>
        <v>311.32964503257341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48.656622787110592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48.656622787110592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66.16980978837239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66.16980978837239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66.16980978837239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66.16980978837239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66.16980978837239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66.16980978837239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3.9000000000000004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13.373568000000013</v>
      </c>
      <c r="D97" s="12">
        <f t="shared" si="86"/>
        <v>4.557263819430502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34.158150176980854</v>
      </c>
      <c r="H97" s="70">
        <f t="shared" si="56"/>
        <v>230.69619875217481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66.236255025521658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-1.3596945791505279E-13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251.99201350544561</v>
      </c>
      <c r="T97" s="62">
        <f t="shared" si="88"/>
        <v>366.66533117979162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 t="e">
        <f>EXP(-LN(2)/35)*Z96+(1-EXP(-LN(2)/35))/(LN(2)/35)*V97*W97*VLOOKUP('Données projet'!$B$9,Paramètres!$A$1:$I$89,3,0)*0.475*44/12</f>
        <v>#VALUE!</v>
      </c>
      <c r="AA97" s="23" t="e">
        <f>EXP(-LN(2)/25)*AA96+(1-EXP(-LN(2)/25))/(LN(2)/25)*Calculateur!V97*Calculateur!X97*VLOOKUP('Données projet'!$B$9,Paramètres!$A$1:$I$89,3,0)*0.475*44/12</f>
        <v>#VALUE!</v>
      </c>
      <c r="AB97" s="23" t="e">
        <f>EXP(-LN(2)/2)*AB96+(1-EXP(-LN(2)/2))/(LN(2)/2)*V97*Y97*VLOOKUP('Données projet'!$B$9,Paramètres!$A$1:$I$89,3,0)*0.475*44/12</f>
        <v>#VALUE!</v>
      </c>
      <c r="AC97" s="24" t="e">
        <f t="shared" si="57"/>
        <v>#VALUE!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66.236255025521658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149.52545095126411</v>
      </c>
      <c r="AO97" s="62">
        <f t="shared" si="90"/>
        <v>457.9161829331029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13.698182040908254</v>
      </c>
      <c r="AV97" s="23">
        <f>EXP(-LN(2)/25)*AV96+(1-EXP(-LN(2)/25))/(LN(2)/25)*Calculateur!AQ97*Calculateur!AS97*VLOOKUP('Données projet'!$B$10,Paramètres!$A$1:$I$89,3,0)*0.475*44/12</f>
        <v>3.3125665791744883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17.010748620082744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66.236255025521658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5.4</v>
      </c>
      <c r="BD97" s="13">
        <f>IF('Données projet'!$A$88&gt;35,BD96+BC97-BL96,IF(A97&lt;'Données projet'!$A$88,$BA$205^A97,IF(A97='Données projet'!$A$88,'Données projet'!$B$88,BD96+BC97-BL96)))</f>
        <v>260.59999999999985</v>
      </c>
      <c r="BE97" s="14">
        <f>BD97*VLOOKUP('Données projet'!$B$11,Paramètres!$A$1:$I$89,3,0)*VLOOKUP('Données projet'!$B$11,Paramètres!$A$1:$I$89,5,0)</f>
        <v>264.24839999999983</v>
      </c>
      <c r="BF97" s="14">
        <f t="shared" si="91"/>
        <v>63.627109143733414</v>
      </c>
      <c r="BG97" s="22">
        <f t="shared" si="61"/>
        <v>571.0498450920021</v>
      </c>
      <c r="BH97" s="62">
        <f t="shared" si="62"/>
        <v>850.58278018558144</v>
      </c>
      <c r="BI97" s="62">
        <f ca="1">AVERAGE(OFFSET($BH$3,0,0,'Données projet'!$E$11+1,1))-AVERAGE(OFFSET($H$3,0,0,'Données projet'!$E$11+1,1))</f>
        <v>408.82357969905803</v>
      </c>
      <c r="BJ97" s="62">
        <f t="shared" si="92"/>
        <v>263.2013060831145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34.967633378424246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34.967633378424246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66.236255025521658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6.6</v>
      </c>
      <c r="BY97" s="13">
        <f>IF('Données projet'!$A$114&gt;35,BY96+BX97-CG96,IF(A97&lt;'Données projet'!$A$114,$BV$205^A97,IF(A97='Données projet'!$A$114,'Données projet'!$B$114,BY96+BX97-CG96)))</f>
        <v>296.40000000000015</v>
      </c>
      <c r="BZ97" s="14">
        <f>BY97*VLOOKUP('Données projet'!$B$12,Paramètres!$A$1:$I$89,3,0)*VLOOKUP('Données projet'!$B$12,Paramètres!$A$1:$I$89,5,0)</f>
        <v>282.05424000000016</v>
      </c>
      <c r="CA97" s="14">
        <f t="shared" si="93"/>
        <v>67.400943985427659</v>
      </c>
      <c r="CB97" s="22">
        <f t="shared" si="64"/>
        <v>608.63444544128674</v>
      </c>
      <c r="CC97" s="62">
        <f t="shared" si="65"/>
        <v>888.1673805348662</v>
      </c>
      <c r="CD97" s="62">
        <f ca="1">AVERAGE(OFFSET($CC$3,0,0,'Données projet'!$E$12+1,1))-AVERAGE(OFFSET($H$3,0,0,'Données projet'!$E$12+1,1))</f>
        <v>451.95887041951761</v>
      </c>
      <c r="CE97" s="62">
        <f t="shared" si="94"/>
        <v>311.32964503257341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47.70249609186483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47.70249609186483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66.236255025521658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66.236255025521658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66.236255025521658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66.236255025521658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66.236255025521658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66.236255025521658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3.9000000000000004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13.515840000000013</v>
      </c>
      <c r="D98" s="12">
        <f t="shared" si="86"/>
        <v>4.6000756804726564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34.386744980794319</v>
      </c>
      <c r="H98" s="70">
        <f t="shared" si="56"/>
        <v>231.0185531434899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66.301547586355667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-1.3596945791505279E-13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251.99201350544561</v>
      </c>
      <c r="T98" s="62">
        <f t="shared" si="88"/>
        <v>366.66533117979162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 t="e">
        <f>EXP(-LN(2)/35)*Z97+(1-EXP(-LN(2)/35))/(LN(2)/35)*V98*W98*VLOOKUP('Données projet'!$B$9,Paramètres!$A$1:$I$89,3,0)*0.475*44/12</f>
        <v>#VALUE!</v>
      </c>
      <c r="AA98" s="23" t="e">
        <f>EXP(-LN(2)/25)*AA97+(1-EXP(-LN(2)/25))/(LN(2)/25)*Calculateur!V98*Calculateur!X98*VLOOKUP('Données projet'!$B$9,Paramètres!$A$1:$I$89,3,0)*0.475*44/12</f>
        <v>#VALUE!</v>
      </c>
      <c r="AB98" s="23" t="e">
        <f>EXP(-LN(2)/2)*AB97+(1-EXP(-LN(2)/2))/(LN(2)/2)*V98*Y98*VLOOKUP('Données projet'!$B$9,Paramètres!$A$1:$I$89,3,0)*0.475*44/12</f>
        <v>#VALUE!</v>
      </c>
      <c r="AC98" s="24" t="e">
        <f t="shared" si="57"/>
        <v>#VALUE!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66.301547586355667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149.52545095126411</v>
      </c>
      <c r="AO98" s="62">
        <f t="shared" si="90"/>
        <v>457.9161829331029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13.429569046152094</v>
      </c>
      <c r="AV98" s="23">
        <f>EXP(-LN(2)/25)*AV97+(1-EXP(-LN(2)/25))/(LN(2)/25)*Calculateur!AQ98*Calculateur!AS98*VLOOKUP('Données projet'!$B$10,Paramètres!$A$1:$I$89,3,0)*0.475*44/12</f>
        <v>3.2219842718666563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16.651553318018749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66.301547586355667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266</v>
      </c>
      <c r="BB98" s="13">
        <f>VLOOKUP(A98,'Données projet'!$A$87:$I$107,9,0)</f>
        <v>5.4</v>
      </c>
      <c r="BC98" s="13">
        <f t="array" ref="BC98">INDEX(BB:BB,MIN(IF(ISNUMBER(BB98:BB294),ROW(BB98:BB294),"")))</f>
        <v>5.4</v>
      </c>
      <c r="BD98" s="13">
        <f>IF('Données projet'!$A$88&gt;35,BD97+BC98-BL97,IF(A98&lt;'Données projet'!$A$88,$BA$205^A98,IF(A98='Données projet'!$A$88,'Données projet'!$B$88,BD97+BC98-BL97)))</f>
        <v>265.99999999999983</v>
      </c>
      <c r="BE98" s="14">
        <f>BD98*VLOOKUP('Données projet'!$B$11,Paramètres!$A$1:$I$89,3,0)*VLOOKUP('Données projet'!$B$11,Paramètres!$A$1:$I$89,5,0)</f>
        <v>269.72399999999982</v>
      </c>
      <c r="BF98" s="14">
        <f t="shared" si="91"/>
        <v>64.790691635967349</v>
      </c>
      <c r="BG98" s="22">
        <f t="shared" si="61"/>
        <v>582.61308793264277</v>
      </c>
      <c r="BH98" s="62">
        <f t="shared" si="62"/>
        <v>862.38542908261354</v>
      </c>
      <c r="BI98" s="62">
        <f ca="1">AVERAGE(OFFSET($BH$3,0,0,'Données projet'!$E$11+1,1))-AVERAGE(OFFSET($H$3,0,0,'Données projet'!$E$11+1,1))</f>
        <v>408.82357969905803</v>
      </c>
      <c r="BJ98" s="62">
        <f t="shared" si="92"/>
        <v>263.2013060831145</v>
      </c>
      <c r="BK98" s="16">
        <f>IF(ISNA(VLOOKUP(A98,'Données projet'!$A$87:$I$107,3,0)),0,VLOOKUP(A98,'Données projet'!$A$87:$I$107,3,0))</f>
        <v>17</v>
      </c>
      <c r="BL98" s="16">
        <f>IF(ISNA(VLOOKUP(A98,'Données projet'!$A$87:$I$107,4,0)),0,VLOOKUP(A98,'Données projet'!$A$87:$I$107,4,0))</f>
        <v>19</v>
      </c>
      <c r="BM98" s="17">
        <f>IF(ISNA(VLOOKUP(A98,'Données projet'!$A$87:$I$107,5,0)),0%,VLOOKUP(A98,'Données projet'!$A$87:$I$107,5,0)*VLOOKUP('Données projet'!$B$11,Paramètres!$A$1:$I$89,7,0))</f>
        <v>0.34400000000000003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41.60844877825987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41.60844877825987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66.301547586355667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303</v>
      </c>
      <c r="BW98" s="13">
        <f>VLOOKUP(A98,'Données projet'!$A$113:$I$133,9,0)</f>
        <v>6.6</v>
      </c>
      <c r="BX98" s="13">
        <f t="array" ref="BX98">INDEX(BW:BW,MIN(IF(ISNUMBER(BW98:BW294),ROW(BW98:BW294),"")))</f>
        <v>6.6</v>
      </c>
      <c r="BY98" s="13">
        <f>IF('Données projet'!$A$114&gt;35,BY97+BX98-CG97,IF(A98&lt;'Données projet'!$A$114,$BV$205^A98,IF(A98='Données projet'!$A$114,'Données projet'!$B$114,BY97+BX98-CG97)))</f>
        <v>303.00000000000017</v>
      </c>
      <c r="BZ98" s="14">
        <f>BY98*VLOOKUP('Données projet'!$B$12,Paramètres!$A$1:$I$89,3,0)*VLOOKUP('Données projet'!$B$12,Paramètres!$A$1:$I$89,5,0)</f>
        <v>288.33480000000014</v>
      </c>
      <c r="CA98" s="14">
        <f t="shared" si="93"/>
        <v>68.725373494438969</v>
      </c>
      <c r="CB98" s="22">
        <f t="shared" si="64"/>
        <v>621.87980216948142</v>
      </c>
      <c r="CC98" s="62">
        <f t="shared" si="65"/>
        <v>901.65214331945219</v>
      </c>
      <c r="CD98" s="62">
        <f ca="1">AVERAGE(OFFSET($CC$3,0,0,'Données projet'!$E$12+1,1))-AVERAGE(OFFSET($H$3,0,0,'Données projet'!$E$12+1,1))</f>
        <v>451.95887041951761</v>
      </c>
      <c r="CE98" s="62">
        <f t="shared" si="94"/>
        <v>311.32964503257341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29</v>
      </c>
      <c r="CH98" s="17">
        <f>IF(ISNA(VLOOKUP(A98,'Données projet'!$A$113:$I$133,5,0)),0%,VLOOKUP(A98,'Données projet'!$A$113:$I$133,5,0)*VLOOKUP('Données projet'!$B$12,Paramètres!$A$1:$I$89,7,0))</f>
        <v>0.30099999999999999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55.949687076457693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55.949687076457693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66.301547586355667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66.301547586355667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66.301547586355667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66.301547586355667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66.301547586355667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66.301547586355667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3.9000000000000004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13.658112000000013</v>
      </c>
      <c r="D99" s="12">
        <f t="shared" si="86"/>
        <v>4.6428351168178263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34.615275035508347</v>
      </c>
      <c r="H99" s="70">
        <f t="shared" si="56"/>
        <v>231.34081622845773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66.365707467231516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-1.3596945791505279E-13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251.99201350544561</v>
      </c>
      <c r="T99" s="62">
        <f t="shared" si="88"/>
        <v>366.66533117979162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 t="e">
        <f>EXP(-LN(2)/35)*Z98+(1-EXP(-LN(2)/35))/(LN(2)/35)*V99*W99*VLOOKUP('Données projet'!$B$9,Paramètres!$A$1:$I$89,3,0)*0.475*44/12</f>
        <v>#VALUE!</v>
      </c>
      <c r="AA99" s="23" t="e">
        <f>EXP(-LN(2)/25)*AA98+(1-EXP(-LN(2)/25))/(LN(2)/25)*Calculateur!V99*Calculateur!X99*VLOOKUP('Données projet'!$B$9,Paramètres!$A$1:$I$89,3,0)*0.475*44/12</f>
        <v>#VALUE!</v>
      </c>
      <c r="AB99" s="23" t="e">
        <f>EXP(-LN(2)/2)*AB98+(1-EXP(-LN(2)/2))/(LN(2)/2)*V99*Y99*VLOOKUP('Données projet'!$B$9,Paramètres!$A$1:$I$89,3,0)*0.475*44/12</f>
        <v>#VALUE!</v>
      </c>
      <c r="AC99" s="24" t="e">
        <f t="shared" si="57"/>
        <v>#VALUE!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66.365707467231516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149.52545095126411</v>
      </c>
      <c r="AO99" s="62">
        <f t="shared" si="90"/>
        <v>457.9161829331029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13.166223388385353</v>
      </c>
      <c r="AV99" s="23">
        <f>EXP(-LN(2)/25)*AV98+(1-EXP(-LN(2)/25))/(LN(2)/25)*Calculateur!AQ99*Calculateur!AS99*VLOOKUP('Données projet'!$B$10,Paramètres!$A$1:$I$89,3,0)*0.475*44/12</f>
        <v>3.1338789425156737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16.300102330901026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66.365707467231516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251.79999999999984</v>
      </c>
      <c r="BE99" s="14">
        <f>BD99*VLOOKUP('Données projet'!$B$11,Paramètres!$A$1:$I$89,3,0)*VLOOKUP('Données projet'!$B$11,Paramètres!$A$1:$I$89,5,0)</f>
        <v>255.32519999999985</v>
      </c>
      <c r="BF99" s="14">
        <f t="shared" si="91"/>
        <v>61.724849714059751</v>
      </c>
      <c r="BG99" s="22">
        <f t="shared" si="61"/>
        <v>552.19550325198713</v>
      </c>
      <c r="BH99" s="62">
        <f t="shared" si="62"/>
        <v>832.20309729850271</v>
      </c>
      <c r="BI99" s="62">
        <f ca="1">AVERAGE(OFFSET($BH$3,0,0,'Données projet'!$E$11+1,1))-AVERAGE(OFFSET($H$3,0,0,'Données projet'!$E$11+1,1))</f>
        <v>408.82357969905803</v>
      </c>
      <c r="BJ99" s="62">
        <f t="shared" si="92"/>
        <v>263.2013060831145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40.792532476366013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40.792532476366013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66.365707467231516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6.2</v>
      </c>
      <c r="BY99" s="13">
        <f>IF('Données projet'!$A$114&gt;35,BY98+BX99-CG98,IF(A99&lt;'Données projet'!$A$114,$BV$205^A99,IF(A99='Données projet'!$A$114,'Données projet'!$B$114,BY98+BX99-CG98)))</f>
        <v>280.20000000000016</v>
      </c>
      <c r="BZ99" s="14">
        <f>BY99*VLOOKUP('Données projet'!$B$12,Paramètres!$A$1:$I$89,3,0)*VLOOKUP('Données projet'!$B$12,Paramètres!$A$1:$I$89,5,0)</f>
        <v>266.63832000000014</v>
      </c>
      <c r="CA99" s="14">
        <f t="shared" si="93"/>
        <v>64.135316563180083</v>
      </c>
      <c r="CB99" s="22">
        <f t="shared" si="64"/>
        <v>576.09741701420546</v>
      </c>
      <c r="CC99" s="62">
        <f t="shared" si="65"/>
        <v>856.10501106072104</v>
      </c>
      <c r="CD99" s="62">
        <f ca="1">AVERAGE(OFFSET($CC$3,0,0,'Données projet'!$E$12+1,1))-AVERAGE(OFFSET($H$3,0,0,'Données projet'!$E$12+1,1))</f>
        <v>451.95887041951761</v>
      </c>
      <c r="CE99" s="62">
        <f t="shared" si="94"/>
        <v>311.32964503257341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54.852547838827817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54.852547838827817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66.365707467231516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66.365707467231516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66.365707467231516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66.365707467231516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66.365707467231516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66.365707467231516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3.9000000000000004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13.800384000000014</v>
      </c>
      <c r="D100" s="12">
        <f t="shared" si="86"/>
        <v>4.6855427377742371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34.843741093672051</v>
      </c>
      <c r="H100" s="70">
        <f t="shared" si="56"/>
        <v>231.66298906829016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66.428754317614164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-1.3596945791505279E-13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251.99201350544561</v>
      </c>
      <c r="T100" s="62">
        <f t="shared" si="88"/>
        <v>366.66533117979162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 t="e">
        <f>EXP(-LN(2)/35)*Z99+(1-EXP(-LN(2)/35))/(LN(2)/35)*V100*W100*VLOOKUP('Données projet'!$B$9,Paramètres!$A$1:$I$89,3,0)*0.475*44/12</f>
        <v>#VALUE!</v>
      </c>
      <c r="AA100" s="23" t="e">
        <f>EXP(-LN(2)/25)*AA99+(1-EXP(-LN(2)/25))/(LN(2)/25)*Calculateur!V100*Calculateur!X100*VLOOKUP('Données projet'!$B$9,Paramètres!$A$1:$I$89,3,0)*0.475*44/12</f>
        <v>#VALUE!</v>
      </c>
      <c r="AB100" s="23" t="e">
        <f>EXP(-LN(2)/2)*AB99+(1-EXP(-LN(2)/2))/(LN(2)/2)*V100*Y100*VLOOKUP('Données projet'!$B$9,Paramètres!$A$1:$I$89,3,0)*0.475*44/12</f>
        <v>#VALUE!</v>
      </c>
      <c r="AC100" s="24" t="e">
        <f t="shared" si="57"/>
        <v>#VALUE!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66.428754317614164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149.52545095126411</v>
      </c>
      <c r="AO100" s="62">
        <f t="shared" si="90"/>
        <v>457.9161829331029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12.908041778342426</v>
      </c>
      <c r="AV100" s="23">
        <f>EXP(-LN(2)/25)*AV99+(1-EXP(-LN(2)/25))/(LN(2)/25)*Calculateur!AQ100*Calculateur!AS100*VLOOKUP('Données projet'!$B$10,Paramètres!$A$1:$I$89,3,0)*0.475*44/12</f>
        <v>3.0481828580290515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15.956224636371477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66.428754317614164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256.59999999999985</v>
      </c>
      <c r="BE100" s="14">
        <f>BD100*VLOOKUP('Données projet'!$B$11,Paramètres!$A$1:$I$89,3,0)*VLOOKUP('Données projet'!$B$11,Paramètres!$A$1:$I$89,5,0)</f>
        <v>260.19239999999985</v>
      </c>
      <c r="BF100" s="14">
        <f t="shared" si="91"/>
        <v>62.763388095288114</v>
      </c>
      <c r="BG100" s="22">
        <f t="shared" si="61"/>
        <v>562.48133093262652</v>
      </c>
      <c r="BH100" s="62">
        <f t="shared" si="62"/>
        <v>842.72009676387847</v>
      </c>
      <c r="BI100" s="62">
        <f ca="1">AVERAGE(OFFSET($BH$3,0,0,'Données projet'!$E$11+1,1))-AVERAGE(OFFSET($H$3,0,0,'Données projet'!$E$11+1,1))</f>
        <v>408.82357969905803</v>
      </c>
      <c r="BJ100" s="62">
        <f t="shared" si="92"/>
        <v>263.2013060831145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39.99261579549249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39.99261579549249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66.428754317614164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6.2</v>
      </c>
      <c r="BY100" s="13">
        <f>IF('Données projet'!$A$114&gt;35,BY99+BX100-CG99,IF(A100&lt;'Données projet'!$A$114,$BV$205^A100,IF(A100='Données projet'!$A$114,'Données projet'!$B$114,BY99+BX100-CG99)))</f>
        <v>286.40000000000015</v>
      </c>
      <c r="BZ100" s="14">
        <f>BY100*VLOOKUP('Données projet'!$B$12,Paramètres!$A$1:$I$89,3,0)*VLOOKUP('Données projet'!$B$12,Paramètres!$A$1:$I$89,5,0)</f>
        <v>272.53824000000014</v>
      </c>
      <c r="CA100" s="14">
        <f t="shared" si="93"/>
        <v>65.387654174541169</v>
      </c>
      <c r="CB100" s="22">
        <f t="shared" si="64"/>
        <v>588.55426568732616</v>
      </c>
      <c r="CC100" s="62">
        <f t="shared" si="65"/>
        <v>868.79303151857812</v>
      </c>
      <c r="CD100" s="62">
        <f ca="1">AVERAGE(OFFSET($CC$3,0,0,'Données projet'!$E$12+1,1))-AVERAGE(OFFSET($H$3,0,0,'Données projet'!$E$12+1,1))</f>
        <v>451.95887041951761</v>
      </c>
      <c r="CE100" s="62">
        <f t="shared" si="94"/>
        <v>311.32964503257341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53.776922832459007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53.776922832459007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66.428754317614164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66.428754317614164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66.428754317614164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66.428754317614164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66.428754317614164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66.428754317614164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3.9000000000000004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13.942656000000014</v>
      </c>
      <c r="D101" s="12">
        <f t="shared" si="86"/>
        <v>4.7281991393631646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35.072143891423991</v>
      </c>
      <c r="H101" s="70">
        <f t="shared" si="56"/>
        <v>231.98507270105753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66.490707446094319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-1.3596945791505279E-13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251.99201350544561</v>
      </c>
      <c r="T101" s="62">
        <f t="shared" si="88"/>
        <v>366.66533117979162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 t="e">
        <f>EXP(-LN(2)/35)*Z100+(1-EXP(-LN(2)/35))/(LN(2)/35)*V101*W101*VLOOKUP('Données projet'!$B$9,Paramètres!$A$1:$I$89,3,0)*0.475*44/12</f>
        <v>#VALUE!</v>
      </c>
      <c r="AA101" s="23" t="e">
        <f>EXP(-LN(2)/25)*AA100+(1-EXP(-LN(2)/25))/(LN(2)/25)*Calculateur!V101*Calculateur!X101*VLOOKUP('Données projet'!$B$9,Paramètres!$A$1:$I$89,3,0)*0.475*44/12</f>
        <v>#VALUE!</v>
      </c>
      <c r="AB101" s="23" t="e">
        <f>EXP(-LN(2)/2)*AB100+(1-EXP(-LN(2)/2))/(LN(2)/2)*V101*Y101*VLOOKUP('Données projet'!$B$9,Paramètres!$A$1:$I$89,3,0)*0.475*44/12</f>
        <v>#VALUE!</v>
      </c>
      <c r="AC101" s="24" t="e">
        <f t="shared" si="57"/>
        <v>#VALUE!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66.490707446094319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149.52545095126411</v>
      </c>
      <c r="AO101" s="62">
        <f t="shared" si="90"/>
        <v>457.9161829331029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12.654922952197209</v>
      </c>
      <c r="AV101" s="23">
        <f>EXP(-LN(2)/25)*AV100+(1-EXP(-LN(2)/25))/(LN(2)/25)*Calculateur!AQ101*Calculateur!AS101*VLOOKUP('Données projet'!$B$10,Paramètres!$A$1:$I$89,3,0)*0.475*44/12</f>
        <v>2.9648301374792774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15.619753089676486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66.490707446094319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261.39999999999986</v>
      </c>
      <c r="BE101" s="14">
        <f>BD101*VLOOKUP('Données projet'!$B$11,Paramètres!$A$1:$I$89,3,0)*VLOOKUP('Données projet'!$B$11,Paramètres!$A$1:$I$89,5,0)</f>
        <v>265.05959999999988</v>
      </c>
      <c r="BF101" s="14">
        <f t="shared" si="91"/>
        <v>63.799667487271606</v>
      </c>
      <c r="BG101" s="22">
        <f t="shared" si="61"/>
        <v>572.76322420699773</v>
      </c>
      <c r="BH101" s="62">
        <f t="shared" si="62"/>
        <v>853.22915150934364</v>
      </c>
      <c r="BI101" s="62">
        <f ca="1">AVERAGE(OFFSET($BH$3,0,0,'Données projet'!$E$11+1,1))-AVERAGE(OFFSET($H$3,0,0,'Données projet'!$E$11+1,1))</f>
        <v>408.82357969905803</v>
      </c>
      <c r="BJ101" s="62">
        <f t="shared" si="92"/>
        <v>263.2013060831145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39.208384992829899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39.208384992829899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66.490707446094319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6.2</v>
      </c>
      <c r="BY101" s="13">
        <f>IF('Données projet'!$A$114&gt;35,BY100+BX101-CG100,IF(A101&lt;'Données projet'!$A$114,$BV$205^A101,IF(A101='Données projet'!$A$114,'Données projet'!$B$114,BY100+BX101-CG100)))</f>
        <v>292.60000000000014</v>
      </c>
      <c r="BZ101" s="14">
        <f>BY101*VLOOKUP('Données projet'!$B$12,Paramètres!$A$1:$I$89,3,0)*VLOOKUP('Données projet'!$B$12,Paramètres!$A$1:$I$89,5,0)</f>
        <v>278.43816000000015</v>
      </c>
      <c r="CA101" s="14">
        <f t="shared" si="93"/>
        <v>66.636839817348402</v>
      </c>
      <c r="CB101" s="22">
        <f t="shared" si="64"/>
        <v>601.00562468188207</v>
      </c>
      <c r="CC101" s="62">
        <f t="shared" si="65"/>
        <v>881.47155198422797</v>
      </c>
      <c r="CD101" s="62">
        <f ca="1">AVERAGE(OFFSET($CC$3,0,0,'Données projet'!$E$12+1,1))-AVERAGE(OFFSET($H$3,0,0,'Données projet'!$E$12+1,1))</f>
        <v>451.95887041951761</v>
      </c>
      <c r="CE101" s="62">
        <f t="shared" si="94"/>
        <v>311.32964503257341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52.722390176398612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52.722390176398612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66.490707446094319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66.490707446094319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66.490707446094319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66.490707446094319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66.490707446094319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66.490707446094319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3.9000000000000004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14.084928000000014</v>
      </c>
      <c r="D102" s="12">
        <f t="shared" si="86"/>
        <v>4.7708049047412295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35.300484149013755</v>
      </c>
      <c r="H102" s="70">
        <f t="shared" si="56"/>
        <v>232.30706814242433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66.551585826301789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-1.3596945791505279E-13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251.99201350544561</v>
      </c>
      <c r="T102" s="62">
        <f t="shared" si="88"/>
        <v>366.66533117979162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 t="e">
        <f>EXP(-LN(2)/35)*Z101+(1-EXP(-LN(2)/35))/(LN(2)/35)*V102*W102*VLOOKUP('Données projet'!$B$9,Paramètres!$A$1:$I$89,3,0)*0.475*44/12</f>
        <v>#VALUE!</v>
      </c>
      <c r="AA102" s="23" t="e">
        <f>EXP(-LN(2)/25)*AA101+(1-EXP(-LN(2)/25))/(LN(2)/25)*Calculateur!V102*Calculateur!X102*VLOOKUP('Données projet'!$B$9,Paramètres!$A$1:$I$89,3,0)*0.475*44/12</f>
        <v>#VALUE!</v>
      </c>
      <c r="AB102" s="23" t="e">
        <f>EXP(-LN(2)/2)*AB101+(1-EXP(-LN(2)/2))/(LN(2)/2)*V102*Y102*VLOOKUP('Données projet'!$B$9,Paramètres!$A$1:$I$89,3,0)*0.475*44/12</f>
        <v>#VALUE!</v>
      </c>
      <c r="AC102" s="24" t="e">
        <f t="shared" si="57"/>
        <v>#VALUE!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66.551585826301789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149.52545095126411</v>
      </c>
      <c r="AO102" s="62">
        <f t="shared" si="90"/>
        <v>457.9161829331029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12.40676763184546</v>
      </c>
      <c r="AV102" s="23">
        <f>EXP(-LN(2)/25)*AV101+(1-EXP(-LN(2)/25))/(LN(2)/25)*Calculateur!AQ102*Calculateur!AS102*VLOOKUP('Données projet'!$B$10,Paramètres!$A$1:$I$89,3,0)*0.475*44/12</f>
        <v>2.8837567014562659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15.290524333301725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66.551585826301789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266.19999999999987</v>
      </c>
      <c r="BE102" s="14">
        <f>BD102*VLOOKUP('Données projet'!$B$11,Paramètres!$A$1:$I$89,3,0)*VLOOKUP('Données projet'!$B$11,Paramètres!$A$1:$I$89,5,0)</f>
        <v>269.9267999999999</v>
      </c>
      <c r="BF102" s="14">
        <f t="shared" si="91"/>
        <v>64.833734155250156</v>
      </c>
      <c r="BG102" s="22">
        <f t="shared" si="61"/>
        <v>583.04126365372724</v>
      </c>
      <c r="BH102" s="62">
        <f t="shared" si="62"/>
        <v>863.73041168350051</v>
      </c>
      <c r="BI102" s="62">
        <f ca="1">AVERAGE(OFFSET($BH$3,0,0,'Données projet'!$E$11+1,1))-AVERAGE(OFFSET($H$3,0,0,'Données projet'!$E$11+1,1))</f>
        <v>408.82357969905803</v>
      </c>
      <c r="BJ102" s="62">
        <f t="shared" si="92"/>
        <v>263.2013060831145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38.439532477873968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38.439532477873968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66.551585826301789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6.2</v>
      </c>
      <c r="BY102" s="13">
        <f>IF('Données projet'!$A$114&gt;35,BY101+BX102-CG101,IF(A102&lt;'Données projet'!$A$114,$BV$205^A102,IF(A102='Données projet'!$A$114,'Données projet'!$B$114,BY101+BX102-CG101)))</f>
        <v>298.80000000000013</v>
      </c>
      <c r="BZ102" s="14">
        <f>BY102*VLOOKUP('Données projet'!$B$12,Paramètres!$A$1:$I$89,3,0)*VLOOKUP('Données projet'!$B$12,Paramètres!$A$1:$I$89,5,0)</f>
        <v>284.33808000000016</v>
      </c>
      <c r="CA102" s="14">
        <f t="shared" si="93"/>
        <v>67.882947973242224</v>
      </c>
      <c r="CB102" s="22">
        <f t="shared" si="64"/>
        <v>613.45162372006382</v>
      </c>
      <c r="CC102" s="62">
        <f t="shared" si="65"/>
        <v>894.14077174983709</v>
      </c>
      <c r="CD102" s="62">
        <f ca="1">AVERAGE(OFFSET($CC$3,0,0,'Données projet'!$E$12+1,1))-AVERAGE(OFFSET($H$3,0,0,'Données projet'!$E$12+1,1))</f>
        <v>451.95887041951761</v>
      </c>
      <c r="CE102" s="62">
        <f t="shared" si="94"/>
        <v>311.32964503257341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51.688536262522156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51.688536262522156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66.551585826301789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66.551585826301789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66.551585826301789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66.551585826301789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66.551585826301789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66.551585826301789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3.9000000000000004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14.227200000000014</v>
      </c>
      <c r="D103" s="12">
        <f t="shared" si="86"/>
        <v>4.8133606046051645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35.52876257130184</v>
      </c>
      <c r="H103" s="70">
        <f t="shared" si="56"/>
        <v>232.62897638635403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66.611408102716325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-1.3596945791505279E-13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251.99201350544561</v>
      </c>
      <c r="T103" s="62">
        <f t="shared" si="88"/>
        <v>366.66533117979162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 t="e">
        <f>EXP(-LN(2)/35)*Z102+(1-EXP(-LN(2)/35))/(LN(2)/35)*V103*W103*VLOOKUP('Données projet'!$B$9,Paramètres!$A$1:$I$89,3,0)*0.475*44/12</f>
        <v>#VALUE!</v>
      </c>
      <c r="AA103" s="23" t="e">
        <f>EXP(-LN(2)/25)*AA102+(1-EXP(-LN(2)/25))/(LN(2)/25)*Calculateur!V103*Calculateur!X103*VLOOKUP('Données projet'!$B$9,Paramètres!$A$1:$I$89,3,0)*0.475*44/12</f>
        <v>#VALUE!</v>
      </c>
      <c r="AB103" s="23" t="e">
        <f>EXP(-LN(2)/2)*AB102+(1-EXP(-LN(2)/2))/(LN(2)/2)*V103*Y103*VLOOKUP('Données projet'!$B$9,Paramètres!$A$1:$I$89,3,0)*0.475*44/12</f>
        <v>#VALUE!</v>
      </c>
      <c r="AC103" s="24" t="e">
        <f t="shared" si="57"/>
        <v>#VALUE!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66.611408102716325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149.52545095126411</v>
      </c>
      <c r="AO103" s="62">
        <f t="shared" si="90"/>
        <v>457.9161829331029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12.163478485966008</v>
      </c>
      <c r="AV103" s="23">
        <f>EXP(-LN(2)/25)*AV102+(1-EXP(-LN(2)/25))/(LN(2)/25)*Calculateur!AQ103*Calculateur!AS103*VLOOKUP('Données projet'!$B$10,Paramètres!$A$1:$I$89,3,0)*0.475*44/12</f>
        <v>2.8049002228047701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14.968378708770778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66.611408102716325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271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270.99999999999989</v>
      </c>
      <c r="BE103" s="14">
        <f>BD103*VLOOKUP('Données projet'!$B$11,Paramètres!$A$1:$I$89,3,0)*VLOOKUP('Données projet'!$B$11,Paramètres!$A$1:$I$89,5,0)</f>
        <v>274.79399999999987</v>
      </c>
      <c r="BF103" s="14">
        <f t="shared" si="91"/>
        <v>65.865632600455527</v>
      </c>
      <c r="BG103" s="22">
        <f t="shared" si="61"/>
        <v>593.31552677912634</v>
      </c>
      <c r="BH103" s="62">
        <f t="shared" si="62"/>
        <v>874.22402315575289</v>
      </c>
      <c r="BI103" s="62">
        <f ca="1">AVERAGE(OFFSET($BH$3,0,0,'Données projet'!$E$11+1,1))-AVERAGE(OFFSET($H$3,0,0,'Données projet'!$E$11+1,1))</f>
        <v>408.82357969905803</v>
      </c>
      <c r="BJ103" s="62">
        <f t="shared" si="92"/>
        <v>263.2013060831145</v>
      </c>
      <c r="BK103" s="16">
        <f>IF(ISNA(VLOOKUP(A103,'Données projet'!$A$87:$I$107,3,0)),0,VLOOKUP(A103,'Données projet'!$A$87:$I$107,3,0))</f>
        <v>18</v>
      </c>
      <c r="BL103" s="16">
        <f>IF(ISNA(VLOOKUP(A103,'Données projet'!$A$87:$I$107,4,0)),0,VLOOKUP(A103,'Données projet'!$A$87:$I$107,4,0))</f>
        <v>18</v>
      </c>
      <c r="BM103" s="17">
        <f>IF(ISNA(VLOOKUP(A103,'Données projet'!$A$87:$I$107,5,0)),0%,VLOOKUP(A103,'Données projet'!$A$87:$I$107,5,0)*VLOOKUP('Données projet'!$B$11,Paramètres!$A$1:$I$89,7,0))</f>
        <v>0.34400000000000003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44.626660298111574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44.626660298111574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66.611408102716325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305</v>
      </c>
      <c r="BW103" s="13">
        <f>VLOOKUP(A103,'Données projet'!$A$113:$I$133,9,0)</f>
        <v>6.2</v>
      </c>
      <c r="BX103" s="13">
        <f t="array" ref="BX103">INDEX(BW:BW,MIN(IF(ISNUMBER(BW103:BW299),ROW(BW103:BW299),"")))</f>
        <v>6.2</v>
      </c>
      <c r="BY103" s="13">
        <f>IF('Données projet'!$A$114&gt;35,BY102+BX103-CG102,IF(A103&lt;'Données projet'!$A$114,$BV$205^A103,IF(A103='Données projet'!$A$114,'Données projet'!$B$114,BY102+BX103-CG102)))</f>
        <v>305.00000000000011</v>
      </c>
      <c r="BZ103" s="14">
        <f>BY103*VLOOKUP('Données projet'!$B$12,Paramètres!$A$1:$I$89,3,0)*VLOOKUP('Données projet'!$B$12,Paramètres!$A$1:$I$89,5,0)</f>
        <v>290.23800000000011</v>
      </c>
      <c r="CA103" s="14">
        <f t="shared" si="93"/>
        <v>69.126049856275287</v>
      </c>
      <c r="CB103" s="22">
        <f t="shared" si="64"/>
        <v>625.89238683301301</v>
      </c>
      <c r="CC103" s="62">
        <f t="shared" si="65"/>
        <v>906.80088320963955</v>
      </c>
      <c r="CD103" s="62">
        <f ca="1">AVERAGE(OFFSET($CC$3,0,0,'Données projet'!$E$12+1,1))-AVERAGE(OFFSET($H$3,0,0,'Données projet'!$E$12+1,1))</f>
        <v>451.95887041951761</v>
      </c>
      <c r="CE103" s="62">
        <f t="shared" si="94"/>
        <v>311.32964503257341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29</v>
      </c>
      <c r="CH103" s="17">
        <f>IF(ISNA(VLOOKUP(A103,'Données projet'!$A$113:$I$133,5,0)),0%,VLOOKUP(A103,'Données projet'!$A$113:$I$133,5,0)*VLOOKUP('Données projet'!$B$12,Paramètres!$A$1:$I$89,7,0))</f>
        <v>0.34400000000000003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61.169364550227826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61.169364550227826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66.611408102716325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66.611408102716325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66.611408102716325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66.611408102716325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66.611408102716325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66.611408102716325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3.9000000000000004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14.369472000000014</v>
      </c>
      <c r="D104" s="12">
        <f t="shared" si="86"/>
        <v>4.855866797579897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35.756979848239055</v>
      </c>
      <c r="H104" s="70">
        <f t="shared" si="56"/>
        <v>232.95079840578501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66.670192596377646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-1.3596945791505279E-13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251.99201350544561</v>
      </c>
      <c r="T104" s="62">
        <f t="shared" si="88"/>
        <v>366.66533117979162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 t="e">
        <f>EXP(-LN(2)/35)*Z103+(1-EXP(-LN(2)/35))/(LN(2)/35)*V104*W104*VLOOKUP('Données projet'!$B$9,Paramètres!$A$1:$I$89,3,0)*0.475*44/12</f>
        <v>#VALUE!</v>
      </c>
      <c r="AA104" s="23" t="e">
        <f>EXP(-LN(2)/25)*AA103+(1-EXP(-LN(2)/25))/(LN(2)/25)*Calculateur!V104*Calculateur!X104*VLOOKUP('Données projet'!$B$9,Paramètres!$A$1:$I$89,3,0)*0.475*44/12</f>
        <v>#VALUE!</v>
      </c>
      <c r="AB104" s="23" t="e">
        <f>EXP(-LN(2)/2)*AB103+(1-EXP(-LN(2)/2))/(LN(2)/2)*V104*Y104*VLOOKUP('Données projet'!$B$9,Paramètres!$A$1:$I$89,3,0)*0.475*44/12</f>
        <v>#VALUE!</v>
      </c>
      <c r="AC104" s="24" t="e">
        <f t="shared" si="57"/>
        <v>#VALUE!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66.670192596377646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149.52545095126411</v>
      </c>
      <c r="AO104" s="62">
        <f t="shared" si="90"/>
        <v>457.9161829331029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11.924960091845527</v>
      </c>
      <c r="AV104" s="23">
        <f>EXP(-LN(2)/25)*AV103+(1-EXP(-LN(2)/25))/(LN(2)/25)*Calculateur!AQ104*Calculateur!AS104*VLOOKUP('Données projet'!$B$10,Paramètres!$A$1:$I$89,3,0)*0.475*44/12</f>
        <v>2.7282000787088818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14.653160170554409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66.670192596377646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2.9</v>
      </c>
      <c r="BD104" s="13">
        <f>IF('Données projet'!$A$88&gt;35,BD103+BC104-BL103,IF(A104&lt;'Données projet'!$A$88,$BA$205^A104,IF(A104='Données projet'!$A$88,'Données projet'!$B$88,BD103+BC104-BL103)))</f>
        <v>255.89999999999986</v>
      </c>
      <c r="BE104" s="14">
        <f>BD104*VLOOKUP('Données projet'!$B$11,Paramètres!$A$1:$I$89,3,0)*VLOOKUP('Données projet'!$B$11,Paramètres!$A$1:$I$89,5,0)</f>
        <v>259.48259999999988</v>
      </c>
      <c r="BF104" s="14">
        <f t="shared" si="91"/>
        <v>62.612076401875939</v>
      </c>
      <c r="BG104" s="22">
        <f t="shared" si="61"/>
        <v>560.98156139993364</v>
      </c>
      <c r="BH104" s="62">
        <f t="shared" si="62"/>
        <v>842.10560091998502</v>
      </c>
      <c r="BI104" s="62">
        <f ca="1">AVERAGE(OFFSET($BH$3,0,0,'Données projet'!$E$11+1,1))-AVERAGE(OFFSET($H$3,0,0,'Données projet'!$E$11+1,1))</f>
        <v>408.82357969905803</v>
      </c>
      <c r="BJ104" s="62">
        <f t="shared" si="92"/>
        <v>263.2013060831145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43.751558709240676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43.751558709240676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66.670192596377646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6.2</v>
      </c>
      <c r="BY104" s="13">
        <f>IF('Données projet'!$A$114&gt;35,BY103+BX104-CG103,IF(A104&lt;'Données projet'!$A$114,$BV$205^A104,IF(A104='Données projet'!$A$114,'Données projet'!$B$114,BY103+BX104-CG103)))</f>
        <v>282.2000000000001</v>
      </c>
      <c r="BZ104" s="14">
        <f>BY104*VLOOKUP('Données projet'!$B$12,Paramètres!$A$1:$I$89,3,0)*VLOOKUP('Données projet'!$B$12,Paramètres!$A$1:$I$89,5,0)</f>
        <v>268.54152000000011</v>
      </c>
      <c r="CA104" s="14">
        <f t="shared" si="93"/>
        <v>64.539645516161599</v>
      </c>
      <c r="CB104" s="22">
        <f t="shared" si="64"/>
        <v>580.11636327398162</v>
      </c>
      <c r="CC104" s="62">
        <f t="shared" si="65"/>
        <v>861.240402794033</v>
      </c>
      <c r="CD104" s="62">
        <f ca="1">AVERAGE(OFFSET($CC$3,0,0,'Données projet'!$E$12+1,1))-AVERAGE(OFFSET($H$3,0,0,'Données projet'!$E$12+1,1))</f>
        <v>451.95887041951761</v>
      </c>
      <c r="CE104" s="62">
        <f t="shared" si="94"/>
        <v>311.32964503257341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59.969870621026217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59.969870621026217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66.670192596377646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66.670192596377646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66.670192596377646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66.670192596377646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66.670192596377646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66.670192596377646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3.9000000000000004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14.511744000000014</v>
      </c>
      <c r="D105" s="12">
        <f t="shared" si="86"/>
        <v>4.8983240305908584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35.985136655326272</v>
      </c>
      <c r="H105" s="70">
        <f t="shared" si="56"/>
        <v>233.27253515327911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66.727957310496379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-1.3596945791505279E-13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251.99201350544561</v>
      </c>
      <c r="T105" s="62">
        <f t="shared" si="88"/>
        <v>366.66533117979162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 t="e">
        <f>EXP(-LN(2)/35)*Z104+(1-EXP(-LN(2)/35))/(LN(2)/35)*V105*W105*VLOOKUP('Données projet'!$B$9,Paramètres!$A$1:$I$89,3,0)*0.475*44/12</f>
        <v>#VALUE!</v>
      </c>
      <c r="AA105" s="23" t="e">
        <f>EXP(-LN(2)/25)*AA104+(1-EXP(-LN(2)/25))/(LN(2)/25)*Calculateur!V105*Calculateur!X105*VLOOKUP('Données projet'!$B$9,Paramètres!$A$1:$I$89,3,0)*0.475*44/12</f>
        <v>#VALUE!</v>
      </c>
      <c r="AB105" s="23" t="e">
        <f>EXP(-LN(2)/2)*AB104+(1-EXP(-LN(2)/2))/(LN(2)/2)*V105*Y105*VLOOKUP('Données projet'!$B$9,Paramètres!$A$1:$I$89,3,0)*0.475*44/12</f>
        <v>#VALUE!</v>
      </c>
      <c r="AC105" s="24" t="e">
        <f t="shared" si="57"/>
        <v>#VALUE!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66.727957310496379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149.52545095126411</v>
      </c>
      <c r="AO105" s="62">
        <f t="shared" si="90"/>
        <v>457.9161829331029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11.691118897951894</v>
      </c>
      <c r="AV105" s="23">
        <f>EXP(-LN(2)/25)*AV104+(1-EXP(-LN(2)/25))/(LN(2)/25)*Calculateur!AQ105*Calculateur!AS105*VLOOKUP('Données projet'!$B$10,Paramètres!$A$1:$I$89,3,0)*0.475*44/12</f>
        <v>2.6535973040867806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14.344716202038674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66.727957310496379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2.9</v>
      </c>
      <c r="BD105" s="13">
        <f>IF('Données projet'!$A$88&gt;35,BD104+BC105-BL104,IF(A105&lt;'Données projet'!$A$88,$BA$205^A105,IF(A105='Données projet'!$A$88,'Données projet'!$B$88,BD104+BC105-BL104)))</f>
        <v>258.79999999999984</v>
      </c>
      <c r="BE105" s="14">
        <f>BD105*VLOOKUP('Données projet'!$B$11,Paramètres!$A$1:$I$89,3,0)*VLOOKUP('Données projet'!$B$11,Paramètres!$A$1:$I$89,5,0)</f>
        <v>262.42319999999989</v>
      </c>
      <c r="BF105" s="14">
        <f t="shared" si="91"/>
        <v>63.238627062047733</v>
      </c>
      <c r="BG105" s="22">
        <f t="shared" si="61"/>
        <v>567.19434879973289</v>
      </c>
      <c r="BH105" s="62">
        <f t="shared" si="62"/>
        <v>848.53019227155301</v>
      </c>
      <c r="BI105" s="62">
        <f ca="1">AVERAGE(OFFSET($BH$3,0,0,'Données projet'!$E$11+1,1))-AVERAGE(OFFSET($H$3,0,0,'Données projet'!$E$11+1,1))</f>
        <v>408.82357969905803</v>
      </c>
      <c r="BJ105" s="62">
        <f t="shared" si="92"/>
        <v>263.2013060831145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42.893617328768272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42.893617328768272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66.727957310496379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6.2</v>
      </c>
      <c r="BY105" s="13">
        <f>IF('Données projet'!$A$114&gt;35,BY104+BX105-CG104,IF(A105&lt;'Données projet'!$A$114,$BV$205^A105,IF(A105='Données projet'!$A$114,'Données projet'!$B$114,BY104+BX105-CG104)))</f>
        <v>288.40000000000009</v>
      </c>
      <c r="BZ105" s="14">
        <f>BY105*VLOOKUP('Données projet'!$B$12,Paramètres!$A$1:$I$89,3,0)*VLOOKUP('Données projet'!$B$12,Paramètres!$A$1:$I$89,5,0)</f>
        <v>274.44144000000011</v>
      </c>
      <c r="CA105" s="14">
        <f t="shared" si="93"/>
        <v>65.790958016885554</v>
      </c>
      <c r="CB105" s="22">
        <f t="shared" si="64"/>
        <v>592.57142654607583</v>
      </c>
      <c r="CC105" s="62">
        <f t="shared" si="65"/>
        <v>873.90727001789583</v>
      </c>
      <c r="CD105" s="62">
        <f ca="1">AVERAGE(OFFSET($CC$3,0,0,'Données projet'!$E$12+1,1))-AVERAGE(OFFSET($H$3,0,0,'Données projet'!$E$12+1,1))</f>
        <v>451.95887041951761</v>
      </c>
      <c r="CE105" s="62">
        <f t="shared" si="94"/>
        <v>311.32964503257341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58.793898036157195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58.793898036157195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66.727957310496379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66.727957310496379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66.727957310496379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66.727957310496379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66.727957310496379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66.727957310496379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3.9000000000000004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14.654016000000015</v>
      </c>
      <c r="D106" s="12">
        <f t="shared" si="86"/>
        <v>4.9407328392212371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36.213233654055728</v>
      </c>
      <c r="H106" s="70">
        <f t="shared" si="56"/>
        <v>233.59418756164368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66.784719935967715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-1.3596945791505279E-13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251.99201350544561</v>
      </c>
      <c r="T106" s="62">
        <f t="shared" si="88"/>
        <v>366.66533117979162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 t="e">
        <f>EXP(-LN(2)/35)*Z105+(1-EXP(-LN(2)/35))/(LN(2)/35)*V106*W106*VLOOKUP('Données projet'!$B$9,Paramètres!$A$1:$I$89,3,0)*0.475*44/12</f>
        <v>#VALUE!</v>
      </c>
      <c r="AA106" s="23" t="e">
        <f>EXP(-LN(2)/25)*AA105+(1-EXP(-LN(2)/25))/(LN(2)/25)*Calculateur!V106*Calculateur!X106*VLOOKUP('Données projet'!$B$9,Paramètres!$A$1:$I$89,3,0)*0.475*44/12</f>
        <v>#VALUE!</v>
      </c>
      <c r="AB106" s="23" t="e">
        <f>EXP(-LN(2)/2)*AB105+(1-EXP(-LN(2)/2))/(LN(2)/2)*V106*Y106*VLOOKUP('Données projet'!$B$9,Paramètres!$A$1:$I$89,3,0)*0.475*44/12</f>
        <v>#VALUE!</v>
      </c>
      <c r="AC106" s="24" t="e">
        <f t="shared" si="57"/>
        <v>#VALUE!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66.784719935967715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149.52545095126411</v>
      </c>
      <c r="AO106" s="62">
        <f t="shared" si="90"/>
        <v>457.9161829331029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11.46186318724147</v>
      </c>
      <c r="AV106" s="23">
        <f>EXP(-LN(2)/25)*AV105+(1-EXP(-LN(2)/25))/(LN(2)/25)*Calculateur!AQ106*Calculateur!AS106*VLOOKUP('Données projet'!$B$10,Paramètres!$A$1:$I$89,3,0)*0.475*44/12</f>
        <v>2.5810345462599105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14.04289773350138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66.784719935967715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2.9</v>
      </c>
      <c r="BD106" s="13">
        <f>IF('Données projet'!$A$88&gt;35,BD105+BC106-BL105,IF(A106&lt;'Données projet'!$A$88,$BA$205^A106,IF(A106='Données projet'!$A$88,'Données projet'!$B$88,BD105+BC106-BL105)))</f>
        <v>261.69999999999982</v>
      </c>
      <c r="BE106" s="14">
        <f>BD106*VLOOKUP('Données projet'!$B$11,Paramètres!$A$1:$I$89,3,0)*VLOOKUP('Données projet'!$B$11,Paramètres!$A$1:$I$89,5,0)</f>
        <v>265.3637999999998</v>
      </c>
      <c r="BF106" s="14">
        <f t="shared" si="91"/>
        <v>63.864361009518561</v>
      </c>
      <c r="BG106" s="22">
        <f t="shared" si="61"/>
        <v>573.40571375824447</v>
      </c>
      <c r="BH106" s="62">
        <f t="shared" si="62"/>
        <v>854.94968685679282</v>
      </c>
      <c r="BI106" s="62">
        <f ca="1">AVERAGE(OFFSET($BH$3,0,0,'Données projet'!$E$11+1,1))-AVERAGE(OFFSET($H$3,0,0,'Données projet'!$E$11+1,1))</f>
        <v>408.82357969905803</v>
      </c>
      <c r="BJ106" s="62">
        <f t="shared" si="92"/>
        <v>263.2013060831145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42.052499655474364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42.052499655474364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66.784719935967715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6.2</v>
      </c>
      <c r="BY106" s="13">
        <f>IF('Données projet'!$A$114&gt;35,BY105+BX106-CG105,IF(A106&lt;'Données projet'!$A$114,$BV$205^A106,IF(A106='Données projet'!$A$114,'Données projet'!$B$114,BY105+BX106-CG105)))</f>
        <v>294.60000000000008</v>
      </c>
      <c r="BZ106" s="14">
        <f>BY106*VLOOKUP('Données projet'!$B$12,Paramètres!$A$1:$I$89,3,0)*VLOOKUP('Données projet'!$B$12,Paramètres!$A$1:$I$89,5,0)</f>
        <v>280.34136000000007</v>
      </c>
      <c r="CA106" s="14">
        <f t="shared" si="93"/>
        <v>67.039142945795618</v>
      </c>
      <c r="CB106" s="22">
        <f t="shared" si="64"/>
        <v>605.02104263059414</v>
      </c>
      <c r="CC106" s="62">
        <f t="shared" si="65"/>
        <v>886.56501572914249</v>
      </c>
      <c r="CD106" s="62">
        <f ca="1">AVERAGE(OFFSET($CC$3,0,0,'Données projet'!$E$12+1,1))-AVERAGE(OFFSET($H$3,0,0,'Données projet'!$E$12+1,1))</f>
        <v>451.95887041951761</v>
      </c>
      <c r="CE106" s="62">
        <f t="shared" si="94"/>
        <v>311.32964503257341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57.640985556404999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57.640985556404999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66.784719935967715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66.784719935967715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66.784719935967715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66.784719935967715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66.784719935967715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66.784719935967715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3.9000000000000004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14.796288000000015</v>
      </c>
      <c r="D107" s="12">
        <f t="shared" si="86"/>
        <v>4.9830937480549933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36.441271492334607</v>
      </c>
      <c r="H107" s="70">
        <f t="shared" si="56"/>
        <v>233.91575654452913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66.840497856789327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-1.3596945791505279E-13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251.99201350544561</v>
      </c>
      <c r="T107" s="62">
        <f t="shared" si="88"/>
        <v>366.66533117979162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 t="e">
        <f>EXP(-LN(2)/35)*Z106+(1-EXP(-LN(2)/35))/(LN(2)/35)*V107*W107*VLOOKUP('Données projet'!$B$9,Paramètres!$A$1:$I$89,3,0)*0.475*44/12</f>
        <v>#VALUE!</v>
      </c>
      <c r="AA107" s="23" t="e">
        <f>EXP(-LN(2)/25)*AA106+(1-EXP(-LN(2)/25))/(LN(2)/25)*Calculateur!V107*Calculateur!X107*VLOOKUP('Données projet'!$B$9,Paramètres!$A$1:$I$89,3,0)*0.475*44/12</f>
        <v>#VALUE!</v>
      </c>
      <c r="AB107" s="23" t="e">
        <f>EXP(-LN(2)/2)*AB106+(1-EXP(-LN(2)/2))/(LN(2)/2)*V107*Y107*VLOOKUP('Données projet'!$B$9,Paramètres!$A$1:$I$89,3,0)*0.475*44/12</f>
        <v>#VALUE!</v>
      </c>
      <c r="AC107" s="24" t="e">
        <f t="shared" si="57"/>
        <v>#VALUE!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66.840497856789327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149.52545095126411</v>
      </c>
      <c r="AO107" s="62">
        <f t="shared" si="90"/>
        <v>457.9161829331029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11.2371030411859</v>
      </c>
      <c r="AV107" s="23">
        <f>EXP(-LN(2)/25)*AV106+(1-EXP(-LN(2)/25))/(LN(2)/25)*Calculateur!AQ107*Calculateur!AS107*VLOOKUP('Données projet'!$B$10,Paramètres!$A$1:$I$89,3,0)*0.475*44/12</f>
        <v>2.5104560208617253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13.747559062047625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66.840497856789327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2.9</v>
      </c>
      <c r="BD107" s="13">
        <f>IF('Données projet'!$A$88&gt;35,BD106+BC107-BL106,IF(A107&lt;'Données projet'!$A$88,$BA$205^A107,IF(A107='Données projet'!$A$88,'Données projet'!$B$88,BD106+BC107-BL106)))</f>
        <v>264.5999999999998</v>
      </c>
      <c r="BE107" s="14">
        <f>BD107*VLOOKUP('Données projet'!$B$11,Paramètres!$A$1:$I$89,3,0)*VLOOKUP('Données projet'!$B$11,Paramètres!$A$1:$I$89,5,0)</f>
        <v>268.30439999999982</v>
      </c>
      <c r="BF107" s="14">
        <f t="shared" si="91"/>
        <v>64.489288341959309</v>
      </c>
      <c r="BG107" s="22">
        <f t="shared" si="61"/>
        <v>579.61567386224544</v>
      </c>
      <c r="BH107" s="62">
        <f t="shared" si="62"/>
        <v>861.3641660038063</v>
      </c>
      <c r="BI107" s="62">
        <f ca="1">AVERAGE(OFFSET($BH$3,0,0,'Données projet'!$E$11+1,1))-AVERAGE(OFFSET($H$3,0,0,'Données projet'!$E$11+1,1))</f>
        <v>408.82357969905803</v>
      </c>
      <c r="BJ107" s="62">
        <f t="shared" si="92"/>
        <v>263.2013060831145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41.227875786722628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41.227875786722628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66.840497856789327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6.2</v>
      </c>
      <c r="BY107" s="13">
        <f>IF('Données projet'!$A$114&gt;35,BY106+BX107-CG106,IF(A107&lt;'Données projet'!$A$114,$BV$205^A107,IF(A107='Données projet'!$A$114,'Données projet'!$B$114,BY106+BX107-CG106)))</f>
        <v>300.80000000000007</v>
      </c>
      <c r="BZ107" s="14">
        <f>BY107*VLOOKUP('Données projet'!$B$12,Paramètres!$A$1:$I$89,3,0)*VLOOKUP('Données projet'!$B$12,Paramètres!$A$1:$I$89,5,0)</f>
        <v>286.24128000000007</v>
      </c>
      <c r="CA107" s="14">
        <f t="shared" si="93"/>
        <v>68.284273706763841</v>
      </c>
      <c r="CB107" s="22">
        <f t="shared" si="64"/>
        <v>617.4653393726137</v>
      </c>
      <c r="CC107" s="62">
        <f t="shared" si="65"/>
        <v>899.21383151417456</v>
      </c>
      <c r="CD107" s="62">
        <f ca="1">AVERAGE(OFFSET($CC$3,0,0,'Données projet'!$E$12+1,1))-AVERAGE(OFFSET($H$3,0,0,'Données projet'!$E$12+1,1))</f>
        <v>451.95887041951761</v>
      </c>
      <c r="CE107" s="62">
        <f t="shared" si="94"/>
        <v>311.32964503257341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56.510680987173572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56.510680987173572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66.840497856789327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66.840497856789327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66.840497856789327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66.840497856789327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66.840497856789327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66.840497856789327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3.9000000000000004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14.938560000000015</v>
      </c>
      <c r="D108" s="12">
        <f t="shared" si="86"/>
        <v>5.0254072710062925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36.669250804892002</v>
      </c>
      <c r="H108" s="70">
        <f t="shared" si="56"/>
        <v>234.23724299700265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66.89530815538545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-1.3596945791505279E-13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251.99201350544561</v>
      </c>
      <c r="T108" s="62">
        <f t="shared" si="88"/>
        <v>366.66533117979162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 t="e">
        <f>EXP(-LN(2)/35)*Z107+(1-EXP(-LN(2)/35))/(LN(2)/35)*V108*W108*VLOOKUP('Données projet'!$B$9,Paramètres!$A$1:$I$89,3,0)*0.475*44/12</f>
        <v>#VALUE!</v>
      </c>
      <c r="AA108" s="23" t="e">
        <f>EXP(-LN(2)/25)*AA107+(1-EXP(-LN(2)/25))/(LN(2)/25)*Calculateur!V108*Calculateur!X108*VLOOKUP('Données projet'!$B$9,Paramètres!$A$1:$I$89,3,0)*0.475*44/12</f>
        <v>#VALUE!</v>
      </c>
      <c r="AB108" s="23" t="e">
        <f>EXP(-LN(2)/2)*AB107+(1-EXP(-LN(2)/2))/(LN(2)/2)*V108*Y108*VLOOKUP('Données projet'!$B$9,Paramètres!$A$1:$I$89,3,0)*0.475*44/12</f>
        <v>#VALUE!</v>
      </c>
      <c r="AC108" s="24" t="e">
        <f t="shared" si="57"/>
        <v>#VALUE!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66.89530815538545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149.52545095126411</v>
      </c>
      <c r="AO108" s="62">
        <f t="shared" si="90"/>
        <v>457.9161829331029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11.016750304504328</v>
      </c>
      <c r="AV108" s="23">
        <f>EXP(-LN(2)/25)*AV107+(1-EXP(-LN(2)/25))/(LN(2)/25)*Calculateur!AQ108*Calculateur!AS108*VLOOKUP('Données projet'!$B$10,Paramètres!$A$1:$I$89,3,0)*0.475*44/12</f>
        <v>2.441807468952117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13.458557773456445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66.89530815538545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2.9</v>
      </c>
      <c r="BD108" s="13">
        <f>IF('Données projet'!$A$88&gt;35,BD107+BC108-BL107,IF(A108&lt;'Données projet'!$A$88,$BA$205^A108,IF(A108='Données projet'!$A$88,'Données projet'!$B$88,BD107+BC108-BL107)))</f>
        <v>267.49999999999977</v>
      </c>
      <c r="BE108" s="14">
        <f>BD108*VLOOKUP('Données projet'!$B$11,Paramètres!$A$1:$I$89,3,0)*VLOOKUP('Données projet'!$B$11,Paramètres!$A$1:$I$89,5,0)</f>
        <v>271.24499999999978</v>
      </c>
      <c r="BF108" s="14">
        <f t="shared" si="91"/>
        <v>65.113418922954708</v>
      </c>
      <c r="BG108" s="22">
        <f t="shared" si="61"/>
        <v>585.82424629081231</v>
      </c>
      <c r="BH108" s="62">
        <f t="shared" si="62"/>
        <v>867.77370952722572</v>
      </c>
      <c r="BI108" s="62">
        <f ca="1">AVERAGE(OFFSET($BH$3,0,0,'Données projet'!$E$11+1,1))-AVERAGE(OFFSET($H$3,0,0,'Données projet'!$E$11+1,1))</f>
        <v>408.82357969905803</v>
      </c>
      <c r="BJ108" s="62">
        <f t="shared" si="92"/>
        <v>263.2013060831145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40.419422289066212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40.419422289066212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66.89530815538545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307</v>
      </c>
      <c r="BW108" s="13">
        <f>VLOOKUP(A108,'Données projet'!$A$113:$I$133,9,0)</f>
        <v>6.2</v>
      </c>
      <c r="BX108" s="13">
        <f t="array" ref="BX108">INDEX(BW:BW,MIN(IF(ISNUMBER(BW108:BW304),ROW(BW108:BW304),"")))</f>
        <v>6.2</v>
      </c>
      <c r="BY108" s="13">
        <f>IF('Données projet'!$A$114&gt;35,BY107+BX108-CG107,IF(A108&lt;'Données projet'!$A$114,$BV$205^A108,IF(A108='Données projet'!$A$114,'Données projet'!$B$114,BY107+BX108-CG107)))</f>
        <v>307.00000000000006</v>
      </c>
      <c r="BZ108" s="14">
        <f>BY108*VLOOKUP('Données projet'!$B$12,Paramètres!$A$1:$I$89,3,0)*VLOOKUP('Données projet'!$B$12,Paramètres!$A$1:$I$89,5,0)</f>
        <v>292.14120000000008</v>
      </c>
      <c r="CA108" s="14">
        <f t="shared" si="93"/>
        <v>69.526420504752267</v>
      </c>
      <c r="CB108" s="22">
        <f t="shared" si="64"/>
        <v>629.90443904577694</v>
      </c>
      <c r="CC108" s="62">
        <f t="shared" si="65"/>
        <v>911.85390228219035</v>
      </c>
      <c r="CD108" s="62">
        <f ca="1">AVERAGE(OFFSET($CC$3,0,0,'Données projet'!$E$12+1,1))-AVERAGE(OFFSET($H$3,0,0,'Données projet'!$E$12+1,1))</f>
        <v>451.95887041951761</v>
      </c>
      <c r="CE108" s="62">
        <f t="shared" si="94"/>
        <v>311.32964503257341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28</v>
      </c>
      <c r="CH108" s="17">
        <f>IF(ISNA(VLOOKUP(A108,'Données projet'!$A$113:$I$133,5,0)),0%,VLOOKUP(A108,'Données projet'!$A$113:$I$133,5,0)*VLOOKUP('Données projet'!$B$12,Paramètres!$A$1:$I$89,7,0))</f>
        <v>0.34400000000000003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65.535073787118421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65.535073787118421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66.89530815538545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66.89530815538545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66.89530815538545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66.89530815538545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66.89530815538545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66.89530815538545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3.9000000000000004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15.080832000000015</v>
      </c>
      <c r="D109" s="12">
        <f t="shared" si="86"/>
        <v>5.0676739116360148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36.897172213669762</v>
      </c>
      <c r="H109" s="70">
        <f t="shared" si="56"/>
        <v>234.55864779609942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66.949167617838384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-1.3596945791505279E-13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251.99201350544561</v>
      </c>
      <c r="T109" s="62">
        <f t="shared" si="88"/>
        <v>366.66533117979162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 t="e">
        <f>EXP(-LN(2)/35)*Z108+(1-EXP(-LN(2)/35))/(LN(2)/35)*V109*W109*VLOOKUP('Données projet'!$B$9,Paramètres!$A$1:$I$89,3,0)*0.475*44/12</f>
        <v>#VALUE!</v>
      </c>
      <c r="AA109" s="23" t="e">
        <f>EXP(-LN(2)/25)*AA108+(1-EXP(-LN(2)/25))/(LN(2)/25)*Calculateur!V109*Calculateur!X109*VLOOKUP('Données projet'!$B$9,Paramètres!$A$1:$I$89,3,0)*0.475*44/12</f>
        <v>#VALUE!</v>
      </c>
      <c r="AB109" s="23" t="e">
        <f>EXP(-LN(2)/2)*AB108+(1-EXP(-LN(2)/2))/(LN(2)/2)*V109*Y109*VLOOKUP('Données projet'!$B$9,Paramètres!$A$1:$I$89,3,0)*0.475*44/12</f>
        <v>#VALUE!</v>
      </c>
      <c r="AC109" s="24" t="e">
        <f t="shared" si="57"/>
        <v>#VALUE!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66.949167617838384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149.52545095126411</v>
      </c>
      <c r="AO109" s="62">
        <f t="shared" si="90"/>
        <v>457.9161829331029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10.800718550587183</v>
      </c>
      <c r="AV109" s="23">
        <f>EXP(-LN(2)/25)*AV108+(1-EXP(-LN(2)/25))/(LN(2)/25)*Calculateur!AQ109*Calculateur!AS109*VLOOKUP('Données projet'!$B$10,Paramètres!$A$1:$I$89,3,0)*0.475*44/12</f>
        <v>2.3750361153045474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13.175754665891731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66.949167617838384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2.9</v>
      </c>
      <c r="BD109" s="13">
        <f>IF('Données projet'!$A$88&gt;35,BD108+BC109-BL108,IF(A109&lt;'Données projet'!$A$88,$BA$205^A109,IF(A109='Données projet'!$A$88,'Données projet'!$B$88,BD108+BC109-BL108)))</f>
        <v>270.39999999999975</v>
      </c>
      <c r="BE109" s="14">
        <f>BD109*VLOOKUP('Données projet'!$B$11,Paramètres!$A$1:$I$89,3,0)*VLOOKUP('Données projet'!$B$11,Paramètres!$A$1:$I$89,5,0)</f>
        <v>274.18559999999979</v>
      </c>
      <c r="BF109" s="14">
        <f t="shared" si="91"/>
        <v>65.736762389907383</v>
      </c>
      <c r="BG109" s="22">
        <f t="shared" si="61"/>
        <v>592.03144782908828</v>
      </c>
      <c r="BH109" s="62">
        <f t="shared" si="62"/>
        <v>874.17839576116239</v>
      </c>
      <c r="BI109" s="62">
        <f ca="1">AVERAGE(OFFSET($BH$3,0,0,'Données projet'!$E$11+1,1))-AVERAGE(OFFSET($H$3,0,0,'Données projet'!$E$11+1,1))</f>
        <v>408.82357969905803</v>
      </c>
      <c r="BJ109" s="62">
        <f t="shared" si="92"/>
        <v>263.2013060831145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39.626822071390897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39.626822071390897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66.949167617838384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6</v>
      </c>
      <c r="BY109" s="13">
        <f>IF('Données projet'!$A$114&gt;35,BY108+BX109-CG108,IF(A109&lt;'Données projet'!$A$114,$BV$205^A109,IF(A109='Données projet'!$A$114,'Données projet'!$B$114,BY108+BX109-CG108)))</f>
        <v>285.00000000000006</v>
      </c>
      <c r="BZ109" s="14">
        <f>BY109*VLOOKUP('Données projet'!$B$12,Paramètres!$A$1:$I$89,3,0)*VLOOKUP('Données projet'!$B$12,Paramètres!$A$1:$I$89,5,0)</f>
        <v>271.20600000000002</v>
      </c>
      <c r="CA109" s="14">
        <f t="shared" si="93"/>
        <v>65.105146500462041</v>
      </c>
      <c r="CB109" s="22">
        <f t="shared" si="64"/>
        <v>585.7419134883047</v>
      </c>
      <c r="CC109" s="62">
        <f t="shared" si="65"/>
        <v>867.88886142037882</v>
      </c>
      <c r="CD109" s="62">
        <f ca="1">AVERAGE(OFFSET($CC$3,0,0,'Données projet'!$E$12+1,1))-AVERAGE(OFFSET($H$3,0,0,'Données projet'!$E$12+1,1))</f>
        <v>451.95887041951761</v>
      </c>
      <c r="CE109" s="62">
        <f t="shared" si="94"/>
        <v>311.32964503257341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64.249970962601083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64.249970962601083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66.949167617838384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66.949167617838384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66.949167617838384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66.949167617838384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66.949167617838384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66.949167617838384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3.9000000000000004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15.223104000000015</v>
      </c>
      <c r="D110" s="12">
        <f t="shared" si="86"/>
        <v>5.1098941634560058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37.12503632819832</v>
      </c>
      <c r="H110" s="70">
        <f t="shared" si="56"/>
        <v>234.87997180135258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67.002092739029493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-1.3596945791505279E-13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251.99201350544561</v>
      </c>
      <c r="T110" s="62">
        <f t="shared" si="88"/>
        <v>366.66533117979162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 t="e">
        <f>EXP(-LN(2)/35)*Z109+(1-EXP(-LN(2)/35))/(LN(2)/35)*V110*W110*VLOOKUP('Données projet'!$B$9,Paramètres!$A$1:$I$89,3,0)*0.475*44/12</f>
        <v>#VALUE!</v>
      </c>
      <c r="AA110" s="23" t="e">
        <f>EXP(-LN(2)/25)*AA109+(1-EXP(-LN(2)/25))/(LN(2)/25)*Calculateur!V110*Calculateur!X110*VLOOKUP('Données projet'!$B$9,Paramètres!$A$1:$I$89,3,0)*0.475*44/12</f>
        <v>#VALUE!</v>
      </c>
      <c r="AB110" s="23" t="e">
        <f>EXP(-LN(2)/2)*AB109+(1-EXP(-LN(2)/2))/(LN(2)/2)*V110*Y110*VLOOKUP('Données projet'!$B$9,Paramètres!$A$1:$I$89,3,0)*0.475*44/12</f>
        <v>#VALUE!</v>
      </c>
      <c r="AC110" s="24" t="e">
        <f t="shared" si="57"/>
        <v>#VALUE!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67.002092739029493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149.52545095126411</v>
      </c>
      <c r="AO110" s="62">
        <f t="shared" si="90"/>
        <v>457.9161829331029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10.588923047597994</v>
      </c>
      <c r="AV110" s="23">
        <f>EXP(-LN(2)/25)*AV109+(1-EXP(-LN(2)/25))/(LN(2)/25)*Calculateur!AQ110*Calculateur!AS110*VLOOKUP('Données projet'!$B$10,Paramètres!$A$1:$I$89,3,0)*0.475*44/12</f>
        <v>2.3100906278338234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12.899013675431817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67.002092739029493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2.9</v>
      </c>
      <c r="BD110" s="13">
        <f>IF('Données projet'!$A$88&gt;35,BD109+BC110-BL109,IF(A110&lt;'Données projet'!$A$88,$BA$205^A110,IF(A110='Données projet'!$A$88,'Données projet'!$B$88,BD109+BC110-BL109)))</f>
        <v>273.29999999999973</v>
      </c>
      <c r="BE110" s="14">
        <f>BD110*VLOOKUP('Données projet'!$B$11,Paramètres!$A$1:$I$89,3,0)*VLOOKUP('Données projet'!$B$11,Paramètres!$A$1:$I$89,5,0)</f>
        <v>277.12619999999976</v>
      </c>
      <c r="BF110" s="14">
        <f t="shared" si="91"/>
        <v>66.359328161593666</v>
      </c>
      <c r="BG110" s="22">
        <f t="shared" si="61"/>
        <v>598.23729488144193</v>
      </c>
      <c r="BH110" s="62">
        <f t="shared" si="62"/>
        <v>880.57830159121681</v>
      </c>
      <c r="BI110" s="62">
        <f ca="1">AVERAGE(OFFSET($BH$3,0,0,'Données projet'!$E$11+1,1))-AVERAGE(OFFSET($H$3,0,0,'Données projet'!$E$11+1,1))</f>
        <v>408.82357969905803</v>
      </c>
      <c r="BJ110" s="62">
        <f t="shared" si="92"/>
        <v>263.2013060831145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38.849764260545797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38.849764260545797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67.002092739029493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6</v>
      </c>
      <c r="BY110" s="13">
        <f>IF('Données projet'!$A$114&gt;35,BY109+BX110-CG109,IF(A110&lt;'Données projet'!$A$114,$BV$205^A110,IF(A110='Données projet'!$A$114,'Données projet'!$B$114,BY109+BX110-CG109)))</f>
        <v>291.00000000000006</v>
      </c>
      <c r="BZ110" s="14">
        <f>BY110*VLOOKUP('Données projet'!$B$12,Paramètres!$A$1:$I$89,3,0)*VLOOKUP('Données projet'!$B$12,Paramètres!$A$1:$I$89,5,0)</f>
        <v>276.91560000000004</v>
      </c>
      <c r="CA110" s="14">
        <f t="shared" si="93"/>
        <v>66.314766879144798</v>
      </c>
      <c r="CB110" s="22">
        <f t="shared" si="64"/>
        <v>597.79288898117727</v>
      </c>
      <c r="CC110" s="62">
        <f t="shared" si="65"/>
        <v>880.13389569095216</v>
      </c>
      <c r="CD110" s="62">
        <f ca="1">AVERAGE(OFFSET($CC$3,0,0,'Données projet'!$E$12+1,1))-AVERAGE(OFFSET($H$3,0,0,'Données projet'!$E$12+1,1))</f>
        <v>451.95887041951761</v>
      </c>
      <c r="CE110" s="62">
        <f t="shared" si="94"/>
        <v>311.32964503257341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62.990068220637205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62.990068220637205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67.002092739029493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67.002092739029493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67.002092739029493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67.002092739029493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67.002092739029493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67.002092739029493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3.9000000000000004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15.365376000000015</v>
      </c>
      <c r="D111" s="12">
        <f t="shared" si="86"/>
        <v>5.1520685102216106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37.352843745957941</v>
      </c>
      <c r="H111" s="70">
        <f t="shared" si="56"/>
        <v>235.20121585530268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67.054099727690783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-1.3596945791505279E-13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251.99201350544561</v>
      </c>
      <c r="T111" s="62">
        <f t="shared" si="88"/>
        <v>366.66533117979162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 t="e">
        <f>EXP(-LN(2)/35)*Z110+(1-EXP(-LN(2)/35))/(LN(2)/35)*V111*W111*VLOOKUP('Données projet'!$B$9,Paramètres!$A$1:$I$89,3,0)*0.475*44/12</f>
        <v>#VALUE!</v>
      </c>
      <c r="AA111" s="23" t="e">
        <f>EXP(-LN(2)/25)*AA110+(1-EXP(-LN(2)/25))/(LN(2)/25)*Calculateur!V111*Calculateur!X111*VLOOKUP('Données projet'!$B$9,Paramètres!$A$1:$I$89,3,0)*0.475*44/12</f>
        <v>#VALUE!</v>
      </c>
      <c r="AB111" s="23" t="e">
        <f>EXP(-LN(2)/2)*AB110+(1-EXP(-LN(2)/2))/(LN(2)/2)*V111*Y111*VLOOKUP('Données projet'!$B$9,Paramètres!$A$1:$I$89,3,0)*0.475*44/12</f>
        <v>#VALUE!</v>
      </c>
      <c r="AC111" s="24" t="e">
        <f t="shared" si="57"/>
        <v>#VALUE!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67.054099727690783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149.52545095126411</v>
      </c>
      <c r="AO111" s="62">
        <f t="shared" si="90"/>
        <v>457.9161829331029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10.381280725239922</v>
      </c>
      <c r="AV111" s="23">
        <f>EXP(-LN(2)/25)*AV110+(1-EXP(-LN(2)/25))/(LN(2)/25)*Calculateur!AQ111*Calculateur!AS111*VLOOKUP('Données projet'!$B$10,Paramètres!$A$1:$I$89,3,0)*0.475*44/12</f>
        <v>2.2469210781333211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12.628201803373242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67.054099727690783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2.9</v>
      </c>
      <c r="BD111" s="13">
        <f>IF('Données projet'!$A$88&gt;35,BD110+BC111-BL110,IF(A111&lt;'Données projet'!$A$88,$BA$205^A111,IF(A111='Données projet'!$A$88,'Données projet'!$B$88,BD110+BC111-BL110)))</f>
        <v>276.1999999999997</v>
      </c>
      <c r="BE111" s="14">
        <f>BD111*VLOOKUP('Données projet'!$B$11,Paramètres!$A$1:$I$89,3,0)*VLOOKUP('Données projet'!$B$11,Paramètres!$A$1:$I$89,5,0)</f>
        <v>280.06679999999972</v>
      </c>
      <c r="BF111" s="14">
        <f t="shared" si="91"/>
        <v>66.981125445388869</v>
      </c>
      <c r="BG111" s="22">
        <f t="shared" si="61"/>
        <v>604.44180348405177</v>
      </c>
      <c r="BH111" s="62">
        <f t="shared" si="62"/>
        <v>886.97350248558473</v>
      </c>
      <c r="BI111" s="62">
        <f ca="1">AVERAGE(OFFSET($BH$3,0,0,'Données projet'!$E$11+1,1))-AVERAGE(OFFSET($H$3,0,0,'Données projet'!$E$11+1,1))</f>
        <v>408.82357969905803</v>
      </c>
      <c r="BJ111" s="62">
        <f t="shared" si="92"/>
        <v>263.2013060831145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38.087944079412907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38.087944079412907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67.054099727690783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6</v>
      </c>
      <c r="BY111" s="13">
        <f>IF('Données projet'!$A$114&gt;35,BY110+BX111-CG110,IF(A111&lt;'Données projet'!$A$114,$BV$205^A111,IF(A111='Données projet'!$A$114,'Données projet'!$B$114,BY110+BX111-CG110)))</f>
        <v>297.00000000000006</v>
      </c>
      <c r="BZ111" s="14">
        <f>BY111*VLOOKUP('Données projet'!$B$12,Paramètres!$A$1:$I$89,3,0)*VLOOKUP('Données projet'!$B$12,Paramètres!$A$1:$I$89,5,0)</f>
        <v>282.62520000000006</v>
      </c>
      <c r="CA111" s="14">
        <f t="shared" si="93"/>
        <v>67.521487432655931</v>
      </c>
      <c r="CB111" s="22">
        <f t="shared" si="64"/>
        <v>609.83881394520915</v>
      </c>
      <c r="CC111" s="62">
        <f t="shared" si="65"/>
        <v>892.37051294674211</v>
      </c>
      <c r="CD111" s="62">
        <f ca="1">AVERAGE(OFFSET($CC$3,0,0,'Données projet'!$E$12+1,1))-AVERAGE(OFFSET($H$3,0,0,'Données projet'!$E$12+1,1))</f>
        <v>451.95887041951761</v>
      </c>
      <c r="CE111" s="62">
        <f t="shared" si="94"/>
        <v>311.32964503257341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61.754871402978452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61.754871402978452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67.054099727690783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67.054099727690783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67.054099727690783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67.054099727690783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67.054099727690783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67.054099727690783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3.9000000000000004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15.507648000000016</v>
      </c>
      <c r="D112" s="12">
        <f t="shared" si="86"/>
        <v>5.1941974262130604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37.580595052726324</v>
      </c>
      <c r="H112" s="70">
        <f t="shared" si="56"/>
        <v>235.52238078398778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67.105204511368996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-1.3596945791505279E-13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251.99201350544561</v>
      </c>
      <c r="T112" s="62">
        <f t="shared" si="88"/>
        <v>366.66533117979162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 t="e">
        <f>EXP(-LN(2)/35)*Z111+(1-EXP(-LN(2)/35))/(LN(2)/35)*V112*W112*VLOOKUP('Données projet'!$B$9,Paramètres!$A$1:$I$89,3,0)*0.475*44/12</f>
        <v>#VALUE!</v>
      </c>
      <c r="AA112" s="23" t="e">
        <f>EXP(-LN(2)/25)*AA111+(1-EXP(-LN(2)/25))/(LN(2)/25)*Calculateur!V112*Calculateur!X112*VLOOKUP('Données projet'!$B$9,Paramètres!$A$1:$I$89,3,0)*0.475*44/12</f>
        <v>#VALUE!</v>
      </c>
      <c r="AB112" s="23" t="e">
        <f>EXP(-LN(2)/2)*AB111+(1-EXP(-LN(2)/2))/(LN(2)/2)*V112*Y112*VLOOKUP('Données projet'!$B$9,Paramètres!$A$1:$I$89,3,0)*0.475*44/12</f>
        <v>#VALUE!</v>
      </c>
      <c r="AC112" s="24" t="e">
        <f t="shared" si="57"/>
        <v>#VALUE!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67.105204511368996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149.52545095126411</v>
      </c>
      <c r="AO112" s="62">
        <f t="shared" si="90"/>
        <v>457.9161829331029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10.17771014217398</v>
      </c>
      <c r="AV112" s="23">
        <f>EXP(-LN(2)/25)*AV111+(1-EXP(-LN(2)/25))/(LN(2)/25)*Calculateur!AQ112*Calculateur!AS112*VLOOKUP('Données projet'!$B$10,Paramètres!$A$1:$I$89,3,0)*0.475*44/12</f>
        <v>2.1854789030913215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12.363189045265301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67.105204511368996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2.9</v>
      </c>
      <c r="BD112" s="13">
        <f>IF('Données projet'!$A$88&gt;35,BD111+BC112-BL111,IF(A112&lt;'Données projet'!$A$88,$BA$205^A112,IF(A112='Données projet'!$A$88,'Données projet'!$B$88,BD111+BC112-BL111)))</f>
        <v>279.09999999999968</v>
      </c>
      <c r="BE112" s="14">
        <f>BD112*VLOOKUP('Données projet'!$B$11,Paramètres!$A$1:$I$89,3,0)*VLOOKUP('Données projet'!$B$11,Paramètres!$A$1:$I$89,5,0)</f>
        <v>283.00739999999968</v>
      </c>
      <c r="BF112" s="14">
        <f t="shared" si="91"/>
        <v>67.602163244181128</v>
      </c>
      <c r="BG112" s="22">
        <f t="shared" si="61"/>
        <v>610.64498931694811</v>
      </c>
      <c r="BH112" s="62">
        <f t="shared" si="62"/>
        <v>893.36407252530103</v>
      </c>
      <c r="BI112" s="62">
        <f ca="1">AVERAGE(OFFSET($BH$3,0,0,'Données projet'!$E$11+1,1))-AVERAGE(OFFSET($H$3,0,0,'Données projet'!$E$11+1,1))</f>
        <v>408.82357969905803</v>
      </c>
      <c r="BJ112" s="62">
        <f t="shared" si="92"/>
        <v>263.2013060831145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37.3410627273676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37.3410627273676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67.105204511368996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6</v>
      </c>
      <c r="BY112" s="13">
        <f>IF('Données projet'!$A$114&gt;35,BY111+BX112-CG111,IF(A112&lt;'Données projet'!$A$114,$BV$205^A112,IF(A112='Données projet'!$A$114,'Données projet'!$B$114,BY111+BX112-CG111)))</f>
        <v>303.00000000000006</v>
      </c>
      <c r="BZ112" s="14">
        <f>BY112*VLOOKUP('Données projet'!$B$12,Paramètres!$A$1:$I$89,3,0)*VLOOKUP('Données projet'!$B$12,Paramètres!$A$1:$I$89,5,0)</f>
        <v>288.33480000000009</v>
      </c>
      <c r="CA112" s="14">
        <f t="shared" si="93"/>
        <v>68.725373494438969</v>
      </c>
      <c r="CB112" s="22">
        <f t="shared" si="64"/>
        <v>621.8798021694812</v>
      </c>
      <c r="CC112" s="62">
        <f t="shared" si="65"/>
        <v>904.59888537783422</v>
      </c>
      <c r="CD112" s="62">
        <f ca="1">AVERAGE(OFFSET($CC$3,0,0,'Données projet'!$E$12+1,1))-AVERAGE(OFFSET($H$3,0,0,'Données projet'!$E$12+1,1))</f>
        <v>451.95887041951761</v>
      </c>
      <c r="CE112" s="62">
        <f t="shared" si="94"/>
        <v>311.32964503257341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60.543896041518316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60.543896041518316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67.105204511368996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67.105204511368996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67.105204511368996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67.105204511368996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67.105204511368996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67.105204511368996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3.9000000000000004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15.649920000000016</v>
      </c>
      <c r="D113" s="12">
        <f t="shared" si="86"/>
        <v>5.2362813765062519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37.808290822913008</v>
      </c>
      <c r="H113" s="70">
        <f t="shared" si="56"/>
        <v>235.84346739741508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67.155422741303582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-1.3596945791505279E-13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251.99201350544561</v>
      </c>
      <c r="T113" s="62">
        <f t="shared" si="88"/>
        <v>366.66533117979162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 t="e">
        <f>EXP(-LN(2)/35)*Z112+(1-EXP(-LN(2)/35))/(LN(2)/35)*V113*W113*VLOOKUP('Données projet'!$B$9,Paramètres!$A$1:$I$89,3,0)*0.475*44/12</f>
        <v>#VALUE!</v>
      </c>
      <c r="AA113" s="23" t="e">
        <f>EXP(-LN(2)/25)*AA112+(1-EXP(-LN(2)/25))/(LN(2)/25)*Calculateur!V113*Calculateur!X113*VLOOKUP('Données projet'!$B$9,Paramètres!$A$1:$I$89,3,0)*0.475*44/12</f>
        <v>#VALUE!</v>
      </c>
      <c r="AB113" s="23" t="e">
        <f>EXP(-LN(2)/2)*AB112+(1-EXP(-LN(2)/2))/(LN(2)/2)*V113*Y113*VLOOKUP('Données projet'!$B$9,Paramètres!$A$1:$I$89,3,0)*0.475*44/12</f>
        <v>#VALUE!</v>
      </c>
      <c r="AC113" s="24" t="e">
        <f t="shared" si="57"/>
        <v>#VALUE!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67.155422741303582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149.52545095126411</v>
      </c>
      <c r="AO113" s="62">
        <f t="shared" si="90"/>
        <v>457.9161829331029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9.9781314540761663</v>
      </c>
      <c r="AV113" s="23">
        <f>EXP(-LN(2)/25)*AV112+(1-EXP(-LN(2)/25))/(LN(2)/25)*Calculateur!AQ113*Calculateur!AS113*VLOOKUP('Données projet'!$B$10,Paramètres!$A$1:$I$89,3,0)*0.475*44/12</f>
        <v>2.1257168675569487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12.103848321633116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67.155422741303582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282</v>
      </c>
      <c r="BB113" s="13">
        <f>VLOOKUP(A113,'Données projet'!$A$87:$I$107,9,0)</f>
        <v>2.9</v>
      </c>
      <c r="BC113" s="13">
        <f t="array" ref="BC113">INDEX(BB:BB,MIN(IF(ISNUMBER(BB113:BB309),ROW(BB113:BB309),"")))</f>
        <v>2.9</v>
      </c>
      <c r="BD113" s="13">
        <f>IF('Données projet'!$A$88&gt;35,BD112+BC113-BL112,IF(A113&lt;'Données projet'!$A$88,$BA$205^A113,IF(A113='Données projet'!$A$88,'Données projet'!$B$88,BD112+BC113-BL112)))</f>
        <v>281.99999999999966</v>
      </c>
      <c r="BE113" s="14">
        <f>BD113*VLOOKUP('Données projet'!$B$11,Paramètres!$A$1:$I$89,3,0)*VLOOKUP('Données projet'!$B$11,Paramètres!$A$1:$I$89,5,0)</f>
        <v>285.94799999999969</v>
      </c>
      <c r="BF113" s="14">
        <f t="shared" si="91"/>
        <v>68.222450362989377</v>
      </c>
      <c r="BG113" s="22">
        <f t="shared" si="61"/>
        <v>616.84686771553925</v>
      </c>
      <c r="BH113" s="62">
        <f t="shared" si="62"/>
        <v>899.75008443365232</v>
      </c>
      <c r="BI113" s="62">
        <f ca="1">AVERAGE(OFFSET($BH$3,0,0,'Données projet'!$E$11+1,1))-AVERAGE(OFFSET($H$3,0,0,'Données projet'!$E$11+1,1))</f>
        <v>408.82357969905803</v>
      </c>
      <c r="BJ113" s="62">
        <f t="shared" si="92"/>
        <v>263.2013060831145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17</v>
      </c>
      <c r="BM113" s="17">
        <f>IF(ISNA(VLOOKUP(A113,'Données projet'!$A$87:$I$107,5,0)),0%,VLOOKUP(A113,'Données projet'!$A$87:$I$107,5,0)*VLOOKUP('Données projet'!$B$11,Paramètres!$A$1:$I$89,7,0))</f>
        <v>0.34400000000000003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43.164125113505079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43.164125113505079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67.155422741303582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309</v>
      </c>
      <c r="BW113" s="13">
        <f>VLOOKUP(A113,'Données projet'!$A$113:$I$133,9,0)</f>
        <v>6</v>
      </c>
      <c r="BX113" s="13">
        <f t="array" ref="BX113">INDEX(BW:BW,MIN(IF(ISNUMBER(BW113:BW309),ROW(BW113:BW309),"")))</f>
        <v>6</v>
      </c>
      <c r="BY113" s="13">
        <f>IF('Données projet'!$A$114&gt;35,BY112+BX113-CG112,IF(A113&lt;'Données projet'!$A$114,$BV$205^A113,IF(A113='Données projet'!$A$114,'Données projet'!$B$114,BY112+BX113-CG112)))</f>
        <v>309.00000000000006</v>
      </c>
      <c r="BZ113" s="14">
        <f>BY113*VLOOKUP('Données projet'!$B$12,Paramètres!$A$1:$I$89,3,0)*VLOOKUP('Données projet'!$B$12,Paramètres!$A$1:$I$89,5,0)</f>
        <v>294.04440000000005</v>
      </c>
      <c r="CA113" s="14">
        <f t="shared" si="93"/>
        <v>69.926487662501046</v>
      </c>
      <c r="CB113" s="22">
        <f t="shared" si="64"/>
        <v>633.91596267885609</v>
      </c>
      <c r="CC113" s="62">
        <f t="shared" si="65"/>
        <v>916.81917939696928</v>
      </c>
      <c r="CD113" s="62">
        <f ca="1">AVERAGE(OFFSET($CC$3,0,0,'Données projet'!$E$12+1,1))-AVERAGE(OFFSET($H$3,0,0,'Données projet'!$E$12+1,1))</f>
        <v>451.95887041951761</v>
      </c>
      <c r="CE113" s="62">
        <f t="shared" si="94"/>
        <v>311.32964503257341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27</v>
      </c>
      <c r="CH113" s="17">
        <f>IF(ISNA(VLOOKUP(A113,'Données projet'!$A$113:$I$133,5,0)),0%,VLOOKUP(A113,'Données projet'!$A$113:$I$133,5,0)*VLOOKUP('Données projet'!$B$12,Paramètres!$A$1:$I$89,7,0))</f>
        <v>0.34400000000000003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69.127323783337474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69.127323783337474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67.155422741303582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67.155422741303582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67.155422741303582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67.155422741303582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67.155422741303582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67.155422741303582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3.9000000000000004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15.792192000000016</v>
      </c>
      <c r="D114" s="12">
        <f t="shared" si="86"/>
        <v>5.2783208172333964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38.035931619881268</v>
      </c>
      <c r="H114" s="70">
        <f t="shared" si="56"/>
        <v>236.16447649001486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67.204769797219924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-1.3596945791505279E-13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251.99201350544561</v>
      </c>
      <c r="T114" s="62">
        <f t="shared" si="88"/>
        <v>366.66533117979162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 t="e">
        <f>EXP(-LN(2)/35)*Z113+(1-EXP(-LN(2)/35))/(LN(2)/35)*V114*W114*VLOOKUP('Données projet'!$B$9,Paramètres!$A$1:$I$89,3,0)*0.475*44/12</f>
        <v>#VALUE!</v>
      </c>
      <c r="AA114" s="23" t="e">
        <f>EXP(-LN(2)/25)*AA113+(1-EXP(-LN(2)/25))/(LN(2)/25)*Calculateur!V114*Calculateur!X114*VLOOKUP('Données projet'!$B$9,Paramètres!$A$1:$I$89,3,0)*0.475*44/12</f>
        <v>#VALUE!</v>
      </c>
      <c r="AB114" s="23" t="e">
        <f>EXP(-LN(2)/2)*AB113+(1-EXP(-LN(2)/2))/(LN(2)/2)*V114*Y114*VLOOKUP('Données projet'!$B$9,Paramètres!$A$1:$I$89,3,0)*0.475*44/12</f>
        <v>#VALUE!</v>
      </c>
      <c r="AC114" s="24" t="e">
        <f t="shared" si="57"/>
        <v>#VALUE!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67.204769797219924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149.52545095126411</v>
      </c>
      <c r="AO114" s="62">
        <f t="shared" si="90"/>
        <v>457.9161829331029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9.7824663823209708</v>
      </c>
      <c r="AV114" s="23">
        <f>EXP(-LN(2)/25)*AV113+(1-EXP(-LN(2)/25))/(LN(2)/25)*Calculateur!AQ114*Calculateur!AS114*VLOOKUP('Données projet'!$B$10,Paramètres!$A$1:$I$89,3,0)*0.475*44/12</f>
        <v>2.0675890280270122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11.850055410347982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67.204769797219924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2.5</v>
      </c>
      <c r="BD114" s="13">
        <f>IF('Données projet'!$A$88&gt;35,BD113+BC114-BL113,IF(A114&lt;'Données projet'!$A$88,$BA$205^A114,IF(A114='Données projet'!$A$88,'Données projet'!$B$88,BD113+BC114-BL113)))</f>
        <v>267.49999999999966</v>
      </c>
      <c r="BE114" s="14">
        <f>BD114*VLOOKUP('Données projet'!$B$11,Paramètres!$A$1:$I$89,3,0)*VLOOKUP('Données projet'!$B$11,Paramètres!$A$1:$I$89,5,0)</f>
        <v>271.24499999999966</v>
      </c>
      <c r="BF114" s="14">
        <f t="shared" si="91"/>
        <v>65.113418922954651</v>
      </c>
      <c r="BG114" s="22">
        <f t="shared" si="61"/>
        <v>585.82424629081208</v>
      </c>
      <c r="BH114" s="62">
        <f t="shared" si="62"/>
        <v>868.90840221395183</v>
      </c>
      <c r="BI114" s="62">
        <f ca="1">AVERAGE(OFFSET($BH$3,0,0,'Données projet'!$E$11+1,1))-AVERAGE(OFFSET($H$3,0,0,'Données projet'!$E$11+1,1))</f>
        <v>408.82357969905803</v>
      </c>
      <c r="BJ114" s="62">
        <f t="shared" si="92"/>
        <v>263.2013060831145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42.317702947545939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42.317702947545939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67.204769797219924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5.6</v>
      </c>
      <c r="BY114" s="13">
        <f>IF('Données projet'!$A$114&gt;35,BY113+BX114-CG113,IF(A114&lt;'Données projet'!$A$114,$BV$205^A114,IF(A114='Données projet'!$A$114,'Données projet'!$B$114,BY113+BX114-CG113)))</f>
        <v>287.60000000000008</v>
      </c>
      <c r="BZ114" s="14">
        <f>BY114*VLOOKUP('Données projet'!$B$12,Paramètres!$A$1:$I$89,3,0)*VLOOKUP('Données projet'!$B$12,Paramètres!$A$1:$I$89,5,0)</f>
        <v>273.68016000000006</v>
      </c>
      <c r="CA114" s="14">
        <f t="shared" si="93"/>
        <v>65.629675672026494</v>
      </c>
      <c r="CB114" s="22">
        <f t="shared" si="64"/>
        <v>590.96463046211295</v>
      </c>
      <c r="CC114" s="62">
        <f t="shared" si="65"/>
        <v>874.0487863852527</v>
      </c>
      <c r="CD114" s="62">
        <f ca="1">AVERAGE(OFFSET($CC$3,0,0,'Données projet'!$E$12+1,1))-AVERAGE(OFFSET($H$3,0,0,'Données projet'!$E$12+1,1))</f>
        <v>451.95887041951761</v>
      </c>
      <c r="CE114" s="62">
        <f t="shared" si="94"/>
        <v>311.32964503257341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67.771779127450429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67.771779127450429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67.204769797219924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67.204769797219924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67.204769797219924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67.204769797219924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67.204769797219924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67.204769797219924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3.9000000000000004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15.934464000000016</v>
      </c>
      <c r="D115" s="12">
        <f t="shared" si="86"/>
        <v>5.3203161958339802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38.26351799625813</v>
      </c>
      <c r="H115" s="70">
        <f t="shared" si="56"/>
        <v>236.48540884107754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67.253260792039626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-1.3596945791505279E-13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251.99201350544561</v>
      </c>
      <c r="T115" s="62">
        <f t="shared" si="88"/>
        <v>366.66533117979162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 t="e">
        <f>EXP(-LN(2)/35)*Z114+(1-EXP(-LN(2)/35))/(LN(2)/35)*V115*W115*VLOOKUP('Données projet'!$B$9,Paramètres!$A$1:$I$89,3,0)*0.475*44/12</f>
        <v>#VALUE!</v>
      </c>
      <c r="AA115" s="23" t="e">
        <f>EXP(-LN(2)/25)*AA114+(1-EXP(-LN(2)/25))/(LN(2)/25)*Calculateur!V115*Calculateur!X115*VLOOKUP('Données projet'!$B$9,Paramètres!$A$1:$I$89,3,0)*0.475*44/12</f>
        <v>#VALUE!</v>
      </c>
      <c r="AB115" s="23" t="e">
        <f>EXP(-LN(2)/2)*AB114+(1-EXP(-LN(2)/2))/(LN(2)/2)*V115*Y115*VLOOKUP('Données projet'!$B$9,Paramètres!$A$1:$I$89,3,0)*0.475*44/12</f>
        <v>#VALUE!</v>
      </c>
      <c r="AC115" s="24" t="e">
        <f t="shared" si="57"/>
        <v>#VALUE!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67.253260792039626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149.52545095126411</v>
      </c>
      <c r="AO115" s="62">
        <f t="shared" si="90"/>
        <v>457.9161829331029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9.5906381832789851</v>
      </c>
      <c r="AV115" s="23">
        <f>EXP(-LN(2)/25)*AV114+(1-EXP(-LN(2)/25))/(LN(2)/25)*Calculateur!AQ115*Calculateur!AS115*VLOOKUP('Données projet'!$B$10,Paramètres!$A$1:$I$89,3,0)*0.475*44/12</f>
        <v>2.0110506973258322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11.601688880604817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67.253260792039626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2.5</v>
      </c>
      <c r="BD115" s="13">
        <f>IF('Données projet'!$A$88&gt;35,BD114+BC115-BL114,IF(A115&lt;'Données projet'!$A$88,$BA$205^A115,IF(A115='Données projet'!$A$88,'Données projet'!$B$88,BD114+BC115-BL114)))</f>
        <v>269.99999999999966</v>
      </c>
      <c r="BE115" s="14">
        <f>BD115*VLOOKUP('Données projet'!$B$11,Paramètres!$A$1:$I$89,3,0)*VLOOKUP('Données projet'!$B$11,Paramètres!$A$1:$I$89,5,0)</f>
        <v>273.77999999999963</v>
      </c>
      <c r="BF115" s="14">
        <f t="shared" si="91"/>
        <v>65.650830427167378</v>
      </c>
      <c r="BG115" s="22">
        <f t="shared" si="61"/>
        <v>591.1753629939825</v>
      </c>
      <c r="BH115" s="62">
        <f t="shared" si="62"/>
        <v>874.43731923146106</v>
      </c>
      <c r="BI115" s="62">
        <f ca="1">AVERAGE(OFFSET($BH$3,0,0,'Données projet'!$E$11+1,1))-AVERAGE(OFFSET($H$3,0,0,'Données projet'!$E$11+1,1))</f>
        <v>408.82357969905803</v>
      </c>
      <c r="BJ115" s="62">
        <f t="shared" si="92"/>
        <v>263.2013060831145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41.487878603994709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41.487878603994709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67.253260792039626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5.6</v>
      </c>
      <c r="BY115" s="13">
        <f>IF('Données projet'!$A$114&gt;35,BY114+BX115-CG114,IF(A115&lt;'Données projet'!$A$114,$BV$205^A115,IF(A115='Données projet'!$A$114,'Données projet'!$B$114,BY114+BX115-CG114)))</f>
        <v>293.2000000000001</v>
      </c>
      <c r="BZ115" s="14">
        <f>BY115*VLOOKUP('Données projet'!$B$12,Paramètres!$A$1:$I$89,3,0)*VLOOKUP('Données projet'!$B$12,Paramètres!$A$1:$I$89,5,0)</f>
        <v>279.00912000000011</v>
      </c>
      <c r="CA115" s="14">
        <f t="shared" si="93"/>
        <v>66.757564267146194</v>
      </c>
      <c r="CB115" s="22">
        <f t="shared" si="64"/>
        <v>602.21030843194649</v>
      </c>
      <c r="CC115" s="62">
        <f t="shared" si="65"/>
        <v>885.47226466942516</v>
      </c>
      <c r="CD115" s="62">
        <f ca="1">AVERAGE(OFFSET($CC$3,0,0,'Données projet'!$E$12+1,1))-AVERAGE(OFFSET($H$3,0,0,'Données projet'!$E$12+1,1))</f>
        <v>451.95887041951761</v>
      </c>
      <c r="CE115" s="62">
        <f t="shared" si="94"/>
        <v>311.32964503257341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66.442815875464731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66.442815875464731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67.253260792039626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67.253260792039626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67.253260792039626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67.253260792039626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67.253260792039626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67.253260792039626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3.9000000000000004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16.076736000000015</v>
      </c>
      <c r="D116" s="12">
        <f t="shared" si="86"/>
        <v>5.3622679512965501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38.491050494232951</v>
      </c>
      <c r="H116" s="70">
        <f t="shared" si="56"/>
        <v>236.80626521517485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67.300910576508826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-1.3596945791505279E-13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251.99201350544561</v>
      </c>
      <c r="T116" s="62">
        <f t="shared" si="88"/>
        <v>366.66533117979162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 t="e">
        <f>EXP(-LN(2)/35)*Z115+(1-EXP(-LN(2)/35))/(LN(2)/35)*V116*W116*VLOOKUP('Données projet'!$B$9,Paramètres!$A$1:$I$89,3,0)*0.475*44/12</f>
        <v>#VALUE!</v>
      </c>
      <c r="AA116" s="23" t="e">
        <f>EXP(-LN(2)/25)*AA115+(1-EXP(-LN(2)/25))/(LN(2)/25)*Calculateur!V116*Calculateur!X116*VLOOKUP('Données projet'!$B$9,Paramètres!$A$1:$I$89,3,0)*0.475*44/12</f>
        <v>#VALUE!</v>
      </c>
      <c r="AB116" s="23" t="e">
        <f>EXP(-LN(2)/2)*AB115+(1-EXP(-LN(2)/2))/(LN(2)/2)*V116*Y116*VLOOKUP('Données projet'!$B$9,Paramètres!$A$1:$I$89,3,0)*0.475*44/12</f>
        <v>#VALUE!</v>
      </c>
      <c r="AC116" s="24" t="e">
        <f t="shared" si="57"/>
        <v>#VALUE!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67.300910576508826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149.52545095126411</v>
      </c>
      <c r="AO116" s="62">
        <f t="shared" si="90"/>
        <v>457.9161829331029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9.4025716182165642</v>
      </c>
      <c r="AV116" s="23">
        <f>EXP(-LN(2)/25)*AV115+(1-EXP(-LN(2)/25))/(LN(2)/25)*Calculateur!AQ116*Calculateur!AS116*VLOOKUP('Données projet'!$B$10,Paramètres!$A$1:$I$89,3,0)*0.475*44/12</f>
        <v>1.9560584102508976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11.358630028467461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67.300910576508826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2.5</v>
      </c>
      <c r="BD116" s="13">
        <f>IF('Données projet'!$A$88&gt;35,BD115+BC116-BL115,IF(A116&lt;'Données projet'!$A$88,$BA$205^A116,IF(A116='Données projet'!$A$88,'Données projet'!$B$88,BD115+BC116-BL115)))</f>
        <v>272.49999999999966</v>
      </c>
      <c r="BE116" s="14">
        <f>BD116*VLOOKUP('Données projet'!$B$11,Paramètres!$A$1:$I$89,3,0)*VLOOKUP('Données projet'!$B$11,Paramètres!$A$1:$I$89,5,0)</f>
        <v>276.31499999999966</v>
      </c>
      <c r="BF116" s="14">
        <f t="shared" si="91"/>
        <v>66.187663024472272</v>
      </c>
      <c r="BG116" s="22">
        <f t="shared" si="61"/>
        <v>596.52547143428853</v>
      </c>
      <c r="BH116" s="62">
        <f t="shared" si="62"/>
        <v>879.96214354815424</v>
      </c>
      <c r="BI116" s="62">
        <f ca="1">AVERAGE(OFFSET($BH$3,0,0,'Données projet'!$E$11+1,1))-AVERAGE(OFFSET($H$3,0,0,'Données projet'!$E$11+1,1))</f>
        <v>408.82357969905803</v>
      </c>
      <c r="BJ116" s="62">
        <f t="shared" si="92"/>
        <v>263.2013060831145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40.674326609677649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40.674326609677649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67.300910576508826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5.6</v>
      </c>
      <c r="BY116" s="13">
        <f>IF('Données projet'!$A$114&gt;35,BY115+BX116-CG115,IF(A116&lt;'Données projet'!$A$114,$BV$205^A116,IF(A116='Données projet'!$A$114,'Données projet'!$B$114,BY115+BX116-CG115)))</f>
        <v>298.80000000000013</v>
      </c>
      <c r="BZ116" s="14">
        <f>BY116*VLOOKUP('Données projet'!$B$12,Paramètres!$A$1:$I$89,3,0)*VLOOKUP('Données projet'!$B$12,Paramètres!$A$1:$I$89,5,0)</f>
        <v>284.33808000000016</v>
      </c>
      <c r="CA116" s="14">
        <f t="shared" si="93"/>
        <v>67.882947973242224</v>
      </c>
      <c r="CB116" s="22">
        <f t="shared" si="64"/>
        <v>613.45162372006382</v>
      </c>
      <c r="CC116" s="62">
        <f t="shared" si="65"/>
        <v>896.88829583392953</v>
      </c>
      <c r="CD116" s="62">
        <f ca="1">AVERAGE(OFFSET($CC$3,0,0,'Données projet'!$E$12+1,1))-AVERAGE(OFFSET($H$3,0,0,'Données projet'!$E$12+1,1))</f>
        <v>451.95887041951761</v>
      </c>
      <c r="CE116" s="62">
        <f t="shared" si="94"/>
        <v>311.32964503257341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65.139912782262925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65.139912782262925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67.300910576508826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67.300910576508826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67.300910576508826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67.300910576508826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67.300910576508826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67.300910576508826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3.9000000000000004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16.219008000000013</v>
      </c>
      <c r="D117" s="12">
        <f t="shared" si="86"/>
        <v>5.4041765143916614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38.718529645845152</v>
      </c>
      <c r="H117" s="70">
        <f t="shared" si="56"/>
        <v>237.12704636256549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67.347733743746446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-1.3596945791505279E-13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251.99201350544561</v>
      </c>
      <c r="T117" s="62">
        <f t="shared" si="88"/>
        <v>366.66533117979162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 t="e">
        <f>EXP(-LN(2)/35)*Z116+(1-EXP(-LN(2)/35))/(LN(2)/35)*V117*W117*VLOOKUP('Données projet'!$B$9,Paramètres!$A$1:$I$89,3,0)*0.475*44/12</f>
        <v>#VALUE!</v>
      </c>
      <c r="AA117" s="23" t="e">
        <f>EXP(-LN(2)/25)*AA116+(1-EXP(-LN(2)/25))/(LN(2)/25)*Calculateur!V117*Calculateur!X117*VLOOKUP('Données projet'!$B$9,Paramètres!$A$1:$I$89,3,0)*0.475*44/12</f>
        <v>#VALUE!</v>
      </c>
      <c r="AB117" s="23" t="e">
        <f>EXP(-LN(2)/2)*AB116+(1-EXP(-LN(2)/2))/(LN(2)/2)*V117*Y117*VLOOKUP('Données projet'!$B$9,Paramètres!$A$1:$I$89,3,0)*0.475*44/12</f>
        <v>#VALUE!</v>
      </c>
      <c r="AC117" s="24" t="e">
        <f t="shared" si="57"/>
        <v>#VALUE!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67.347733743746446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149.52545095126411</v>
      </c>
      <c r="AO117" s="62">
        <f t="shared" si="90"/>
        <v>457.9161829331029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9.2181929237857396</v>
      </c>
      <c r="AV117" s="23">
        <f>EXP(-LN(2)/25)*AV116+(1-EXP(-LN(2)/25))/(LN(2)/25)*Calculateur!AQ117*Calculateur!AS117*VLOOKUP('Données projet'!$B$10,Paramètres!$A$1:$I$89,3,0)*0.475*44/12</f>
        <v>1.9025698901579455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11.120762813943685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67.347733743746446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2.5</v>
      </c>
      <c r="BD117" s="13">
        <f>IF('Données projet'!$A$88&gt;35,BD116+BC117-BL116,IF(A117&lt;'Données projet'!$A$88,$BA$205^A117,IF(A117='Données projet'!$A$88,'Données projet'!$B$88,BD116+BC117-BL116)))</f>
        <v>274.99999999999966</v>
      </c>
      <c r="BE117" s="14">
        <f>BD117*VLOOKUP('Données projet'!$B$11,Paramètres!$A$1:$I$89,3,0)*VLOOKUP('Données projet'!$B$11,Paramètres!$A$1:$I$89,5,0)</f>
        <v>278.84999999999968</v>
      </c>
      <c r="BF117" s="14">
        <f t="shared" si="91"/>
        <v>66.723922641152967</v>
      </c>
      <c r="BG117" s="22">
        <f t="shared" si="61"/>
        <v>601.87458193334089</v>
      </c>
      <c r="BH117" s="62">
        <f t="shared" si="62"/>
        <v>885.48293899374448</v>
      </c>
      <c r="BI117" s="62">
        <f ca="1">AVERAGE(OFFSET($BH$3,0,0,'Données projet'!$E$11+1,1))-AVERAGE(OFFSET($H$3,0,0,'Données projet'!$E$11+1,1))</f>
        <v>408.82357969905803</v>
      </c>
      <c r="BJ117" s="62">
        <f t="shared" si="92"/>
        <v>263.2013060831145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39.876727873751427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39.876727873751427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67.347733743746446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5.6</v>
      </c>
      <c r="BY117" s="13">
        <f>IF('Données projet'!$A$114&gt;35,BY116+BX117-CG116,IF(A117&lt;'Données projet'!$A$114,$BV$205^A117,IF(A117='Données projet'!$A$114,'Données projet'!$B$114,BY116+BX117-CG116)))</f>
        <v>304.40000000000015</v>
      </c>
      <c r="BZ117" s="14">
        <f>BY117*VLOOKUP('Données projet'!$B$12,Paramètres!$A$1:$I$89,3,0)*VLOOKUP('Données projet'!$B$12,Paramètres!$A$1:$I$89,5,0)</f>
        <v>289.66704000000016</v>
      </c>
      <c r="CA117" s="14">
        <f t="shared" si="93"/>
        <v>69.005879149563839</v>
      </c>
      <c r="CB117" s="22">
        <f t="shared" si="64"/>
        <v>624.68866751882388</v>
      </c>
      <c r="CC117" s="62">
        <f t="shared" si="65"/>
        <v>908.29702457922758</v>
      </c>
      <c r="CD117" s="62">
        <f ca="1">AVERAGE(OFFSET($CC$3,0,0,'Données projet'!$E$12+1,1))-AVERAGE(OFFSET($H$3,0,0,'Données projet'!$E$12+1,1))</f>
        <v>451.95887041951761</v>
      </c>
      <c r="CE117" s="62">
        <f t="shared" si="94"/>
        <v>311.32964503257341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63.862558824026394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63.862558824026394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67.347733743746446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67.347733743746446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67.347733743746446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67.347733743746446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67.347733743746446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67.347733743746446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3.9000000000000004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16.361280000000011</v>
      </c>
      <c r="D118" s="12">
        <f t="shared" si="86"/>
        <v>5.446042307896426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38.945955973261562</v>
      </c>
      <c r="H118" s="70">
        <f t="shared" si="56"/>
        <v>237.44775301958629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67.393744633713411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-1.3596945791505279E-13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251.99201350544561</v>
      </c>
      <c r="T118" s="62">
        <f t="shared" si="88"/>
        <v>366.66533117979162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 t="e">
        <f>EXP(-LN(2)/35)*Z117+(1-EXP(-LN(2)/35))/(LN(2)/35)*V118*W118*VLOOKUP('Données projet'!$B$9,Paramètres!$A$1:$I$89,3,0)*0.475*44/12</f>
        <v>#VALUE!</v>
      </c>
      <c r="AA118" s="23" t="e">
        <f>EXP(-LN(2)/25)*AA117+(1-EXP(-LN(2)/25))/(LN(2)/25)*Calculateur!V118*Calculateur!X118*VLOOKUP('Données projet'!$B$9,Paramètres!$A$1:$I$89,3,0)*0.475*44/12</f>
        <v>#VALUE!</v>
      </c>
      <c r="AB118" s="23" t="e">
        <f>EXP(-LN(2)/2)*AB117+(1-EXP(-LN(2)/2))/(LN(2)/2)*V118*Y118*VLOOKUP('Données projet'!$B$9,Paramètres!$A$1:$I$89,3,0)*0.475*44/12</f>
        <v>#VALUE!</v>
      </c>
      <c r="AC118" s="24" t="e">
        <f t="shared" si="57"/>
        <v>#VALUE!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67.393744633713411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149.52545095126411</v>
      </c>
      <c r="AO118" s="62">
        <f t="shared" si="90"/>
        <v>457.9161829331029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9.0374297830928043</v>
      </c>
      <c r="AV118" s="23">
        <f>EXP(-LN(2)/25)*AV117+(1-EXP(-LN(2)/25))/(LN(2)/25)*Calculateur!AQ118*Calculateur!AS118*VLOOKUP('Données projet'!$B$10,Paramètres!$A$1:$I$89,3,0)*0.475*44/12</f>
        <v>1.8505440164597744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10.887973799552579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67.393744633713411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2.5</v>
      </c>
      <c r="BD118" s="13">
        <f>IF('Données projet'!$A$88&gt;35,BD117+BC118-BL117,IF(A118&lt;'Données projet'!$A$88,$BA$205^A118,IF(A118='Données projet'!$A$88,'Données projet'!$B$88,BD117+BC118-BL117)))</f>
        <v>277.49999999999966</v>
      </c>
      <c r="BE118" s="14">
        <f>BD118*VLOOKUP('Données projet'!$B$11,Paramètres!$A$1:$I$89,3,0)*VLOOKUP('Données projet'!$B$11,Paramètres!$A$1:$I$89,5,0)</f>
        <v>281.38499999999965</v>
      </c>
      <c r="BF118" s="14">
        <f t="shared" si="91"/>
        <v>67.259615089526761</v>
      </c>
      <c r="BG118" s="22">
        <f t="shared" si="61"/>
        <v>607.22270461425842</v>
      </c>
      <c r="BH118" s="62">
        <f t="shared" si="62"/>
        <v>890.99976827120759</v>
      </c>
      <c r="BI118" s="62">
        <f ca="1">AVERAGE(OFFSET($BH$3,0,0,'Données projet'!$E$11+1,1))-AVERAGE(OFFSET($H$3,0,0,'Données projet'!$E$11+1,1))</f>
        <v>408.82357969905803</v>
      </c>
      <c r="BJ118" s="62">
        <f t="shared" si="92"/>
        <v>263.2013060831145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39.09476956254953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39.09476956254953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67.393744633713411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310</v>
      </c>
      <c r="BW118" s="13">
        <f>VLOOKUP(A118,'Données projet'!$A$113:$I$133,9,0)</f>
        <v>5.6</v>
      </c>
      <c r="BX118" s="13">
        <f t="array" ref="BX118">INDEX(BW:BW,MIN(IF(ISNUMBER(BW118:BW314),ROW(BW118:BW314),"")))</f>
        <v>5.6</v>
      </c>
      <c r="BY118" s="13">
        <f>IF('Données projet'!$A$114&gt;35,BY117+BX118-CG117,IF(A118&lt;'Données projet'!$A$114,$BV$205^A118,IF(A118='Données projet'!$A$114,'Données projet'!$B$114,BY117+BX118-CG117)))</f>
        <v>310.00000000000017</v>
      </c>
      <c r="BZ118" s="14">
        <f>BY118*VLOOKUP('Données projet'!$B$12,Paramètres!$A$1:$I$89,3,0)*VLOOKUP('Données projet'!$B$12,Paramètres!$A$1:$I$89,5,0)</f>
        <v>294.99600000000015</v>
      </c>
      <c r="CA118" s="14">
        <f t="shared" si="93"/>
        <v>70.126408118585445</v>
      </c>
      <c r="CB118" s="22">
        <f t="shared" si="64"/>
        <v>635.92152747320313</v>
      </c>
      <c r="CC118" s="62">
        <f t="shared" si="65"/>
        <v>919.69859113015229</v>
      </c>
      <c r="CD118" s="62">
        <f ca="1">AVERAGE(OFFSET($CC$3,0,0,'Données projet'!$E$12+1,1))-AVERAGE(OFFSET($H$3,0,0,'Données projet'!$E$12+1,1))</f>
        <v>451.95887041951761</v>
      </c>
      <c r="CE118" s="62">
        <f t="shared" si="94"/>
        <v>311.32964503257341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26</v>
      </c>
      <c r="CH118" s="17">
        <f>IF(ISNA(VLOOKUP(A118,'Données projet'!$A$113:$I$133,5,0)),0%,VLOOKUP(A118,'Données projet'!$A$113:$I$133,5,0)*VLOOKUP('Données projet'!$B$12,Paramètres!$A$1:$I$89,7,0))</f>
        <v>0.34400000000000003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72.019033441936742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72.019033441936742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67.393744633713411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67.393744633713411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67.393744633713411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67.393744633713411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67.393744633713411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67.393744633713411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3.9000000000000004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16.50355200000001</v>
      </c>
      <c r="D119" s="12">
        <f t="shared" si="86"/>
        <v>5.4878657468110319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39.173329989043808</v>
      </c>
      <c r="H119" s="70">
        <f t="shared" si="56"/>
        <v>237.76838590902923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67.438957337604393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-1.3596945791505279E-13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251.99201350544561</v>
      </c>
      <c r="T119" s="62">
        <f t="shared" si="88"/>
        <v>366.66533117979162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 t="e">
        <f>EXP(-LN(2)/35)*Z118+(1-EXP(-LN(2)/35))/(LN(2)/35)*V119*W119*VLOOKUP('Données projet'!$B$9,Paramètres!$A$1:$I$89,3,0)*0.475*44/12</f>
        <v>#VALUE!</v>
      </c>
      <c r="AA119" s="23" t="e">
        <f>EXP(-LN(2)/25)*AA118+(1-EXP(-LN(2)/25))/(LN(2)/25)*Calculateur!V119*Calculateur!X119*VLOOKUP('Données projet'!$B$9,Paramètres!$A$1:$I$89,3,0)*0.475*44/12</f>
        <v>#VALUE!</v>
      </c>
      <c r="AB119" s="23" t="e">
        <f>EXP(-LN(2)/2)*AB118+(1-EXP(-LN(2)/2))/(LN(2)/2)*V119*Y119*VLOOKUP('Données projet'!$B$9,Paramètres!$A$1:$I$89,3,0)*0.475*44/12</f>
        <v>#VALUE!</v>
      </c>
      <c r="AC119" s="24" t="e">
        <f t="shared" si="57"/>
        <v>#VALUE!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67.438957337604393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149.52545095126411</v>
      </c>
      <c r="AO119" s="62">
        <f t="shared" si="90"/>
        <v>457.9161829331029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8.8602112973342297</v>
      </c>
      <c r="AV119" s="23">
        <f>EXP(-LN(2)/25)*AV118+(1-EXP(-LN(2)/25))/(LN(2)/25)*Calculateur!AQ119*Calculateur!AS119*VLOOKUP('Données projet'!$B$10,Paramètres!$A$1:$I$89,3,0)*0.475*44/12</f>
        <v>1.7999407930138016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10.660152090348031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67.438957337604393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2.5</v>
      </c>
      <c r="BD119" s="13">
        <f>IF('Données projet'!$A$88&gt;35,BD118+BC119-BL118,IF(A119&lt;'Données projet'!$A$88,$BA$205^A119,IF(A119='Données projet'!$A$88,'Données projet'!$B$88,BD118+BC119-BL118)))</f>
        <v>279.99999999999966</v>
      </c>
      <c r="BE119" s="14">
        <f>BD119*VLOOKUP('Données projet'!$B$11,Paramètres!$A$1:$I$89,3,0)*VLOOKUP('Données projet'!$B$11,Paramètres!$A$1:$I$89,5,0)</f>
        <v>283.91999999999967</v>
      </c>
      <c r="BF119" s="14">
        <f t="shared" si="91"/>
        <v>67.794746071143507</v>
      </c>
      <c r="BG119" s="22">
        <f t="shared" si="61"/>
        <v>612.56984940724101</v>
      </c>
      <c r="BH119" s="62">
        <f t="shared" si="62"/>
        <v>896.51269297845715</v>
      </c>
      <c r="BI119" s="62">
        <f ca="1">AVERAGE(OFFSET($BH$3,0,0,'Données projet'!$E$11+1,1))-AVERAGE(OFFSET($H$3,0,0,'Données projet'!$E$11+1,1))</f>
        <v>408.82357969905803</v>
      </c>
      <c r="BJ119" s="62">
        <f t="shared" si="92"/>
        <v>263.2013060831145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38.328144976882825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38.328144976882825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67.438957337604393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5.6</v>
      </c>
      <c r="BY119" s="13">
        <f>IF('Données projet'!$A$114&gt;35,BY118+BX119-CG118,IF(A119&lt;'Données projet'!$A$114,$BV$205^A119,IF(A119='Données projet'!$A$114,'Données projet'!$B$114,BY118+BX119-CG118)))</f>
        <v>289.60000000000019</v>
      </c>
      <c r="BZ119" s="14">
        <f>BY119*VLOOKUP('Données projet'!$B$12,Paramètres!$A$1:$I$89,3,0)*VLOOKUP('Données projet'!$B$12,Paramètres!$A$1:$I$89,5,0)</f>
        <v>275.5833600000002</v>
      </c>
      <c r="CA119" s="14">
        <f t="shared" si="93"/>
        <v>66.032783958273242</v>
      </c>
      <c r="CB119" s="22">
        <f t="shared" si="64"/>
        <v>594.98145072732621</v>
      </c>
      <c r="CC119" s="62">
        <f t="shared" si="65"/>
        <v>878.92429429854224</v>
      </c>
      <c r="CD119" s="62">
        <f ca="1">AVERAGE(OFFSET($CC$3,0,0,'Données projet'!$E$12+1,1))-AVERAGE(OFFSET($H$3,0,0,'Données projet'!$E$12+1,1))</f>
        <v>451.95887041951761</v>
      </c>
      <c r="CE119" s="62">
        <f t="shared" si="94"/>
        <v>311.32964503257341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70.606784123413306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70.606784123413306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67.438957337604393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67.438957337604393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67.438957337604393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67.438957337604393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67.438957337604393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67.438957337604393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3.9000000000000004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16.645824000000008</v>
      </c>
      <c r="D120" s="12">
        <f t="shared" si="86"/>
        <v>5.5296472385675814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39.400652196406284</v>
      </c>
      <c r="H120" s="70">
        <f t="shared" si="56"/>
        <v>238.08894574050521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67.483385702163318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-1.3596945791505279E-13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251.99201350544561</v>
      </c>
      <c r="T120" s="62">
        <f t="shared" si="88"/>
        <v>366.66533117979162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 t="e">
        <f>EXP(-LN(2)/35)*Z119+(1-EXP(-LN(2)/35))/(LN(2)/35)*V120*W120*VLOOKUP('Données projet'!$B$9,Paramètres!$A$1:$I$89,3,0)*0.475*44/12</f>
        <v>#VALUE!</v>
      </c>
      <c r="AA120" s="23" t="e">
        <f>EXP(-LN(2)/25)*AA119+(1-EXP(-LN(2)/25))/(LN(2)/25)*Calculateur!V120*Calculateur!X120*VLOOKUP('Données projet'!$B$9,Paramètres!$A$1:$I$89,3,0)*0.475*44/12</f>
        <v>#VALUE!</v>
      </c>
      <c r="AB120" s="23" t="e">
        <f>EXP(-LN(2)/2)*AB119+(1-EXP(-LN(2)/2))/(LN(2)/2)*V120*Y120*VLOOKUP('Données projet'!$B$9,Paramètres!$A$1:$I$89,3,0)*0.475*44/12</f>
        <v>#VALUE!</v>
      </c>
      <c r="AC120" s="24" t="e">
        <f t="shared" si="57"/>
        <v>#VALUE!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67.483385702163318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149.52545095126411</v>
      </c>
      <c r="AO120" s="62">
        <f t="shared" si="90"/>
        <v>457.9161829331029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8.6864679579887767</v>
      </c>
      <c r="AV120" s="23">
        <f>EXP(-LN(2)/25)*AV119+(1-EXP(-LN(2)/25))/(LN(2)/25)*Calculateur!AQ120*Calculateur!AS120*VLOOKUP('Données projet'!$B$10,Paramètres!$A$1:$I$89,3,0)*0.475*44/12</f>
        <v>1.7507213173740668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10.437189275362844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67.483385702163318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2.5</v>
      </c>
      <c r="BD120" s="13">
        <f>IF('Données projet'!$A$88&gt;35,BD119+BC120-BL119,IF(A120&lt;'Données projet'!$A$88,$BA$205^A120,IF(A120='Données projet'!$A$88,'Données projet'!$B$88,BD119+BC120-BL119)))</f>
        <v>282.49999999999966</v>
      </c>
      <c r="BE120" s="14">
        <f>BD120*VLOOKUP('Données projet'!$B$11,Paramètres!$A$1:$I$89,3,0)*VLOOKUP('Données projet'!$B$11,Paramètres!$A$1:$I$89,5,0)</f>
        <v>286.45499999999964</v>
      </c>
      <c r="BF120" s="14">
        <f t="shared" si="91"/>
        <v>68.329321179865644</v>
      </c>
      <c r="BG120" s="22">
        <f t="shared" si="61"/>
        <v>617.91602605493199</v>
      </c>
      <c r="BH120" s="62">
        <f t="shared" si="62"/>
        <v>902.0217736295308</v>
      </c>
      <c r="BI120" s="62">
        <f ca="1">AVERAGE(OFFSET($BH$3,0,0,'Données projet'!$E$11+1,1))-AVERAGE(OFFSET($H$3,0,0,'Données projet'!$E$11+1,1))</f>
        <v>408.82357969905803</v>
      </c>
      <c r="BJ120" s="62">
        <f t="shared" si="92"/>
        <v>263.2013060831145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37.57655343174622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37.57655343174622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67.483385702163318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5.6</v>
      </c>
      <c r="BY120" s="13">
        <f>IF('Données projet'!$A$114&gt;35,BY119+BX120-CG119,IF(A120&lt;'Données projet'!$A$114,$BV$205^A120,IF(A120='Données projet'!$A$114,'Données projet'!$B$114,BY119+BX120-CG119)))</f>
        <v>295.20000000000022</v>
      </c>
      <c r="BZ120" s="14">
        <f>BY120*VLOOKUP('Données projet'!$B$12,Paramètres!$A$1:$I$89,3,0)*VLOOKUP('Données projet'!$B$12,Paramètres!$A$1:$I$89,5,0)</f>
        <v>280.91232000000019</v>
      </c>
      <c r="CA120" s="14">
        <f t="shared" si="93"/>
        <v>67.159771806470744</v>
      </c>
      <c r="CB120" s="22">
        <f t="shared" si="64"/>
        <v>606.22555989627028</v>
      </c>
      <c r="CC120" s="62">
        <f t="shared" si="65"/>
        <v>890.33130747086921</v>
      </c>
      <c r="CD120" s="62">
        <f ca="1">AVERAGE(OFFSET($CC$3,0,0,'Données projet'!$E$12+1,1))-AVERAGE(OFFSET($H$3,0,0,'Données projet'!$E$12+1,1))</f>
        <v>451.95887041951761</v>
      </c>
      <c r="CE120" s="62">
        <f t="shared" si="94"/>
        <v>311.32964503257341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69.222228152639076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69.222228152639076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67.483385702163318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67.483385702163318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67.483385702163318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67.483385702163318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67.483385702163318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67.483385702163318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3.9000000000000004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16.788096000000007</v>
      </c>
      <c r="D121" s="12">
        <f t="shared" si="86"/>
        <v>5.5713871832315869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39.627923089464986</v>
      </c>
      <c r="H121" s="70">
        <f t="shared" si="56"/>
        <v>238.40943321079502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67.527043333924098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-1.3596945791505279E-13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251.99201350544561</v>
      </c>
      <c r="T121" s="62">
        <f t="shared" si="88"/>
        <v>366.66533117979162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 t="e">
        <f>EXP(-LN(2)/35)*Z120+(1-EXP(-LN(2)/35))/(LN(2)/35)*V121*W121*VLOOKUP('Données projet'!$B$9,Paramètres!$A$1:$I$89,3,0)*0.475*44/12</f>
        <v>#VALUE!</v>
      </c>
      <c r="AA121" s="23" t="e">
        <f>EXP(-LN(2)/25)*AA120+(1-EXP(-LN(2)/25))/(LN(2)/25)*Calculateur!V121*Calculateur!X121*VLOOKUP('Données projet'!$B$9,Paramètres!$A$1:$I$89,3,0)*0.475*44/12</f>
        <v>#VALUE!</v>
      </c>
      <c r="AB121" s="23" t="e">
        <f>EXP(-LN(2)/2)*AB120+(1-EXP(-LN(2)/2))/(LN(2)/2)*V121*Y121*VLOOKUP('Données projet'!$B$9,Paramètres!$A$1:$I$89,3,0)*0.475*44/12</f>
        <v>#VALUE!</v>
      </c>
      <c r="AC121" s="24" t="e">
        <f t="shared" si="57"/>
        <v>#VALUE!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67.527043333924098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149.52545095126411</v>
      </c>
      <c r="AO121" s="62">
        <f t="shared" si="90"/>
        <v>457.9161829331029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8.5161316195549155</v>
      </c>
      <c r="AV121" s="23">
        <f>EXP(-LN(2)/25)*AV120+(1-EXP(-LN(2)/25))/(LN(2)/25)*Calculateur!AQ121*Calculateur!AS121*VLOOKUP('Données projet'!$B$10,Paramètres!$A$1:$I$89,3,0)*0.475*44/12</f>
        <v>1.7028477508840403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10.218979370438955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67.527043333924098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2.5</v>
      </c>
      <c r="BD121" s="13">
        <f>IF('Données projet'!$A$88&gt;35,BD120+BC121-BL120,IF(A121&lt;'Données projet'!$A$88,$BA$205^A121,IF(A121='Données projet'!$A$88,'Données projet'!$B$88,BD120+BC121-BL120)))</f>
        <v>284.99999999999966</v>
      </c>
      <c r="BE121" s="14">
        <f>BD121*VLOOKUP('Données projet'!$B$11,Paramètres!$A$1:$I$89,3,0)*VLOOKUP('Données projet'!$B$11,Paramètres!$A$1:$I$89,5,0)</f>
        <v>288.98999999999967</v>
      </c>
      <c r="BF121" s="14">
        <f t="shared" si="91"/>
        <v>68.863345904836791</v>
      </c>
      <c r="BG121" s="22">
        <f t="shared" si="61"/>
        <v>623.26124411759019</v>
      </c>
      <c r="BH121" s="62">
        <f t="shared" si="62"/>
        <v>907.52706967531185</v>
      </c>
      <c r="BI121" s="62">
        <f ca="1">AVERAGE(OFFSET($BH$3,0,0,'Données projet'!$E$11+1,1))-AVERAGE(OFFSET($H$3,0,0,'Données projet'!$E$11+1,1))</f>
        <v>408.82357969905803</v>
      </c>
      <c r="BJ121" s="62">
        <f t="shared" si="92"/>
        <v>263.2013060831145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36.839700138384167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36.839700138384167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67.527043333924098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5.6</v>
      </c>
      <c r="BY121" s="13">
        <f>IF('Données projet'!$A$114&gt;35,BY120+BX121-CG120,IF(A121&lt;'Données projet'!$A$114,$BV$205^A121,IF(A121='Données projet'!$A$114,'Données projet'!$B$114,BY120+BX121-CG120)))</f>
        <v>300.80000000000024</v>
      </c>
      <c r="BZ121" s="14">
        <f>BY121*VLOOKUP('Données projet'!$B$12,Paramètres!$A$1:$I$89,3,0)*VLOOKUP('Données projet'!$B$12,Paramètres!$A$1:$I$89,5,0)</f>
        <v>286.24128000000024</v>
      </c>
      <c r="CA121" s="14">
        <f t="shared" si="93"/>
        <v>68.284273706763912</v>
      </c>
      <c r="CB121" s="22">
        <f t="shared" si="64"/>
        <v>617.46533937261427</v>
      </c>
      <c r="CC121" s="62">
        <f t="shared" si="65"/>
        <v>901.73116493033604</v>
      </c>
      <c r="CD121" s="62">
        <f ca="1">AVERAGE(OFFSET($CC$3,0,0,'Données projet'!$E$12+1,1))-AVERAGE(OFFSET($H$3,0,0,'Données projet'!$E$12+1,1))</f>
        <v>451.95887041951761</v>
      </c>
      <c r="CE121" s="62">
        <f t="shared" si="94"/>
        <v>311.32964503257341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67.864822479955976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67.864822479955976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67.527043333924098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67.527043333924098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67.527043333924098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67.527043333924098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67.527043333924098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67.527043333924098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3.9000000000000004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16.930368000000005</v>
      </c>
      <c r="D122" s="12">
        <f t="shared" si="86"/>
        <v>5.6130859736964158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39.855143153477684</v>
      </c>
      <c r="H122" s="70">
        <f t="shared" si="56"/>
        <v>238.72984900418794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67.569943603377666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-1.3596945791505279E-13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251.99201350544561</v>
      </c>
      <c r="T122" s="62">
        <f t="shared" si="88"/>
        <v>366.66533117979162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 t="e">
        <f>EXP(-LN(2)/35)*Z121+(1-EXP(-LN(2)/35))/(LN(2)/35)*V122*W122*VLOOKUP('Données projet'!$B$9,Paramètres!$A$1:$I$89,3,0)*0.475*44/12</f>
        <v>#VALUE!</v>
      </c>
      <c r="AA122" s="23" t="e">
        <f>EXP(-LN(2)/25)*AA121+(1-EXP(-LN(2)/25))/(LN(2)/25)*Calculateur!V122*Calculateur!X122*VLOOKUP('Données projet'!$B$9,Paramètres!$A$1:$I$89,3,0)*0.475*44/12</f>
        <v>#VALUE!</v>
      </c>
      <c r="AB122" s="23" t="e">
        <f>EXP(-LN(2)/2)*AB121+(1-EXP(-LN(2)/2))/(LN(2)/2)*V122*Y122*VLOOKUP('Données projet'!$B$9,Paramètres!$A$1:$I$89,3,0)*0.475*44/12</f>
        <v>#VALUE!</v>
      </c>
      <c r="AC122" s="24" t="e">
        <f t="shared" si="57"/>
        <v>#VALUE!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67.569943603377666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149.52545095126411</v>
      </c>
      <c r="AO122" s="62">
        <f t="shared" si="90"/>
        <v>457.9161829331029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8.3491354728228337</v>
      </c>
      <c r="AV122" s="23">
        <f>EXP(-LN(2)/25)*AV121+(1-EXP(-LN(2)/25))/(LN(2)/25)*Calculateur!AQ122*Calculateur!AS122*VLOOKUP('Données projet'!$B$10,Paramètres!$A$1:$I$89,3,0)*0.475*44/12</f>
        <v>1.6562832895872448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10.005418762410079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67.569943603377666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2.5</v>
      </c>
      <c r="BD122" s="13">
        <f>IF('Données projet'!$A$88&gt;35,BD121+BC122-BL121,IF(A122&lt;'Données projet'!$A$88,$BA$205^A122,IF(A122='Données projet'!$A$88,'Données projet'!$B$88,BD121+BC122-BL121)))</f>
        <v>287.49999999999966</v>
      </c>
      <c r="BE122" s="14">
        <f>BD122*VLOOKUP('Données projet'!$B$11,Paramètres!$A$1:$I$89,3,0)*VLOOKUP('Données projet'!$B$11,Paramètres!$A$1:$I$89,5,0)</f>
        <v>291.52499999999964</v>
      </c>
      <c r="BF122" s="14">
        <f t="shared" si="91"/>
        <v>69.396825633343269</v>
      </c>
      <c r="BG122" s="22">
        <f t="shared" si="61"/>
        <v>628.60551297807217</v>
      </c>
      <c r="BH122" s="62">
        <f t="shared" si="62"/>
        <v>913.02863952379028</v>
      </c>
      <c r="BI122" s="62">
        <f ca="1">AVERAGE(OFFSET($BH$3,0,0,'Données projet'!$E$11+1,1))-AVERAGE(OFFSET($H$3,0,0,'Données projet'!$E$11+1,1))</f>
        <v>408.82357969905803</v>
      </c>
      <c r="BJ122" s="62">
        <f t="shared" si="92"/>
        <v>263.2013060831145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36.117296088668809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36.117296088668809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67.569943603377666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5.6</v>
      </c>
      <c r="BY122" s="13">
        <f>IF('Données projet'!$A$114&gt;35,BY121+BX122-CG121,IF(A122&lt;'Données projet'!$A$114,$BV$205^A122,IF(A122='Données projet'!$A$114,'Données projet'!$B$114,BY121+BX122-CG121)))</f>
        <v>306.40000000000026</v>
      </c>
      <c r="BZ122" s="14">
        <f>BY122*VLOOKUP('Données projet'!$B$12,Paramètres!$A$1:$I$89,3,0)*VLOOKUP('Données projet'!$B$12,Paramètres!$A$1:$I$89,5,0)</f>
        <v>291.5702400000003</v>
      </c>
      <c r="CA122" s="14">
        <f t="shared" si="93"/>
        <v>69.406341277271366</v>
      </c>
      <c r="CB122" s="22">
        <f t="shared" si="64"/>
        <v>628.70087905791468</v>
      </c>
      <c r="CC122" s="62">
        <f t="shared" si="65"/>
        <v>913.12400560363278</v>
      </c>
      <c r="CD122" s="62">
        <f ca="1">AVERAGE(OFFSET($CC$3,0,0,'Données projet'!$E$12+1,1))-AVERAGE(OFFSET($H$3,0,0,'Données projet'!$E$12+1,1))</f>
        <v>451.95887041951761</v>
      </c>
      <c r="CE122" s="62">
        <f t="shared" si="94"/>
        <v>311.32964503257341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66.534034704578488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66.534034704578488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67.569943603377666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67.569943603377666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67.569943603377666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67.569943603377666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67.569943603377666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67.569943603377666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3.9000000000000004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17.072640000000003</v>
      </c>
      <c r="D123" s="12">
        <f t="shared" si="86"/>
        <v>5.6547439958710664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40.082312865075849</v>
      </c>
      <c r="H123" s="70">
        <f t="shared" si="56"/>
        <v>239.05019379280878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67.612099649066849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-1.3596945791505279E-13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251.99201350544561</v>
      </c>
      <c r="T123" s="62">
        <f t="shared" si="88"/>
        <v>366.66533117979162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 t="e">
        <f>EXP(-LN(2)/35)*Z122+(1-EXP(-LN(2)/35))/(LN(2)/35)*V123*W123*VLOOKUP('Données projet'!$B$9,Paramètres!$A$1:$I$89,3,0)*0.475*44/12</f>
        <v>#VALUE!</v>
      </c>
      <c r="AA123" s="23" t="e">
        <f>EXP(-LN(2)/25)*AA122+(1-EXP(-LN(2)/25))/(LN(2)/25)*Calculateur!V123*Calculateur!X123*VLOOKUP('Données projet'!$B$9,Paramètres!$A$1:$I$89,3,0)*0.475*44/12</f>
        <v>#VALUE!</v>
      </c>
      <c r="AB123" s="23" t="e">
        <f>EXP(-LN(2)/2)*AB122+(1-EXP(-LN(2)/2))/(LN(2)/2)*V123*Y123*VLOOKUP('Données projet'!$B$9,Paramètres!$A$1:$I$89,3,0)*0.475*44/12</f>
        <v>#VALUE!</v>
      </c>
      <c r="AC123" s="24" t="e">
        <f t="shared" si="57"/>
        <v>#VALUE!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67.612099649066849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149.52545095126411</v>
      </c>
      <c r="AO123" s="62">
        <f t="shared" si="90"/>
        <v>457.9161829331029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8.1854140186705759</v>
      </c>
      <c r="AV123" s="23">
        <f>EXP(-LN(2)/25)*AV122+(1-EXP(-LN(2)/25))/(LN(2)/25)*Calculateur!AQ123*Calculateur!AS123*VLOOKUP('Données projet'!$B$10,Paramètres!$A$1:$I$89,3,0)*0.475*44/12</f>
        <v>1.6109921359333288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9.7964061546039041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67.612099649066849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290</v>
      </c>
      <c r="BB123" s="13">
        <f>VLOOKUP(A123,'Données projet'!$A$87:$I$107,9,0)</f>
        <v>2.5</v>
      </c>
      <c r="BC123" s="13">
        <f t="array" ref="BC123">INDEX(BB:BB,MIN(IF(ISNUMBER(BB123:BB319),ROW(BB123:BB319),"")))</f>
        <v>2.5</v>
      </c>
      <c r="BD123" s="13">
        <f>IF('Données projet'!$A$88&gt;35,BD122+BC123-BL122,IF(A123&lt;'Données projet'!$A$88,$BA$205^A123,IF(A123='Données projet'!$A$88,'Données projet'!$B$88,BD122+BC123-BL122)))</f>
        <v>289.99999999999966</v>
      </c>
      <c r="BE123" s="14">
        <f>BD123*VLOOKUP('Données projet'!$B$11,Paramètres!$A$1:$I$89,3,0)*VLOOKUP('Données projet'!$B$11,Paramètres!$A$1:$I$89,5,0)</f>
        <v>294.05999999999966</v>
      </c>
      <c r="BF123" s="14">
        <f t="shared" si="91"/>
        <v>69.929765653573313</v>
      </c>
      <c r="BG123" s="22">
        <f t="shared" si="61"/>
        <v>633.94884184663954</v>
      </c>
      <c r="BH123" s="62">
        <f t="shared" si="62"/>
        <v>918.52654055988467</v>
      </c>
      <c r="BI123" s="62">
        <f ca="1">AVERAGE(OFFSET($BH$3,0,0,'Données projet'!$E$11+1,1))-AVERAGE(OFFSET($H$3,0,0,'Données projet'!$E$11+1,1))</f>
        <v>408.82357969905803</v>
      </c>
      <c r="BJ123" s="62">
        <f t="shared" si="92"/>
        <v>263.2013060831145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290</v>
      </c>
      <c r="BM123" s="17">
        <f>IF(ISNA(VLOOKUP(A123,'Données projet'!$A$87:$I$107,5,0)),0%,VLOOKUP(A123,'Données projet'!$A$87:$I$107,5,0)*VLOOKUP('Données projet'!$B$11,Paramètres!$A$1:$I$89,7,0))</f>
        <v>0.34400000000000003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147.23472715482342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147.23472715482342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67.612099649066849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312</v>
      </c>
      <c r="BW123" s="13">
        <f>VLOOKUP(A123,'Données projet'!$A$113:$I$133,9,0)</f>
        <v>5.6</v>
      </c>
      <c r="BX123" s="13">
        <f t="array" ref="BX123">INDEX(BW:BW,MIN(IF(ISNUMBER(BW123:BW319),ROW(BW123:BW319),"")))</f>
        <v>5.6</v>
      </c>
      <c r="BY123" s="13">
        <f>IF('Données projet'!$A$114&gt;35,BY122+BX123-CG122,IF(A123&lt;'Données projet'!$A$114,$BV$205^A123,IF(A123='Données projet'!$A$114,'Données projet'!$B$114,BY122+BX123-CG122)))</f>
        <v>312.00000000000028</v>
      </c>
      <c r="BZ123" s="14">
        <f>BY123*VLOOKUP('Données projet'!$B$12,Paramètres!$A$1:$I$89,3,0)*VLOOKUP('Données projet'!$B$12,Paramètres!$A$1:$I$89,5,0)</f>
        <v>296.89920000000029</v>
      </c>
      <c r="CA123" s="14">
        <f t="shared" si="93"/>
        <v>70.52602414126423</v>
      </c>
      <c r="CB123" s="22">
        <f t="shared" si="64"/>
        <v>639.93226537936891</v>
      </c>
      <c r="CC123" s="62">
        <f t="shared" si="65"/>
        <v>924.50996409261404</v>
      </c>
      <c r="CD123" s="62">
        <f ca="1">AVERAGE(OFFSET($CC$3,0,0,'Données projet'!$E$12+1,1))-AVERAGE(OFFSET($H$3,0,0,'Données projet'!$E$12+1,1))</f>
        <v>451.95887041951761</v>
      </c>
      <c r="CE123" s="62">
        <f t="shared" si="94"/>
        <v>311.32964503257341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312</v>
      </c>
      <c r="CH123" s="17">
        <f>IF(ISNA(VLOOKUP(A123,'Données projet'!$A$113:$I$133,5,0)),0%,VLOOKUP(A123,'Données projet'!$A$113:$I$133,5,0)*VLOOKUP('Données projet'!$B$12,Paramètres!$A$1:$I$89,7,0))</f>
        <v>0.34400000000000003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178.13470819539384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178.13470819539384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67.612099649066849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67.612099649066849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67.612099649066849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67.612099649066849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67.612099649066849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67.612099649066849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3.9000000000000004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17.214912000000002</v>
      </c>
      <c r="D124" s="12">
        <f t="shared" si="86"/>
        <v>5.6963616288614469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40.309432692488528</v>
      </c>
      <c r="H124" s="70">
        <f t="shared" si="56"/>
        <v>239.37046823693368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67.65352438161014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-1.3596945791505279E-13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251.99201350544561</v>
      </c>
      <c r="T124" s="62">
        <f t="shared" si="88"/>
        <v>366.66533117979162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 t="e">
        <f>EXP(-LN(2)/35)*Z123+(1-EXP(-LN(2)/35))/(LN(2)/35)*V124*W124*VLOOKUP('Données projet'!$B$9,Paramètres!$A$1:$I$89,3,0)*0.475*44/12</f>
        <v>#VALUE!</v>
      </c>
      <c r="AA124" s="23" t="e">
        <f>EXP(-LN(2)/25)*AA123+(1-EXP(-LN(2)/25))/(LN(2)/25)*Calculateur!V124*Calculateur!X124*VLOOKUP('Données projet'!$B$9,Paramètres!$A$1:$I$89,3,0)*0.475*44/12</f>
        <v>#VALUE!</v>
      </c>
      <c r="AB124" s="23" t="e">
        <f>EXP(-LN(2)/2)*AB123+(1-EXP(-LN(2)/2))/(LN(2)/2)*V124*Y124*VLOOKUP('Données projet'!$B$9,Paramètres!$A$1:$I$89,3,0)*0.475*44/12</f>
        <v>#VALUE!</v>
      </c>
      <c r="AC124" s="24" t="e">
        <f t="shared" si="57"/>
        <v>#VALUE!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67.65352438161014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149.52545095126411</v>
      </c>
      <c r="AO124" s="62">
        <f t="shared" si="90"/>
        <v>457.9161829331029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8.0249030423740173</v>
      </c>
      <c r="AV124" s="23">
        <f>EXP(-LN(2)/25)*AV123+(1-EXP(-LN(2)/25))/(LN(2)/25)*Calculateur!AQ124*Calculateur!AS124*VLOOKUP('Données projet'!$B$10,Paramètres!$A$1:$I$89,3,0)*0.475*44/12</f>
        <v>1.5669394712578375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9.591842513631855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67.65352438161014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-3.4106051316484809E-13</v>
      </c>
      <c r="BE124" s="14">
        <f>BD124*VLOOKUP('Données projet'!$B$11,Paramètres!$A$1:$I$89,3,0)*VLOOKUP('Données projet'!$B$11,Paramètres!$A$1:$I$89,5,0)</f>
        <v>-3.4583536034915599E-13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408.82357969905803</v>
      </c>
      <c r="BJ124" s="62">
        <f t="shared" si="92"/>
        <v>263.2013060831145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144.34754395963344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144.34754395963344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67.65352438161014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2.8421709430404007E-13</v>
      </c>
      <c r="BZ124" s="14">
        <f>BY124*VLOOKUP('Données projet'!$B$12,Paramètres!$A$1:$I$89,3,0)*VLOOKUP('Données projet'!$B$12,Paramètres!$A$1:$I$89,5,0)</f>
        <v>2.7046098693972454E-13</v>
      </c>
      <c r="CA124" s="14">
        <f t="shared" si="93"/>
        <v>3.6187594451142911E-12</v>
      </c>
      <c r="CB124" s="22">
        <f t="shared" si="64"/>
        <v>6.7737255858274096E-12</v>
      </c>
      <c r="CC124" s="62">
        <f t="shared" si="65"/>
        <v>284.72958939924393</v>
      </c>
      <c r="CD124" s="62">
        <f ca="1">AVERAGE(OFFSET($CC$3,0,0,'Données projet'!$E$12+1,1))-AVERAGE(OFFSET($H$3,0,0,'Données projet'!$E$12+1,1))</f>
        <v>451.95887041951761</v>
      </c>
      <c r="CE124" s="62">
        <f t="shared" si="94"/>
        <v>311.32964503257341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174.64159521912572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174.64159521912572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67.65352438161014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67.65352438161014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67.65352438161014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67.65352438161014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67.65352438161014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67.65352438161014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3.9000000000000004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17.357184</v>
      </c>
      <c r="D125" s="12">
        <f t="shared" si="86"/>
        <v>5.7379392451455224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40.53650309575869</v>
      </c>
      <c r="H125" s="70">
        <f t="shared" si="56"/>
        <v>239.69067298529512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67.694230487655616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-1.3596945791505279E-13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251.99201350544561</v>
      </c>
      <c r="T125" s="62">
        <f t="shared" si="88"/>
        <v>366.66533117979162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 t="e">
        <f>EXP(-LN(2)/35)*Z124+(1-EXP(-LN(2)/35))/(LN(2)/35)*V125*W125*VLOOKUP('Données projet'!$B$9,Paramètres!$A$1:$I$89,3,0)*0.475*44/12</f>
        <v>#VALUE!</v>
      </c>
      <c r="AA125" s="23" t="e">
        <f>EXP(-LN(2)/25)*AA124+(1-EXP(-LN(2)/25))/(LN(2)/25)*Calculateur!V125*Calculateur!X125*VLOOKUP('Données projet'!$B$9,Paramètres!$A$1:$I$89,3,0)*0.475*44/12</f>
        <v>#VALUE!</v>
      </c>
      <c r="AB125" s="23" t="e">
        <f>EXP(-LN(2)/2)*AB124+(1-EXP(-LN(2)/2))/(LN(2)/2)*V125*Y125*VLOOKUP('Données projet'!$B$9,Paramètres!$A$1:$I$89,3,0)*0.475*44/12</f>
        <v>#VALUE!</v>
      </c>
      <c r="AC125" s="24" t="e">
        <f t="shared" si="57"/>
        <v>#VALUE!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67.694230487655616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149.52545095126411</v>
      </c>
      <c r="AO125" s="62">
        <f t="shared" si="90"/>
        <v>457.9161829331029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7.8675395884206063</v>
      </c>
      <c r="AV125" s="23">
        <f>EXP(-LN(2)/25)*AV124+(1-EXP(-LN(2)/25))/(LN(2)/25)*Calculateur!AQ125*Calculateur!AS125*VLOOKUP('Données projet'!$B$10,Paramètres!$A$1:$I$89,3,0)*0.475*44/12</f>
        <v>1.5240914290145264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9.3916310174351327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67.694230487655616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-3.4106051316484809E-13</v>
      </c>
      <c r="BE125" s="14">
        <f>BD125*VLOOKUP('Données projet'!$B$11,Paramètres!$A$1:$I$89,3,0)*VLOOKUP('Données projet'!$B$11,Paramètres!$A$1:$I$89,5,0)</f>
        <v>-3.4583536034915599E-13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408.82357969905803</v>
      </c>
      <c r="BJ125" s="62">
        <f t="shared" si="92"/>
        <v>263.2013060831145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141.51697666589328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141.51697666589328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67.694230487655616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2.8421709430404007E-13</v>
      </c>
      <c r="BZ125" s="14">
        <f>BY125*VLOOKUP('Données projet'!$B$12,Paramètres!$A$1:$I$89,3,0)*VLOOKUP('Données projet'!$B$12,Paramètres!$A$1:$I$89,5,0)</f>
        <v>2.7046098693972454E-13</v>
      </c>
      <c r="CA125" s="14">
        <f t="shared" si="93"/>
        <v>3.6187594451142911E-12</v>
      </c>
      <c r="CB125" s="22">
        <f t="shared" si="64"/>
        <v>6.7737255858274096E-12</v>
      </c>
      <c r="CC125" s="62">
        <f t="shared" si="65"/>
        <v>284.87884512141068</v>
      </c>
      <c r="CD125" s="62">
        <f ca="1">AVERAGE(OFFSET($CC$3,0,0,'Données projet'!$E$12+1,1))-AVERAGE(OFFSET($H$3,0,0,'Données projet'!$E$12+1,1))</f>
        <v>451.95887041951761</v>
      </c>
      <c r="CE125" s="62">
        <f t="shared" si="94"/>
        <v>311.32964503257341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171.21698005773368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171.21698005773368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67.694230487655616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67.694230487655616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67.694230487655616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67.694230487655616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67.694230487655616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67.694230487655616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3.9000000000000004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17.499455999999999</v>
      </c>
      <c r="D126" s="12">
        <f t="shared" si="86"/>
        <v>5.7794772107425558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40.76352452695221</v>
      </c>
      <c r="H126" s="70">
        <f t="shared" si="56"/>
        <v>240.01080867537661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67.734230433766427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-1.3596945791505279E-13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251.99201350544561</v>
      </c>
      <c r="T126" s="62">
        <f t="shared" si="88"/>
        <v>366.66533117979162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 t="e">
        <f>EXP(-LN(2)/35)*Z125+(1-EXP(-LN(2)/35))/(LN(2)/35)*V126*W126*VLOOKUP('Données projet'!$B$9,Paramètres!$A$1:$I$89,3,0)*0.475*44/12</f>
        <v>#VALUE!</v>
      </c>
      <c r="AA126" s="23" t="e">
        <f>EXP(-LN(2)/25)*AA125+(1-EXP(-LN(2)/25))/(LN(2)/25)*Calculateur!V126*Calculateur!X126*VLOOKUP('Données projet'!$B$9,Paramètres!$A$1:$I$89,3,0)*0.475*44/12</f>
        <v>#VALUE!</v>
      </c>
      <c r="AB126" s="23" t="e">
        <f>EXP(-LN(2)/2)*AB125+(1-EXP(-LN(2)/2))/(LN(2)/2)*V126*Y126*VLOOKUP('Données projet'!$B$9,Paramètres!$A$1:$I$89,3,0)*0.475*44/12</f>
        <v>#VALUE!</v>
      </c>
      <c r="AC126" s="24" t="e">
        <f t="shared" si="57"/>
        <v>#VALUE!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67.734230433766427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149.52545095126411</v>
      </c>
      <c r="AO126" s="62">
        <f t="shared" si="90"/>
        <v>457.9161829331029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7.713261935816992</v>
      </c>
      <c r="AV126" s="23">
        <f>EXP(-LN(2)/25)*AV125+(1-EXP(-LN(2)/25))/(LN(2)/25)*Calculateur!AQ126*Calculateur!AS126*VLOOKUP('Données projet'!$B$10,Paramètres!$A$1:$I$89,3,0)*0.475*44/12</f>
        <v>1.4824150687396394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9.1956770045566323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67.734230433766427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-3.4106051316484809E-13</v>
      </c>
      <c r="BE126" s="14">
        <f>BD126*VLOOKUP('Données projet'!$B$11,Paramètres!$A$1:$I$89,3,0)*VLOOKUP('Données projet'!$B$11,Paramètres!$A$1:$I$89,5,0)</f>
        <v>-3.4583536034915599E-13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408.82357969905803</v>
      </c>
      <c r="BJ126" s="62">
        <f t="shared" si="92"/>
        <v>263.2013060831145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138.74191507030781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138.74191507030781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67.734230433766427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2.8421709430404007E-13</v>
      </c>
      <c r="BZ126" s="14">
        <f>BY126*VLOOKUP('Données projet'!$B$12,Paramètres!$A$1:$I$89,3,0)*VLOOKUP('Données projet'!$B$12,Paramètres!$A$1:$I$89,5,0)</f>
        <v>2.7046098693972454E-13</v>
      </c>
      <c r="CA126" s="14">
        <f t="shared" si="93"/>
        <v>3.6187594451142911E-12</v>
      </c>
      <c r="CB126" s="22">
        <f t="shared" si="64"/>
        <v>6.7737255858274096E-12</v>
      </c>
      <c r="CC126" s="62">
        <f t="shared" si="65"/>
        <v>285.02551159048369</v>
      </c>
      <c r="CD126" s="62">
        <f ca="1">AVERAGE(OFFSET($CC$3,0,0,'Données projet'!$E$12+1,1))-AVERAGE(OFFSET($H$3,0,0,'Données projet'!$E$12+1,1))</f>
        <v>451.95887041951761</v>
      </c>
      <c r="CE126" s="62">
        <f t="shared" si="94"/>
        <v>311.32964503257341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167.85951951084755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167.85951951084755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67.734230433766427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67.734230433766427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67.734230433766427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67.734230433766427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67.734230433766427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67.734230433766427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3.9000000000000004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17.641727999999997</v>
      </c>
      <c r="D127" s="12">
        <f t="shared" si="86"/>
        <v>5.8209758853766571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40.990497430359937</v>
      </c>
      <c r="H127" s="70">
        <f t="shared" si="56"/>
        <v>240.33087593369768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67.773536470238696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-1.3596945791505279E-13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251.99201350544561</v>
      </c>
      <c r="T127" s="62">
        <f t="shared" si="88"/>
        <v>366.66533117979162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 t="e">
        <f>EXP(-LN(2)/35)*Z126+(1-EXP(-LN(2)/35))/(LN(2)/35)*V127*W127*VLOOKUP('Données projet'!$B$9,Paramètres!$A$1:$I$89,3,0)*0.475*44/12</f>
        <v>#VALUE!</v>
      </c>
      <c r="AA127" s="23" t="e">
        <f>EXP(-LN(2)/25)*AA126+(1-EXP(-LN(2)/25))/(LN(2)/25)*Calculateur!V127*Calculateur!X127*VLOOKUP('Données projet'!$B$9,Paramètres!$A$1:$I$89,3,0)*0.475*44/12</f>
        <v>#VALUE!</v>
      </c>
      <c r="AB127" s="23" t="e">
        <f>EXP(-LN(2)/2)*AB126+(1-EXP(-LN(2)/2))/(LN(2)/2)*V127*Y127*VLOOKUP('Données projet'!$B$9,Paramètres!$A$1:$I$89,3,0)*0.475*44/12</f>
        <v>#VALUE!</v>
      </c>
      <c r="AC127" s="24" t="e">
        <f t="shared" si="57"/>
        <v>#VALUE!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67.773536470238696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149.52545095126411</v>
      </c>
      <c r="AO127" s="62">
        <f t="shared" si="90"/>
        <v>457.9161829331029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7.5620095738808581</v>
      </c>
      <c r="AV127" s="23">
        <f>EXP(-LN(2)/25)*AV126+(1-EXP(-LN(2)/25))/(LN(2)/25)*Calculateur!AQ127*Calculateur!AS127*VLOOKUP('Données projet'!$B$10,Paramètres!$A$1:$I$89,3,0)*0.475*44/12</f>
        <v>1.4418783507281336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9.0038879246089927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67.773536470238696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-3.4106051316484809E-13</v>
      </c>
      <c r="BE127" s="14">
        <f>BD127*VLOOKUP('Données projet'!$B$11,Paramètres!$A$1:$I$89,3,0)*VLOOKUP('Données projet'!$B$11,Paramètres!$A$1:$I$89,5,0)</f>
        <v>-3.4583536034915599E-13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408.82357969905803</v>
      </c>
      <c r="BJ127" s="62">
        <f t="shared" si="92"/>
        <v>263.2013060831145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136.02127073999131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136.02127073999131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67.773536470238696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2.8421709430404007E-13</v>
      </c>
      <c r="BZ127" s="14">
        <f>BY127*VLOOKUP('Données projet'!$B$12,Paramètres!$A$1:$I$89,3,0)*VLOOKUP('Données projet'!$B$12,Paramètres!$A$1:$I$89,5,0)</f>
        <v>2.7046098693972454E-13</v>
      </c>
      <c r="CA127" s="14">
        <f t="shared" si="93"/>
        <v>3.6187594451142911E-12</v>
      </c>
      <c r="CB127" s="22">
        <f t="shared" si="64"/>
        <v>6.7737255858274096E-12</v>
      </c>
      <c r="CC127" s="62">
        <f t="shared" si="65"/>
        <v>285.16963372421532</v>
      </c>
      <c r="CD127" s="62">
        <f ca="1">AVERAGE(OFFSET($CC$3,0,0,'Données projet'!$E$12+1,1))-AVERAGE(OFFSET($H$3,0,0,'Données projet'!$E$12+1,1))</f>
        <v>451.95887041951761</v>
      </c>
      <c r="CE127" s="62">
        <f t="shared" si="94"/>
        <v>311.32964503257341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164.56789671743712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164.56789671743712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67.773536470238696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67.773536470238696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67.773536470238696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67.773536470238696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67.773536470238696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67.773536470238696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3.9000000000000004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128" s="12">
        <f t="shared" si="86"/>
        <v>5.8624356226349592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41.21742224269299</v>
      </c>
      <c r="H128" s="70">
        <f t="shared" si="56"/>
        <v>240.6508753760892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67.812160634853299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-1.3596945791505279E-13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251.99201350544561</v>
      </c>
      <c r="T128" s="62">
        <f t="shared" si="88"/>
        <v>366.66533117979162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 t="e">
        <f>EXP(-LN(2)/35)*Z127+(1-EXP(-LN(2)/35))/(LN(2)/35)*V128*W128*VLOOKUP('Données projet'!$B$9,Paramètres!$A$1:$I$89,3,0)*0.475*44/12</f>
        <v>#VALUE!</v>
      </c>
      <c r="AA128" s="23" t="e">
        <f>EXP(-LN(2)/25)*AA127+(1-EXP(-LN(2)/25))/(LN(2)/25)*Calculateur!V128*Calculateur!X128*VLOOKUP('Données projet'!$B$9,Paramètres!$A$1:$I$89,3,0)*0.475*44/12</f>
        <v>#VALUE!</v>
      </c>
      <c r="AB128" s="23" t="e">
        <f>EXP(-LN(2)/2)*AB127+(1-EXP(-LN(2)/2))/(LN(2)/2)*V128*Y128*VLOOKUP('Données projet'!$B$9,Paramètres!$A$1:$I$89,3,0)*0.475*44/12</f>
        <v>#VALUE!</v>
      </c>
      <c r="AC128" s="24" t="e">
        <f t="shared" si="57"/>
        <v>#VALUE!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67.812160634853299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149.52545095126411</v>
      </c>
      <c r="AO128" s="62">
        <f t="shared" si="90"/>
        <v>457.9161829331029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7.4137231785074604</v>
      </c>
      <c r="AV128" s="23">
        <f>EXP(-LN(2)/25)*AV127+(1-EXP(-LN(2)/25))/(LN(2)/25)*Calculateur!AQ128*Calculateur!AS128*VLOOKUP('Données projet'!$B$10,Paramètres!$A$1:$I$89,3,0)*0.475*44/12</f>
        <v>1.4024501114023857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8.8161732899098464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67.812160634853299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-3.4106051316484809E-13</v>
      </c>
      <c r="BE128" s="14">
        <f>BD128*VLOOKUP('Données projet'!$B$11,Paramètres!$A$1:$I$89,3,0)*VLOOKUP('Données projet'!$B$11,Paramètres!$A$1:$I$89,5,0)</f>
        <v>-3.4583536034915599E-13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408.82357969905803</v>
      </c>
      <c r="BJ128" s="62">
        <f t="shared" si="92"/>
        <v>263.2013060831145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133.35397658556315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133.35397658556315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67.812160634853299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2.8421709430404007E-13</v>
      </c>
      <c r="BZ128" s="14">
        <f>BY128*VLOOKUP('Données projet'!$B$12,Paramètres!$A$1:$I$89,3,0)*VLOOKUP('Données projet'!$B$12,Paramètres!$A$1:$I$89,5,0)</f>
        <v>2.7046098693972454E-13</v>
      </c>
      <c r="CA128" s="14">
        <f t="shared" si="93"/>
        <v>3.6187594451142911E-12</v>
      </c>
      <c r="CB128" s="22">
        <f t="shared" si="64"/>
        <v>6.7737255858274096E-12</v>
      </c>
      <c r="CC128" s="62">
        <f t="shared" si="65"/>
        <v>285.31125566113553</v>
      </c>
      <c r="CD128" s="62">
        <f ca="1">AVERAGE(OFFSET($CC$3,0,0,'Données projet'!$E$12+1,1))-AVERAGE(OFFSET($H$3,0,0,'Données projet'!$E$12+1,1))</f>
        <v>451.95887041951761</v>
      </c>
      <c r="CE128" s="62">
        <f t="shared" si="94"/>
        <v>311.32964503257341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161.34082063931382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161.34082063931382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67.812160634853299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67.812160634853299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67.812160634853299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67.812160634853299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67.812160634853299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67.812160634853299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3.9000000000000004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17.926271999999994</v>
      </c>
      <c r="D129" s="12">
        <f t="shared" si="86"/>
        <v>5.9038567701205258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41.444299393271663</v>
      </c>
      <c r="H129" s="70">
        <f t="shared" si="56"/>
        <v>240.9708076079599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67.850114756562533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-1.3596945791505279E-13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251.99201350544561</v>
      </c>
      <c r="T129" s="62">
        <f t="shared" si="88"/>
        <v>366.66533117979162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 t="e">
        <f>EXP(-LN(2)/35)*Z128+(1-EXP(-LN(2)/35))/(LN(2)/35)*V129*W129*VLOOKUP('Données projet'!$B$9,Paramètres!$A$1:$I$89,3,0)*0.475*44/12</f>
        <v>#VALUE!</v>
      </c>
      <c r="AA129" s="23" t="e">
        <f>EXP(-LN(2)/25)*AA128+(1-EXP(-LN(2)/25))/(LN(2)/25)*Calculateur!V129*Calculateur!X129*VLOOKUP('Données projet'!$B$9,Paramètres!$A$1:$I$89,3,0)*0.475*44/12</f>
        <v>#VALUE!</v>
      </c>
      <c r="AB129" s="23" t="e">
        <f>EXP(-LN(2)/2)*AB128+(1-EXP(-LN(2)/2))/(LN(2)/2)*V129*Y129*VLOOKUP('Données projet'!$B$9,Paramètres!$A$1:$I$89,3,0)*0.475*44/12</f>
        <v>#VALUE!</v>
      </c>
      <c r="AC129" s="24" t="e">
        <f t="shared" si="57"/>
        <v>#VALUE!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67.850114756562533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149.52545095126411</v>
      </c>
      <c r="AO129" s="62">
        <f t="shared" si="90"/>
        <v>457.9161829331029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7.2683445889015648</v>
      </c>
      <c r="AV129" s="23">
        <f>EXP(-LN(2)/25)*AV128+(1-EXP(-LN(2)/25))/(LN(2)/25)*Calculateur!AQ129*Calculateur!AS129*VLOOKUP('Données projet'!$B$10,Paramètres!$A$1:$I$89,3,0)*0.475*44/12</f>
        <v>1.3641000393544416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8.6324446282560068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67.850114756562533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-3.4106051316484809E-13</v>
      </c>
      <c r="BE129" s="14">
        <f>BD129*VLOOKUP('Données projet'!$B$11,Paramètres!$A$1:$I$89,3,0)*VLOOKUP('Données projet'!$B$11,Paramètres!$A$1:$I$89,5,0)</f>
        <v>-3.4583536034915599E-13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408.82357969905803</v>
      </c>
      <c r="BJ129" s="62">
        <f t="shared" si="92"/>
        <v>263.2013060831145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130.73898644261453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130.73898644261453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67.850114756562533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2.8421709430404007E-13</v>
      </c>
      <c r="BZ129" s="14">
        <f>BY129*VLOOKUP('Données projet'!$B$12,Paramètres!$A$1:$I$89,3,0)*VLOOKUP('Données projet'!$B$12,Paramètres!$A$1:$I$89,5,0)</f>
        <v>2.7046098693972454E-13</v>
      </c>
      <c r="CA129" s="14">
        <f t="shared" si="93"/>
        <v>3.6187594451142911E-12</v>
      </c>
      <c r="CB129" s="22">
        <f t="shared" si="64"/>
        <v>6.7737255858274096E-12</v>
      </c>
      <c r="CC129" s="62">
        <f t="shared" si="65"/>
        <v>285.45042077406936</v>
      </c>
      <c r="CD129" s="62">
        <f ca="1">AVERAGE(OFFSET($CC$3,0,0,'Données projet'!$E$12+1,1))-AVERAGE(OFFSET($H$3,0,0,'Données projet'!$E$12+1,1))</f>
        <v>451.95887041951761</v>
      </c>
      <c r="CE129" s="62">
        <f t="shared" si="94"/>
        <v>311.32964503257341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158.17702555476046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158.17702555476046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67.850114756562533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67.850114756562533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67.850114756562533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67.850114756562533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67.850114756562533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67.850114756562533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3.9000000000000004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18.068543999999992</v>
      </c>
      <c r="D130" s="12">
        <f t="shared" si="86"/>
        <v>5.9452396696003076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41.671129304208094</v>
      </c>
      <c r="H130" s="70">
        <f t="shared" si="56"/>
        <v>241.29067322455387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67.887410459112829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-1.3596945791505279E-13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251.99201350544561</v>
      </c>
      <c r="T130" s="62">
        <f t="shared" si="88"/>
        <v>366.66533117979162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 t="e">
        <f>EXP(-LN(2)/35)*Z129+(1-EXP(-LN(2)/35))/(LN(2)/35)*V130*W130*VLOOKUP('Données projet'!$B$9,Paramètres!$A$1:$I$89,3,0)*0.475*44/12</f>
        <v>#VALUE!</v>
      </c>
      <c r="AA130" s="23" t="e">
        <f>EXP(-LN(2)/25)*AA129+(1-EXP(-LN(2)/25))/(LN(2)/25)*Calculateur!V130*Calculateur!X130*VLOOKUP('Données projet'!$B$9,Paramètres!$A$1:$I$89,3,0)*0.475*44/12</f>
        <v>#VALUE!</v>
      </c>
      <c r="AB130" s="23" t="e">
        <f>EXP(-LN(2)/2)*AB129+(1-EXP(-LN(2)/2))/(LN(2)/2)*V130*Y130*VLOOKUP('Données projet'!$B$9,Paramètres!$A$1:$I$89,3,0)*0.475*44/12</f>
        <v>#VALUE!</v>
      </c>
      <c r="AC130" s="24" t="e">
        <f t="shared" si="57"/>
        <v>#VALUE!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67.887410459112829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149.52545095126411</v>
      </c>
      <c r="AO130" s="62">
        <f t="shared" si="90"/>
        <v>457.9161829331029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7.1258167847656573</v>
      </c>
      <c r="AV130" s="23">
        <f>EXP(-LN(2)/25)*AV129+(1-EXP(-LN(2)/25))/(LN(2)/25)*Calculateur!AQ130*Calculateur!AS130*VLOOKUP('Données projet'!$B$10,Paramètres!$A$1:$I$89,3,0)*0.475*44/12</f>
        <v>1.326798652043391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8.4526154368090474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67.887410459112829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-3.4106051316484809E-13</v>
      </c>
      <c r="BE130" s="14">
        <f>BD130*VLOOKUP('Données projet'!$B$11,Paramètres!$A$1:$I$89,3,0)*VLOOKUP('Données projet'!$B$11,Paramètres!$A$1:$I$89,5,0)</f>
        <v>-3.4583536034915599E-13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408.82357969905803</v>
      </c>
      <c r="BJ130" s="62">
        <f t="shared" si="92"/>
        <v>263.2013060831145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128.17527466138264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128.17527466138264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67.887410459112829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2.8421709430404007E-13</v>
      </c>
      <c r="BZ130" s="14">
        <f>BY130*VLOOKUP('Données projet'!$B$12,Paramètres!$A$1:$I$89,3,0)*VLOOKUP('Données projet'!$B$12,Paramètres!$A$1:$I$89,5,0)</f>
        <v>2.7046098693972454E-13</v>
      </c>
      <c r="CA130" s="14">
        <f t="shared" si="93"/>
        <v>3.6187594451142911E-12</v>
      </c>
      <c r="CB130" s="22">
        <f t="shared" si="64"/>
        <v>6.7737255858274096E-12</v>
      </c>
      <c r="CC130" s="62">
        <f t="shared" si="65"/>
        <v>285.58717168342048</v>
      </c>
      <c r="CD130" s="62">
        <f ca="1">AVERAGE(OFFSET($CC$3,0,0,'Données projet'!$E$12+1,1))-AVERAGE(OFFSET($H$3,0,0,'Données projet'!$E$12+1,1))</f>
        <v>451.95887041951761</v>
      </c>
      <c r="CE130" s="62">
        <f t="shared" si="94"/>
        <v>311.32964503257341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155.07527056209074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155.07527056209074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67.887410459112829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67.887410459112829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67.887410459112829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67.887410459112829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67.887410459112829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67.887410459112829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3.9000000000000004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18.210815999999991</v>
      </c>
      <c r="D131" s="12">
        <f t="shared" si="86"/>
        <v>5.9865846571482981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41.897912390583159</v>
      </c>
      <c r="H131" s="70">
        <f t="shared" si="56"/>
        <v>241.61047281119994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67.924059164604571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-1.3596945791505279E-13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251.99201350544561</v>
      </c>
      <c r="T131" s="62">
        <f t="shared" si="88"/>
        <v>366.66533117979162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 t="e">
        <f>EXP(-LN(2)/35)*Z130+(1-EXP(-LN(2)/35))/(LN(2)/35)*V131*W131*VLOOKUP('Données projet'!$B$9,Paramètres!$A$1:$I$89,3,0)*0.475*44/12</f>
        <v>#VALUE!</v>
      </c>
      <c r="AA131" s="23" t="e">
        <f>EXP(-LN(2)/25)*AA130+(1-EXP(-LN(2)/25))/(LN(2)/25)*Calculateur!V131*Calculateur!X131*VLOOKUP('Données projet'!$B$9,Paramètres!$A$1:$I$89,3,0)*0.475*44/12</f>
        <v>#VALUE!</v>
      </c>
      <c r="AB131" s="23" t="e">
        <f>EXP(-LN(2)/2)*AB130+(1-EXP(-LN(2)/2))/(LN(2)/2)*V131*Y131*VLOOKUP('Données projet'!$B$9,Paramètres!$A$1:$I$89,3,0)*0.475*44/12</f>
        <v>#VALUE!</v>
      </c>
      <c r="AC131" s="24" t="e">
        <f t="shared" si="57"/>
        <v>#VALUE!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67.924059164604571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149.52545095126411</v>
      </c>
      <c r="AO131" s="62">
        <f t="shared" si="90"/>
        <v>457.9161829331029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6.9860838639354776</v>
      </c>
      <c r="AV131" s="23">
        <f>EXP(-LN(2)/25)*AV130+(1-EXP(-LN(2)/25))/(LN(2)/25)*Calculateur!AQ131*Calculateur!AS131*VLOOKUP('Données projet'!$B$10,Paramètres!$A$1:$I$89,3,0)*0.475*44/12</f>
        <v>1.2905172731299557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8.276601137065434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67.924059164604571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-3.4106051316484809E-13</v>
      </c>
      <c r="BE131" s="14">
        <f>BD131*VLOOKUP('Données projet'!$B$11,Paramètres!$A$1:$I$89,3,0)*VLOOKUP('Données projet'!$B$11,Paramètres!$A$1:$I$89,5,0)</f>
        <v>-3.4583536034915599E-13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408.82357969905803</v>
      </c>
      <c r="BJ131" s="62">
        <f t="shared" si="92"/>
        <v>263.2013060831145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125.66183570447092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125.66183570447092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67.924059164604571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2.8421709430404007E-13</v>
      </c>
      <c r="BZ131" s="14">
        <f>BY131*VLOOKUP('Données projet'!$B$12,Paramètres!$A$1:$I$89,3,0)*VLOOKUP('Données projet'!$B$12,Paramètres!$A$1:$I$89,5,0)</f>
        <v>2.7046098693972454E-13</v>
      </c>
      <c r="CA131" s="14">
        <f t="shared" si="93"/>
        <v>3.6187594451142911E-12</v>
      </c>
      <c r="CB131" s="22">
        <f t="shared" si="64"/>
        <v>6.7737255858274096E-12</v>
      </c>
      <c r="CC131" s="62">
        <f t="shared" si="65"/>
        <v>285.72155027022353</v>
      </c>
      <c r="CD131" s="62">
        <f ca="1">AVERAGE(OFFSET($CC$3,0,0,'Données projet'!$E$12+1,1))-AVERAGE(OFFSET($H$3,0,0,'Données projet'!$E$12+1,1))</f>
        <v>451.95887041951761</v>
      </c>
      <c r="CE131" s="62">
        <f t="shared" si="94"/>
        <v>311.32964503257341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152.03433909294353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152.03433909294353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67.924059164604571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67.924059164604571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67.924059164604571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67.924059164604571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67.924059164604571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67.924059164604571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3.9000000000000004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18.353087999999989</v>
      </c>
      <c r="D132" s="12">
        <f t="shared" si="86"/>
        <v>6.0278920632840736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42.124649060617514</v>
      </c>
      <c r="H132" s="70">
        <f t="shared" ref="H132:H195" si="110">(B132+E132+F132)*44/12+(C132+D132)*0.475*44/12</f>
        <v>241.93020694355306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67.960072096990274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-1.3596945791505279E-13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251.99201350544561</v>
      </c>
      <c r="T132" s="62">
        <f t="shared" si="88"/>
        <v>366.66533117979162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 t="e">
        <f>EXP(-LN(2)/35)*Z131+(1-EXP(-LN(2)/35))/(LN(2)/35)*V132*W132*VLOOKUP('Données projet'!$B$9,Paramètres!$A$1:$I$89,3,0)*0.475*44/12</f>
        <v>#VALUE!</v>
      </c>
      <c r="AA132" s="23" t="e">
        <f>EXP(-LN(2)/25)*AA131+(1-EXP(-LN(2)/25))/(LN(2)/25)*Calculateur!V132*Calculateur!X132*VLOOKUP('Données projet'!$B$9,Paramètres!$A$1:$I$89,3,0)*0.475*44/12</f>
        <v>#VALUE!</v>
      </c>
      <c r="AB132" s="23" t="e">
        <f>EXP(-LN(2)/2)*AB131+(1-EXP(-LN(2)/2))/(LN(2)/2)*V132*Y132*VLOOKUP('Données projet'!$B$9,Paramètres!$A$1:$I$89,3,0)*0.475*44/12</f>
        <v>#VALUE!</v>
      </c>
      <c r="AC132" s="24" t="e">
        <f t="shared" ref="AC132:AC153" si="111">SUM(Z132:AB132)</f>
        <v>#VALUE!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67.960072096990274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149.52545095126411</v>
      </c>
      <c r="AO132" s="62">
        <f t="shared" si="90"/>
        <v>457.9161829331029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6.8490910204541118</v>
      </c>
      <c r="AV132" s="23">
        <f>EXP(-LN(2)/25)*AV131+(1-EXP(-LN(2)/25))/(LN(2)/25)*Calculateur!AQ132*Calculateur!AS132*VLOOKUP('Données projet'!$B$10,Paramètres!$A$1:$I$89,3,0)*0.475*44/12</f>
        <v>1.2552280104308631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8.1043190308849749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67.960072096990274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-3.4106051316484809E-13</v>
      </c>
      <c r="BE132" s="14">
        <f>BD132*VLOOKUP('Données projet'!$B$11,Paramètres!$A$1:$I$89,3,0)*VLOOKUP('Données projet'!$B$11,Paramètres!$A$1:$I$89,5,0)</f>
        <v>-3.4583536034915599E-13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408.82357969905803</v>
      </c>
      <c r="BJ132" s="62">
        <f t="shared" si="92"/>
        <v>263.2013060831145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123.19768375245785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123.19768375245785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67.960072096990274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2.8421709430404007E-13</v>
      </c>
      <c r="BZ132" s="14">
        <f>BY132*VLOOKUP('Données projet'!$B$12,Paramètres!$A$1:$I$89,3,0)*VLOOKUP('Données projet'!$B$12,Paramètres!$A$1:$I$89,5,0)</f>
        <v>2.7046098693972454E-13</v>
      </c>
      <c r="CA132" s="14">
        <f t="shared" si="93"/>
        <v>3.6187594451142911E-12</v>
      </c>
      <c r="CB132" s="22">
        <f t="shared" ref="CB132:CB153" si="118">(BZ132+CA132)*0.475*44/12</f>
        <v>6.7737255858274096E-12</v>
      </c>
      <c r="CC132" s="62">
        <f t="shared" ref="CC132:CC195" si="119">CB132+(BT132+BU132)*44/12</f>
        <v>285.85359768897109</v>
      </c>
      <c r="CD132" s="62">
        <f ca="1">AVERAGE(OFFSET($CC$3,0,0,'Données projet'!$E$12+1,1))-AVERAGE(OFFSET($H$3,0,0,'Données projet'!$E$12+1,1))</f>
        <v>451.95887041951761</v>
      </c>
      <c r="CE132" s="62">
        <f t="shared" si="94"/>
        <v>311.32964503257341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149.05303843512124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149.05303843512124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67.960072096990274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67.960072096990274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67.960072096990274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67.960072096990274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67.960072096990274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67.960072096990274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3.9000000000000004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18.495359999999987</v>
      </c>
      <c r="D133" s="12">
        <f t="shared" ref="D133:D196" si="140">IFERROR(EXP(-1.0587+0.8836*LN(C133)+0.284),0)</f>
        <v>6.0691622131069209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42.351339715837298</v>
      </c>
      <c r="H133" s="70">
        <f t="shared" si="110"/>
        <v>242.24987618782788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67.995460285511925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-1.3596945791505279E-13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251.99201350544561</v>
      </c>
      <c r="T133" s="62">
        <f t="shared" ref="T133:T196" si="142">$T$3</f>
        <v>366.66533117979162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 t="e">
        <f>EXP(-LN(2)/35)*Z132+(1-EXP(-LN(2)/35))/(LN(2)/35)*V133*W133*VLOOKUP('Données projet'!$B$9,Paramètres!$A$1:$I$89,3,0)*0.475*44/12</f>
        <v>#VALUE!</v>
      </c>
      <c r="AA133" s="23" t="e">
        <f>EXP(-LN(2)/25)*AA132+(1-EXP(-LN(2)/25))/(LN(2)/25)*Calculateur!V133*Calculateur!X133*VLOOKUP('Données projet'!$B$9,Paramètres!$A$1:$I$89,3,0)*0.475*44/12</f>
        <v>#VALUE!</v>
      </c>
      <c r="AB133" s="23" t="e">
        <f>EXP(-LN(2)/2)*AB132+(1-EXP(-LN(2)/2))/(LN(2)/2)*V133*Y133*VLOOKUP('Données projet'!$B$9,Paramètres!$A$1:$I$89,3,0)*0.475*44/12</f>
        <v>#VALUE!</v>
      </c>
      <c r="AC133" s="24" t="e">
        <f t="shared" si="111"/>
        <v>#VALUE!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67.995460285511925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149.52545095126411</v>
      </c>
      <c r="AO133" s="62">
        <f t="shared" ref="AO133:AO196" si="144">$AO$3</f>
        <v>457.9161829331029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6.7147845230760321</v>
      </c>
      <c r="AV133" s="23">
        <f>EXP(-LN(2)/25)*AV132+(1-EXP(-LN(2)/25))/(LN(2)/25)*Calculateur!AQ133*Calculateur!AS133*VLOOKUP('Données projet'!$B$10,Paramètres!$A$1:$I$89,3,0)*0.475*44/12</f>
        <v>1.2209037344760589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7.9356882575520906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67.995460285511925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-3.4106051316484809E-13</v>
      </c>
      <c r="BE133" s="14">
        <f>BD133*VLOOKUP('Données projet'!$B$11,Paramètres!$A$1:$I$89,3,0)*VLOOKUP('Données projet'!$B$11,Paramètres!$A$1:$I$89,5,0)</f>
        <v>-3.4583536034915599E-13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408.82357969905803</v>
      </c>
      <c r="BJ133" s="62">
        <f t="shared" ref="BJ133:BJ196" si="146">$BJ$3</f>
        <v>263.2013060831145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120.78185231723947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120.78185231723947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67.995460285511925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2.8421709430404007E-13</v>
      </c>
      <c r="BZ133" s="14">
        <f>BY133*VLOOKUP('Données projet'!$B$12,Paramètres!$A$1:$I$89,3,0)*VLOOKUP('Données projet'!$B$12,Paramètres!$A$1:$I$89,5,0)</f>
        <v>2.7046098693972454E-13</v>
      </c>
      <c r="CA133" s="14">
        <f t="shared" ref="CA133:CA153" si="147">EXP(-1.0587+0.8836*LN(BZ133)+0.284)</f>
        <v>3.6187594451142911E-12</v>
      </c>
      <c r="CB133" s="22">
        <f t="shared" si="118"/>
        <v>6.7737255858274096E-12</v>
      </c>
      <c r="CC133" s="62">
        <f t="shared" si="119"/>
        <v>285.98335438021718</v>
      </c>
      <c r="CD133" s="62">
        <f ca="1">AVERAGE(OFFSET($CC$3,0,0,'Données projet'!$E$12+1,1))-AVERAGE(OFFSET($H$3,0,0,'Données projet'!$E$12+1,1))</f>
        <v>451.95887041951761</v>
      </c>
      <c r="CE133" s="62">
        <f t="shared" ref="CE133:CE196" si="148">$CE$3</f>
        <v>311.32964503257341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146.13019926478501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146.13019926478501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67.995460285511925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67.995460285511925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67.995460285511925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67.995460285511925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67.995460285511925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67.995460285511925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3.9000000000000004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18.637631999999986</v>
      </c>
      <c r="D134" s="12">
        <f t="shared" si="140"/>
        <v>6.1103954264257272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42.577984751234567</v>
      </c>
      <c r="H134" s="70">
        <f t="shared" si="110"/>
        <v>242.56948110102479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68.030234568078868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-1.3596945791505279E-13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251.99201350544561</v>
      </c>
      <c r="T134" s="62">
        <f t="shared" si="142"/>
        <v>366.66533117979162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 t="e">
        <f>EXP(-LN(2)/35)*Z133+(1-EXP(-LN(2)/35))/(LN(2)/35)*V134*W134*VLOOKUP('Données projet'!$B$9,Paramètres!$A$1:$I$89,3,0)*0.475*44/12</f>
        <v>#VALUE!</v>
      </c>
      <c r="AA134" s="23" t="e">
        <f>EXP(-LN(2)/25)*AA133+(1-EXP(-LN(2)/25))/(LN(2)/25)*Calculateur!V134*Calculateur!X134*VLOOKUP('Données projet'!$B$9,Paramètres!$A$1:$I$89,3,0)*0.475*44/12</f>
        <v>#VALUE!</v>
      </c>
      <c r="AB134" s="23" t="e">
        <f>EXP(-LN(2)/2)*AB133+(1-EXP(-LN(2)/2))/(LN(2)/2)*V134*Y134*VLOOKUP('Données projet'!$B$9,Paramètres!$A$1:$I$89,3,0)*0.475*44/12</f>
        <v>#VALUE!</v>
      </c>
      <c r="AC134" s="24" t="e">
        <f t="shared" si="111"/>
        <v>#VALUE!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68.030234568078868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149.52545095126411</v>
      </c>
      <c r="AO134" s="62">
        <f t="shared" si="144"/>
        <v>457.9161829331029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6.5831116941926622</v>
      </c>
      <c r="AV134" s="23">
        <f>EXP(-LN(2)/25)*AV133+(1-EXP(-LN(2)/25))/(LN(2)/25)*Calculateur!AQ134*Calculateur!AS134*VLOOKUP('Données projet'!$B$10,Paramètres!$A$1:$I$89,3,0)*0.475*44/12</f>
        <v>1.1875180576522741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7.7706297518449361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68.030234568078868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-3.4106051316484809E-13</v>
      </c>
      <c r="BE134" s="14">
        <f>BD134*VLOOKUP('Données projet'!$B$11,Paramètres!$A$1:$I$89,3,0)*VLOOKUP('Données projet'!$B$11,Paramètres!$A$1:$I$89,5,0)</f>
        <v>-3.4583536034915599E-13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408.82357969905803</v>
      </c>
      <c r="BJ134" s="62">
        <f t="shared" si="146"/>
        <v>263.2013060831145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118.41339386295404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118.41339386295404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68.030234568078868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2.8421709430404007E-13</v>
      </c>
      <c r="BZ134" s="14">
        <f>BY134*VLOOKUP('Données projet'!$B$12,Paramètres!$A$1:$I$89,3,0)*VLOOKUP('Données projet'!$B$12,Paramètres!$A$1:$I$89,5,0)</f>
        <v>2.7046098693972454E-13</v>
      </c>
      <c r="CA134" s="14">
        <f t="shared" si="147"/>
        <v>3.6187594451142911E-12</v>
      </c>
      <c r="CB134" s="22">
        <f t="shared" si="118"/>
        <v>6.7737255858274096E-12</v>
      </c>
      <c r="CC134" s="62">
        <f t="shared" si="119"/>
        <v>286.11086008296263</v>
      </c>
      <c r="CD134" s="62">
        <f ca="1">AVERAGE(OFFSET($CC$3,0,0,'Données projet'!$E$12+1,1))-AVERAGE(OFFSET($H$3,0,0,'Données projet'!$E$12+1,1))</f>
        <v>451.95887041951761</v>
      </c>
      <c r="CE134" s="62">
        <f t="shared" si="148"/>
        <v>311.32964503257341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143.2646751878232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143.2646751878232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68.030234568078868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68.030234568078868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68.030234568078868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68.030234568078868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68.030234568078868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68.030234568078868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3.9000000000000004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18.779903999999984</v>
      </c>
      <c r="D135" s="12">
        <f t="shared" si="140"/>
        <v>6.1515920178847798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42.804584555422593</v>
      </c>
      <c r="H135" s="70">
        <f t="shared" si="110"/>
        <v>242.88902223114928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68.064405594586916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-1.3596945791505279E-13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251.99201350544561</v>
      </c>
      <c r="T135" s="62">
        <f t="shared" si="142"/>
        <v>366.66533117979162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 t="e">
        <f>EXP(-LN(2)/35)*Z134+(1-EXP(-LN(2)/35))/(LN(2)/35)*V135*W135*VLOOKUP('Données projet'!$B$9,Paramètres!$A$1:$I$89,3,0)*0.475*44/12</f>
        <v>#VALUE!</v>
      </c>
      <c r="AA135" s="23" t="e">
        <f>EXP(-LN(2)/25)*AA134+(1-EXP(-LN(2)/25))/(LN(2)/25)*Calculateur!V135*Calculateur!X135*VLOOKUP('Données projet'!$B$9,Paramètres!$A$1:$I$89,3,0)*0.475*44/12</f>
        <v>#VALUE!</v>
      </c>
      <c r="AB135" s="23" t="e">
        <f>EXP(-LN(2)/2)*AB134+(1-EXP(-LN(2)/2))/(LN(2)/2)*V135*Y135*VLOOKUP('Données projet'!$B$9,Paramètres!$A$1:$I$89,3,0)*0.475*44/12</f>
        <v>#VALUE!</v>
      </c>
      <c r="AC135" s="24" t="e">
        <f t="shared" si="111"/>
        <v>#VALUE!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68.064405594586916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149.52545095126411</v>
      </c>
      <c r="AO135" s="62">
        <f t="shared" si="144"/>
        <v>457.9161829331029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6.4540208891711996</v>
      </c>
      <c r="AV135" s="23">
        <f>EXP(-LN(2)/25)*AV134+(1-EXP(-LN(2)/25))/(LN(2)/25)*Calculateur!AQ135*Calculateur!AS135*VLOOKUP('Données projet'!$B$10,Paramètres!$A$1:$I$89,3,0)*0.475*44/12</f>
        <v>1.1550453139169121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7.609066203088112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68.064405594586916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-3.4106051316484809E-13</v>
      </c>
      <c r="BE135" s="14">
        <f>BD135*VLOOKUP('Données projet'!$B$11,Paramètres!$A$1:$I$89,3,0)*VLOOKUP('Données projet'!$B$11,Paramètres!$A$1:$I$89,5,0)</f>
        <v>-3.4583536034915599E-13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408.82357969905803</v>
      </c>
      <c r="BJ135" s="62">
        <f t="shared" si="146"/>
        <v>263.2013060831145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116.09137943434014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116.09137943434014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68.064405594586916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2.8421709430404007E-13</v>
      </c>
      <c r="BZ135" s="14">
        <f>BY135*VLOOKUP('Données projet'!$B$12,Paramètres!$A$1:$I$89,3,0)*VLOOKUP('Données projet'!$B$12,Paramètres!$A$1:$I$89,5,0)</f>
        <v>2.7046098693972454E-13</v>
      </c>
      <c r="CA135" s="14">
        <f t="shared" si="147"/>
        <v>3.6187594451142911E-12</v>
      </c>
      <c r="CB135" s="22">
        <f t="shared" si="118"/>
        <v>6.7737255858274096E-12</v>
      </c>
      <c r="CC135" s="62">
        <f t="shared" si="119"/>
        <v>286.23615384682546</v>
      </c>
      <c r="CD135" s="62">
        <f ca="1">AVERAGE(OFFSET($CC$3,0,0,'Données projet'!$E$12+1,1))-AVERAGE(OFFSET($H$3,0,0,'Données projet'!$E$12+1,1))</f>
        <v>451.95887041951761</v>
      </c>
      <c r="CE135" s="62">
        <f t="shared" si="148"/>
        <v>311.32964503257341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140.45534229021351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140.45534229021351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68.064405594586916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68.064405594586916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68.064405594586916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68.064405594586916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68.064405594586916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68.064405594586916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3.9000000000000004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18.922175999999983</v>
      </c>
      <c r="D136" s="12">
        <f t="shared" si="140"/>
        <v>6.1927522970856561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43.031139510786474</v>
      </c>
      <c r="H136" s="70">
        <f t="shared" si="110"/>
        <v>243.20850011742417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68.097983830180027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-1.3596945791505279E-13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251.99201350544561</v>
      </c>
      <c r="T136" s="62">
        <f t="shared" si="142"/>
        <v>366.66533117979162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 t="e">
        <f>EXP(-LN(2)/35)*Z135+(1-EXP(-LN(2)/35))/(LN(2)/35)*V136*W136*VLOOKUP('Données projet'!$B$9,Paramètres!$A$1:$I$89,3,0)*0.475*44/12</f>
        <v>#VALUE!</v>
      </c>
      <c r="AA136" s="23" t="e">
        <f>EXP(-LN(2)/25)*AA135+(1-EXP(-LN(2)/25))/(LN(2)/25)*Calculateur!V136*Calculateur!X136*VLOOKUP('Données projet'!$B$9,Paramètres!$A$1:$I$89,3,0)*0.475*44/12</f>
        <v>#VALUE!</v>
      </c>
      <c r="AB136" s="23" t="e">
        <f>EXP(-LN(2)/2)*AB135+(1-EXP(-LN(2)/2))/(LN(2)/2)*V136*Y136*VLOOKUP('Données projet'!$B$9,Paramètres!$A$1:$I$89,3,0)*0.475*44/12</f>
        <v>#VALUE!</v>
      </c>
      <c r="AC136" s="24" t="e">
        <f t="shared" si="111"/>
        <v>#VALUE!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68.097983830180027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149.52545095126411</v>
      </c>
      <c r="AO136" s="62">
        <f t="shared" si="144"/>
        <v>457.9161829331029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6.3274614760985912</v>
      </c>
      <c r="AV136" s="23">
        <f>EXP(-LN(2)/25)*AV135+(1-EXP(-LN(2)/25))/(LN(2)/25)*Calculateur!AQ136*Calculateur!AS136*VLOOKUP('Données projet'!$B$10,Paramètres!$A$1:$I$89,3,0)*0.475*44/12</f>
        <v>1.123460539066661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7.4509220151652524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68.097983830180027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-3.4106051316484809E-13</v>
      </c>
      <c r="BE136" s="14">
        <f>BD136*VLOOKUP('Données projet'!$B$11,Paramètres!$A$1:$I$89,3,0)*VLOOKUP('Données projet'!$B$11,Paramètres!$A$1:$I$89,5,0)</f>
        <v>-3.4583536034915599E-13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408.82357969905803</v>
      </c>
      <c r="BJ136" s="62">
        <f t="shared" si="146"/>
        <v>263.2013060831145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113.8148982923824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113.8148982923824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68.097983830180027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2.8421709430404007E-13</v>
      </c>
      <c r="BZ136" s="14">
        <f>BY136*VLOOKUP('Données projet'!$B$12,Paramètres!$A$1:$I$89,3,0)*VLOOKUP('Données projet'!$B$12,Paramètres!$A$1:$I$89,5,0)</f>
        <v>2.7046098693972454E-13</v>
      </c>
      <c r="CA136" s="14">
        <f t="shared" si="147"/>
        <v>3.6187594451142911E-12</v>
      </c>
      <c r="CB136" s="22">
        <f t="shared" si="118"/>
        <v>6.7737255858274096E-12</v>
      </c>
      <c r="CC136" s="62">
        <f t="shared" si="119"/>
        <v>286.35927404400019</v>
      </c>
      <c r="CD136" s="62">
        <f ca="1">AVERAGE(OFFSET($CC$3,0,0,'Données projet'!$E$12+1,1))-AVERAGE(OFFSET($H$3,0,0,'Données projet'!$E$12+1,1))</f>
        <v>451.95887041951761</v>
      </c>
      <c r="CE136" s="62">
        <f t="shared" si="148"/>
        <v>311.32964503257341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137.70109869720207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137.70109869720207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68.097983830180027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68.097983830180027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68.097983830180027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68.097983830180027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68.097983830180027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68.097983830180027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3.9000000000000004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19.064447999999981</v>
      </c>
      <c r="D137" s="12">
        <f t="shared" si="140"/>
        <v>6.233876568705317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43.257649993629002</v>
      </c>
      <c r="H137" s="70">
        <f t="shared" si="110"/>
        <v>243.52791529049506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68.13097955845528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-1.3596945791505279E-13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251.99201350544561</v>
      </c>
      <c r="T137" s="62">
        <f t="shared" si="142"/>
        <v>366.66533117979162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 t="e">
        <f>EXP(-LN(2)/35)*Z136+(1-EXP(-LN(2)/35))/(LN(2)/35)*V137*W137*VLOOKUP('Données projet'!$B$9,Paramètres!$A$1:$I$89,3,0)*0.475*44/12</f>
        <v>#VALUE!</v>
      </c>
      <c r="AA137" s="23" t="e">
        <f>EXP(-LN(2)/25)*AA136+(1-EXP(-LN(2)/25))/(LN(2)/25)*Calculateur!V137*Calculateur!X137*VLOOKUP('Données projet'!$B$9,Paramètres!$A$1:$I$89,3,0)*0.475*44/12</f>
        <v>#VALUE!</v>
      </c>
      <c r="AB137" s="23" t="e">
        <f>EXP(-LN(2)/2)*AB136+(1-EXP(-LN(2)/2))/(LN(2)/2)*V137*Y137*VLOOKUP('Données projet'!$B$9,Paramètres!$A$1:$I$89,3,0)*0.475*44/12</f>
        <v>#VALUE!</v>
      </c>
      <c r="AC137" s="24" t="e">
        <f t="shared" si="111"/>
        <v>#VALUE!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68.13097955845528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149.52545095126411</v>
      </c>
      <c r="AO137" s="62">
        <f t="shared" si="144"/>
        <v>457.9161829331029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6.2033838159227175</v>
      </c>
      <c r="AV137" s="23">
        <f>EXP(-LN(2)/25)*AV136+(1-EXP(-LN(2)/25))/(LN(2)/25)*Calculateur!AQ137*Calculateur!AS137*VLOOKUP('Données projet'!$B$10,Paramètres!$A$1:$I$89,3,0)*0.475*44/12</f>
        <v>1.092739451545661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7.2961232674683787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68.13097955845528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-3.4106051316484809E-13</v>
      </c>
      <c r="BE137" s="14">
        <f>BD137*VLOOKUP('Données projet'!$B$11,Paramètres!$A$1:$I$89,3,0)*VLOOKUP('Données projet'!$B$11,Paramètres!$A$1:$I$89,5,0)</f>
        <v>-3.4583536034915599E-13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408.82357969905803</v>
      </c>
      <c r="BJ137" s="62">
        <f t="shared" si="146"/>
        <v>263.2013060831145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111.58305755710205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111.58305755710205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68.13097955845528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2.8421709430404007E-13</v>
      </c>
      <c r="BZ137" s="14">
        <f>BY137*VLOOKUP('Données projet'!$B$12,Paramètres!$A$1:$I$89,3,0)*VLOOKUP('Données projet'!$B$12,Paramètres!$A$1:$I$89,5,0)</f>
        <v>2.7046098693972454E-13</v>
      </c>
      <c r="CA137" s="14">
        <f t="shared" si="147"/>
        <v>3.6187594451142911E-12</v>
      </c>
      <c r="CB137" s="22">
        <f t="shared" si="118"/>
        <v>6.7737255858274096E-12</v>
      </c>
      <c r="CC137" s="62">
        <f t="shared" si="119"/>
        <v>286.48025838100943</v>
      </c>
      <c r="CD137" s="62">
        <f ca="1">AVERAGE(OFFSET($CC$3,0,0,'Données projet'!$E$12+1,1))-AVERAGE(OFFSET($H$3,0,0,'Données projet'!$E$12+1,1))</f>
        <v>451.95887041951761</v>
      </c>
      <c r="CE137" s="62">
        <f t="shared" si="148"/>
        <v>311.32964503257341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135.00086414112687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135.00086414112687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68.13097955845528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68.13097955845528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68.13097955845528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68.13097955845528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68.13097955845528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68.13097955845528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3.9000000000000004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19.206719999999979</v>
      </c>
      <c r="D138" s="12">
        <f t="shared" si="140"/>
        <v>6.2749651326106175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43.484116374312038</v>
      </c>
      <c r="H138" s="70">
        <f t="shared" si="110"/>
        <v>243.84726827263012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68.163402884612353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-1.3596945791505279E-13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251.99201350544561</v>
      </c>
      <c r="T138" s="62">
        <f t="shared" si="142"/>
        <v>366.66533117979162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 t="e">
        <f>EXP(-LN(2)/35)*Z137+(1-EXP(-LN(2)/35))/(LN(2)/35)*V138*W138*VLOOKUP('Données projet'!$B$9,Paramètres!$A$1:$I$89,3,0)*0.475*44/12</f>
        <v>#VALUE!</v>
      </c>
      <c r="AA138" s="23" t="e">
        <f>EXP(-LN(2)/25)*AA137+(1-EXP(-LN(2)/25))/(LN(2)/25)*Calculateur!V138*Calculateur!X138*VLOOKUP('Données projet'!$B$9,Paramètres!$A$1:$I$89,3,0)*0.475*44/12</f>
        <v>#VALUE!</v>
      </c>
      <c r="AB138" s="23" t="e">
        <f>EXP(-LN(2)/2)*AB137+(1-EXP(-LN(2)/2))/(LN(2)/2)*V138*Y138*VLOOKUP('Données projet'!$B$9,Paramètres!$A$1:$I$89,3,0)*0.475*44/12</f>
        <v>#VALUE!</v>
      </c>
      <c r="AC138" s="24" t="e">
        <f t="shared" si="111"/>
        <v>#VALUE!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68.163402884612353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149.52545095126411</v>
      </c>
      <c r="AO138" s="62">
        <f t="shared" si="144"/>
        <v>457.9161829331029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6.0817392429829926</v>
      </c>
      <c r="AV138" s="23">
        <f>EXP(-LN(2)/25)*AV137+(1-EXP(-LN(2)/25))/(LN(2)/25)*Calculateur!AQ138*Calculateur!AS138*VLOOKUP('Données projet'!$B$10,Paramètres!$A$1:$I$89,3,0)*0.475*44/12</f>
        <v>1.0628584337784746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7.1445976767614674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68.163402884612353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-3.4106051316484809E-13</v>
      </c>
      <c r="BE138" s="14">
        <f>BD138*VLOOKUP('Données projet'!$B$11,Paramètres!$A$1:$I$89,3,0)*VLOOKUP('Données projet'!$B$11,Paramètres!$A$1:$I$89,5,0)</f>
        <v>-3.4583536034915599E-13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408.82357969905803</v>
      </c>
      <c r="BJ138" s="62">
        <f t="shared" si="146"/>
        <v>263.2013060831145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109.39498185735212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109.39498185735212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68.163402884612353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2.8421709430404007E-13</v>
      </c>
      <c r="BZ138" s="14">
        <f>BY138*VLOOKUP('Données projet'!$B$12,Paramètres!$A$1:$I$89,3,0)*VLOOKUP('Données projet'!$B$12,Paramètres!$A$1:$I$89,5,0)</f>
        <v>2.7046098693972454E-13</v>
      </c>
      <c r="CA138" s="14">
        <f t="shared" si="147"/>
        <v>3.6187594451142911E-12</v>
      </c>
      <c r="CB138" s="22">
        <f t="shared" si="118"/>
        <v>6.7737255858274096E-12</v>
      </c>
      <c r="CC138" s="62">
        <f t="shared" si="119"/>
        <v>286.59914391025205</v>
      </c>
      <c r="CD138" s="62">
        <f ca="1">AVERAGE(OFFSET($CC$3,0,0,'Données projet'!$E$12+1,1))-AVERAGE(OFFSET($H$3,0,0,'Données projet'!$E$12+1,1))</f>
        <v>451.95887041951761</v>
      </c>
      <c r="CE138" s="62">
        <f t="shared" si="148"/>
        <v>311.32964503257341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132.35357953771586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132.35357953771586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68.163402884612353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68.163402884612353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68.163402884612353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68.163402884612353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68.163402884612353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68.163402884612353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3.9000000000000004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19.348991999999978</v>
      </c>
      <c r="D139" s="12">
        <f t="shared" si="140"/>
        <v>6.3160182839692771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43.710539017393614</v>
      </c>
      <c r="H139" s="70">
        <f t="shared" si="110"/>
        <v>244.16655957791312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68.195263738548306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-1.3596945791505279E-13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251.99201350544561</v>
      </c>
      <c r="T139" s="62">
        <f t="shared" si="142"/>
        <v>366.66533117979162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 t="e">
        <f>EXP(-LN(2)/35)*Z138+(1-EXP(-LN(2)/35))/(LN(2)/35)*V139*W139*VLOOKUP('Données projet'!$B$9,Paramètres!$A$1:$I$89,3,0)*0.475*44/12</f>
        <v>#VALUE!</v>
      </c>
      <c r="AA139" s="23" t="e">
        <f>EXP(-LN(2)/25)*AA138+(1-EXP(-LN(2)/25))/(LN(2)/25)*Calculateur!V139*Calculateur!X139*VLOOKUP('Données projet'!$B$9,Paramètres!$A$1:$I$89,3,0)*0.475*44/12</f>
        <v>#VALUE!</v>
      </c>
      <c r="AB139" s="23" t="e">
        <f>EXP(-LN(2)/2)*AB138+(1-EXP(-LN(2)/2))/(LN(2)/2)*V139*Y139*VLOOKUP('Données projet'!$B$9,Paramètres!$A$1:$I$89,3,0)*0.475*44/12</f>
        <v>#VALUE!</v>
      </c>
      <c r="AC139" s="24" t="e">
        <f t="shared" si="111"/>
        <v>#VALUE!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68.195263738548306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149.52545095126411</v>
      </c>
      <c r="AO139" s="62">
        <f t="shared" si="144"/>
        <v>457.9161829331029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5.962480045922752</v>
      </c>
      <c r="AV139" s="23">
        <f>EXP(-LN(2)/25)*AV138+(1-EXP(-LN(2)/25))/(LN(2)/25)*Calculateur!AQ139*Calculateur!AS139*VLOOKUP('Données projet'!$B$10,Paramètres!$A$1:$I$89,3,0)*0.475*44/12</f>
        <v>1.0337945140135063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6.9962745599362588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68.195263738548306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-3.4106051316484809E-13</v>
      </c>
      <c r="BE139" s="14">
        <f>BD139*VLOOKUP('Données projet'!$B$11,Paramètres!$A$1:$I$89,3,0)*VLOOKUP('Données projet'!$B$11,Paramètres!$A$1:$I$89,5,0)</f>
        <v>-3.4583536034915599E-13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408.82357969905803</v>
      </c>
      <c r="BJ139" s="62">
        <f t="shared" si="146"/>
        <v>263.2013060831145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107.2498129874799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107.2498129874799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68.195263738548306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2.8421709430404007E-13</v>
      </c>
      <c r="BZ139" s="14">
        <f>BY139*VLOOKUP('Données projet'!$B$12,Paramètres!$A$1:$I$89,3,0)*VLOOKUP('Données projet'!$B$12,Paramètres!$A$1:$I$89,5,0)</f>
        <v>2.7046098693972454E-13</v>
      </c>
      <c r="CA139" s="14">
        <f t="shared" si="147"/>
        <v>3.6187594451142911E-12</v>
      </c>
      <c r="CB139" s="22">
        <f t="shared" si="118"/>
        <v>6.7737255858274096E-12</v>
      </c>
      <c r="CC139" s="62">
        <f t="shared" si="119"/>
        <v>286.71596704135055</v>
      </c>
      <c r="CD139" s="62">
        <f ca="1">AVERAGE(OFFSET($CC$3,0,0,'Données projet'!$E$12+1,1))-AVERAGE(OFFSET($H$3,0,0,'Données projet'!$E$12+1,1))</f>
        <v>451.95887041951761</v>
      </c>
      <c r="CE139" s="62">
        <f t="shared" si="148"/>
        <v>311.32964503257341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129.75820657069357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129.75820657069357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68.195263738548306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68.195263738548306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68.195263738548306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68.195263738548306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68.195263738548306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68.195263738548306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3.9000000000000004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19.491263999999976</v>
      </c>
      <c r="D140" s="12">
        <f t="shared" si="140"/>
        <v>6.3570363133575336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43.936918281760853</v>
      </c>
      <c r="H140" s="70">
        <f t="shared" si="110"/>
        <v>244.485789712431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68.226571877898664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-1.3596945791505279E-13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251.99201350544561</v>
      </c>
      <c r="T140" s="62">
        <f t="shared" si="142"/>
        <v>366.66533117979162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 t="e">
        <f>EXP(-LN(2)/35)*Z139+(1-EXP(-LN(2)/35))/(LN(2)/35)*V140*W140*VLOOKUP('Données projet'!$B$9,Paramètres!$A$1:$I$89,3,0)*0.475*44/12</f>
        <v>#VALUE!</v>
      </c>
      <c r="AA140" s="23" t="e">
        <f>EXP(-LN(2)/25)*AA139+(1-EXP(-LN(2)/25))/(LN(2)/25)*Calculateur!V140*Calculateur!X140*VLOOKUP('Données projet'!$B$9,Paramètres!$A$1:$I$89,3,0)*0.475*44/12</f>
        <v>#VALUE!</v>
      </c>
      <c r="AB140" s="23" t="e">
        <f>EXP(-LN(2)/2)*AB139+(1-EXP(-LN(2)/2))/(LN(2)/2)*V140*Y140*VLOOKUP('Données projet'!$B$9,Paramètres!$A$1:$I$89,3,0)*0.475*44/12</f>
        <v>#VALUE!</v>
      </c>
      <c r="AC140" s="24" t="e">
        <f t="shared" si="111"/>
        <v>#VALUE!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68.226571877898664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149.52545095126411</v>
      </c>
      <c r="AO140" s="62">
        <f t="shared" si="144"/>
        <v>457.9161829331029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5.8455594489759353</v>
      </c>
      <c r="AV140" s="23">
        <f>EXP(-LN(2)/25)*AV139+(1-EXP(-LN(2)/25))/(LN(2)/25)*Calculateur!AQ140*Calculateur!AS140*VLOOKUP('Données projet'!$B$10,Paramètres!$A$1:$I$89,3,0)*0.475*44/12</f>
        <v>1.0055253486629163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6.8510847976388511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68.226571877898664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-3.4106051316484809E-13</v>
      </c>
      <c r="BE140" s="14">
        <f>BD140*VLOOKUP('Données projet'!$B$11,Paramètres!$A$1:$I$89,3,0)*VLOOKUP('Données projet'!$B$11,Paramètres!$A$1:$I$89,5,0)</f>
        <v>-3.4583536034915599E-13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408.82357969905803</v>
      </c>
      <c r="BJ140" s="62">
        <f t="shared" si="146"/>
        <v>263.2013060831145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105.14670957072205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105.14670957072205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68.226571877898664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2.8421709430404007E-13</v>
      </c>
      <c r="BZ140" s="14">
        <f>BY140*VLOOKUP('Données projet'!$B$12,Paramètres!$A$1:$I$89,3,0)*VLOOKUP('Données projet'!$B$12,Paramètres!$A$1:$I$89,5,0)</f>
        <v>2.7046098693972454E-13</v>
      </c>
      <c r="CA140" s="14">
        <f t="shared" si="147"/>
        <v>3.6187594451142911E-12</v>
      </c>
      <c r="CB140" s="22">
        <f t="shared" si="118"/>
        <v>6.7737255858274096E-12</v>
      </c>
      <c r="CC140" s="62">
        <f t="shared" si="119"/>
        <v>286.83076355230185</v>
      </c>
      <c r="CD140" s="62">
        <f ca="1">AVERAGE(OFFSET($CC$3,0,0,'Données projet'!$E$12+1,1))-AVERAGE(OFFSET($H$3,0,0,'Données projet'!$E$12+1,1))</f>
        <v>451.95887041951761</v>
      </c>
      <c r="CE140" s="62">
        <f t="shared" si="148"/>
        <v>311.32964503257341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127.21372728453339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127.21372728453339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68.226571877898664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68.226571877898664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68.226571877898664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68.226571877898664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68.226571877898664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68.226571877898664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3.9000000000000004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19.633535999999975</v>
      </c>
      <c r="D141" s="12">
        <f t="shared" si="140"/>
        <v>6.3980195068645314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44.163254520758969</v>
      </c>
      <c r="H141" s="70">
        <f t="shared" si="110"/>
        <v>244.80495917445569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68.257336891025815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-1.3596945791505279E-13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251.99201350544561</v>
      </c>
      <c r="T141" s="62">
        <f t="shared" si="142"/>
        <v>366.66533117979162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 t="e">
        <f>EXP(-LN(2)/35)*Z140+(1-EXP(-LN(2)/35))/(LN(2)/35)*V141*W141*VLOOKUP('Données projet'!$B$9,Paramètres!$A$1:$I$89,3,0)*0.475*44/12</f>
        <v>#VALUE!</v>
      </c>
      <c r="AA141" s="23" t="e">
        <f>EXP(-LN(2)/25)*AA140+(1-EXP(-LN(2)/25))/(LN(2)/25)*Calculateur!V141*Calculateur!X141*VLOOKUP('Données projet'!$B$9,Paramètres!$A$1:$I$89,3,0)*0.475*44/12</f>
        <v>#VALUE!</v>
      </c>
      <c r="AB141" s="23" t="e">
        <f>EXP(-LN(2)/2)*AB140+(1-EXP(-LN(2)/2))/(LN(2)/2)*V141*Y141*VLOOKUP('Données projet'!$B$9,Paramètres!$A$1:$I$89,3,0)*0.475*44/12</f>
        <v>#VALUE!</v>
      </c>
      <c r="AC141" s="24" t="e">
        <f t="shared" si="111"/>
        <v>#VALUE!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68.257336891025815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149.52545095126411</v>
      </c>
      <c r="AO141" s="62">
        <f t="shared" si="144"/>
        <v>457.9161829331029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5.7309315936207232</v>
      </c>
      <c r="AV141" s="23">
        <f>EXP(-LN(2)/25)*AV140+(1-EXP(-LN(2)/25))/(LN(2)/25)*Calculateur!AQ141*Calculateur!AS141*VLOOKUP('Données projet'!$B$10,Paramètres!$A$1:$I$89,3,0)*0.475*44/12</f>
        <v>0.978029205125449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6.7089607987461726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68.257336891025815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-3.4106051316484809E-13</v>
      </c>
      <c r="BE141" s="14">
        <f>BD141*VLOOKUP('Données projet'!$B$11,Paramètres!$A$1:$I$89,3,0)*VLOOKUP('Données projet'!$B$11,Paramètres!$A$1:$I$89,5,0)</f>
        <v>-3.4583536034915599E-13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408.82357969905803</v>
      </c>
      <c r="BJ141" s="62">
        <f t="shared" si="146"/>
        <v>263.2013060831145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103.08484672920041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103.08484672920041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68.257336891025815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2.8421709430404007E-13</v>
      </c>
      <c r="BZ141" s="14">
        <f>BY141*VLOOKUP('Données projet'!$B$12,Paramètres!$A$1:$I$89,3,0)*VLOOKUP('Données projet'!$B$12,Paramètres!$A$1:$I$89,5,0)</f>
        <v>2.7046098693972454E-13</v>
      </c>
      <c r="CA141" s="14">
        <f t="shared" si="147"/>
        <v>3.6187594451142911E-12</v>
      </c>
      <c r="CB141" s="22">
        <f t="shared" si="118"/>
        <v>6.7737255858274096E-12</v>
      </c>
      <c r="CC141" s="62">
        <f t="shared" si="119"/>
        <v>286.94356860043479</v>
      </c>
      <c r="CD141" s="62">
        <f ca="1">AVERAGE(OFFSET($CC$3,0,0,'Données projet'!$E$12+1,1))-AVERAGE(OFFSET($H$3,0,0,'Données projet'!$E$12+1,1))</f>
        <v>451.95887041951761</v>
      </c>
      <c r="CE141" s="62">
        <f t="shared" si="148"/>
        <v>311.32964503257341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124.71914368519569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124.71914368519569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68.257336891025815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68.257336891025815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68.257336891025815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68.257336891025815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68.257336891025815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68.257336891025815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3.9000000000000004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19.775807999999973</v>
      </c>
      <c r="D142" s="12">
        <f t="shared" si="140"/>
        <v>6.4389681461936323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44.389548082316317</v>
      </c>
      <c r="H142" s="70">
        <f t="shared" si="110"/>
        <v>245.12406845462053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68.287568199955473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-1.3596945791505279E-13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251.99201350544561</v>
      </c>
      <c r="T142" s="62">
        <f t="shared" si="142"/>
        <v>366.66533117979162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 t="e">
        <f>EXP(-LN(2)/35)*Z141+(1-EXP(-LN(2)/35))/(LN(2)/35)*V142*W142*VLOOKUP('Données projet'!$B$9,Paramètres!$A$1:$I$89,3,0)*0.475*44/12</f>
        <v>#VALUE!</v>
      </c>
      <c r="AA142" s="23" t="e">
        <f>EXP(-LN(2)/25)*AA141+(1-EXP(-LN(2)/25))/(LN(2)/25)*Calculateur!V142*Calculateur!X142*VLOOKUP('Données projet'!$B$9,Paramètres!$A$1:$I$89,3,0)*0.475*44/12</f>
        <v>#VALUE!</v>
      </c>
      <c r="AB142" s="23" t="e">
        <f>EXP(-LN(2)/2)*AB141+(1-EXP(-LN(2)/2))/(LN(2)/2)*V142*Y142*VLOOKUP('Données projet'!$B$9,Paramètres!$A$1:$I$89,3,0)*0.475*44/12</f>
        <v>#VALUE!</v>
      </c>
      <c r="AC142" s="24" t="e">
        <f t="shared" si="111"/>
        <v>#VALUE!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68.287568199955473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149.52545095126411</v>
      </c>
      <c r="AO142" s="62">
        <f t="shared" si="144"/>
        <v>457.9161829331029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5.6185515205929386</v>
      </c>
      <c r="AV142" s="23">
        <f>EXP(-LN(2)/25)*AV141+(1-EXP(-LN(2)/25))/(LN(2)/25)*Calculateur!AQ142*Calculateur!AS142*VLOOKUP('Données projet'!$B$10,Paramètres!$A$1:$I$89,3,0)*0.475*44/12</f>
        <v>0.95128494507897299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6.5698364656719113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68.287568199955473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-3.4106051316484809E-13</v>
      </c>
      <c r="BE142" s="14">
        <f>BD142*VLOOKUP('Données projet'!$B$11,Paramètres!$A$1:$I$89,3,0)*VLOOKUP('Données projet'!$B$11,Paramètres!$A$1:$I$89,5,0)</f>
        <v>-3.4583536034915599E-13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408.82357969905803</v>
      </c>
      <c r="BJ142" s="62">
        <f t="shared" si="146"/>
        <v>263.2013060831145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101.06341576038885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101.06341576038885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68.287568199955473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2.8421709430404007E-13</v>
      </c>
      <c r="BZ142" s="14">
        <f>BY142*VLOOKUP('Données projet'!$B$12,Paramètres!$A$1:$I$89,3,0)*VLOOKUP('Données projet'!$B$12,Paramètres!$A$1:$I$89,5,0)</f>
        <v>2.7046098693972454E-13</v>
      </c>
      <c r="CA142" s="14">
        <f t="shared" si="147"/>
        <v>3.6187594451142911E-12</v>
      </c>
      <c r="CB142" s="22">
        <f t="shared" si="118"/>
        <v>6.7737255858274096E-12</v>
      </c>
      <c r="CC142" s="62">
        <f t="shared" si="119"/>
        <v>287.05441673317682</v>
      </c>
      <c r="CD142" s="62">
        <f ca="1">AVERAGE(OFFSET($CC$3,0,0,'Données projet'!$E$12+1,1))-AVERAGE(OFFSET($H$3,0,0,'Données projet'!$E$12+1,1))</f>
        <v>451.95887041951761</v>
      </c>
      <c r="CE142" s="62">
        <f t="shared" si="148"/>
        <v>311.32964503257341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122.27347734869525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122.27347734869525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68.287568199955473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68.287568199955473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68.287568199955473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68.287568199955473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68.287568199955473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68.287568199955473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3.9000000000000004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19.918079999999971</v>
      </c>
      <c r="D143" s="12">
        <f t="shared" si="140"/>
        <v>6.4798825087606957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44.615799309065814</v>
      </c>
      <c r="H143" s="70">
        <f t="shared" si="110"/>
        <v>245.44311803609151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68.317275063262286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-1.3596945791505279E-13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251.99201350544561</v>
      </c>
      <c r="T143" s="62">
        <f t="shared" si="142"/>
        <v>366.66533117979162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 t="e">
        <f>EXP(-LN(2)/35)*Z142+(1-EXP(-LN(2)/35))/(LN(2)/35)*V143*W143*VLOOKUP('Données projet'!$B$9,Paramètres!$A$1:$I$89,3,0)*0.475*44/12</f>
        <v>#VALUE!</v>
      </c>
      <c r="AA143" s="23" t="e">
        <f>EXP(-LN(2)/25)*AA142+(1-EXP(-LN(2)/25))/(LN(2)/25)*Calculateur!V143*Calculateur!X143*VLOOKUP('Données projet'!$B$9,Paramètres!$A$1:$I$89,3,0)*0.475*44/12</f>
        <v>#VALUE!</v>
      </c>
      <c r="AB143" s="23" t="e">
        <f>EXP(-LN(2)/2)*AB142+(1-EXP(-LN(2)/2))/(LN(2)/2)*V143*Y143*VLOOKUP('Données projet'!$B$9,Paramètres!$A$1:$I$89,3,0)*0.475*44/12</f>
        <v>#VALUE!</v>
      </c>
      <c r="AC143" s="24" t="e">
        <f t="shared" si="111"/>
        <v>#VALUE!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68.317275063262286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149.52545095126411</v>
      </c>
      <c r="AO143" s="62">
        <f t="shared" si="144"/>
        <v>457.9161829331029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5.5083751522521522</v>
      </c>
      <c r="AV143" s="23">
        <f>EXP(-LN(2)/25)*AV142+(1-EXP(-LN(2)/25))/(LN(2)/25)*Calculateur!AQ143*Calculateur!AS143*VLOOKUP('Données projet'!$B$10,Paramètres!$A$1:$I$89,3,0)*0.475*44/12</f>
        <v>0.92527200822988742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6.4336471604820398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68.317275063262286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-3.4106051316484809E-13</v>
      </c>
      <c r="BE143" s="14">
        <f>BD143*VLOOKUP('Données projet'!$B$11,Paramètres!$A$1:$I$89,3,0)*VLOOKUP('Données projet'!$B$11,Paramètres!$A$1:$I$89,5,0)</f>
        <v>-3.4583536034915599E-13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408.82357969905803</v>
      </c>
      <c r="BJ143" s="62">
        <f t="shared" si="146"/>
        <v>263.2013060831145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99.08162381992453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99.08162381992453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68.317275063262286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2.8421709430404007E-13</v>
      </c>
      <c r="BZ143" s="14">
        <f>BY143*VLOOKUP('Données projet'!$B$12,Paramètres!$A$1:$I$89,3,0)*VLOOKUP('Données projet'!$B$12,Paramètres!$A$1:$I$89,5,0)</f>
        <v>2.7046098693972454E-13</v>
      </c>
      <c r="CA143" s="14">
        <f t="shared" si="147"/>
        <v>3.6187594451142911E-12</v>
      </c>
      <c r="CB143" s="22">
        <f t="shared" si="118"/>
        <v>6.7737255858274096E-12</v>
      </c>
      <c r="CC143" s="62">
        <f t="shared" si="119"/>
        <v>287.16334189863517</v>
      </c>
      <c r="CD143" s="62">
        <f ca="1">AVERAGE(OFFSET($CC$3,0,0,'Données projet'!$E$12+1,1))-AVERAGE(OFFSET($H$3,0,0,'Données projet'!$E$12+1,1))</f>
        <v>451.95887041951761</v>
      </c>
      <c r="CE143" s="62">
        <f t="shared" si="148"/>
        <v>311.32964503257341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119.87576903734441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119.87576903734441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68.317275063262286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68.317275063262286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68.317275063262286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68.317275063262286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68.317275063262286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68.317275063262286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3.9000000000000004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20.06035199999997</v>
      </c>
      <c r="D144" s="12">
        <f t="shared" si="140"/>
        <v>6.5207628677894718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44.84200853846275</v>
      </c>
      <c r="H144" s="70">
        <f t="shared" si="110"/>
        <v>245.76210839473327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68.346466578905307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-1.3596945791505279E-13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251.99201350544561</v>
      </c>
      <c r="T144" s="62">
        <f t="shared" si="142"/>
        <v>366.66533117979162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 t="e">
        <f>EXP(-LN(2)/35)*Z143+(1-EXP(-LN(2)/35))/(LN(2)/35)*V144*W144*VLOOKUP('Données projet'!$B$9,Paramètres!$A$1:$I$89,3,0)*0.475*44/12</f>
        <v>#VALUE!</v>
      </c>
      <c r="AA144" s="23" t="e">
        <f>EXP(-LN(2)/25)*AA143+(1-EXP(-LN(2)/25))/(LN(2)/25)*Calculateur!V144*Calculateur!X144*VLOOKUP('Données projet'!$B$9,Paramètres!$A$1:$I$89,3,0)*0.475*44/12</f>
        <v>#VALUE!</v>
      </c>
      <c r="AB144" s="23" t="e">
        <f>EXP(-LN(2)/2)*AB143+(1-EXP(-LN(2)/2))/(LN(2)/2)*V144*Y144*VLOOKUP('Données projet'!$B$9,Paramètres!$A$1:$I$89,3,0)*0.475*44/12</f>
        <v>#VALUE!</v>
      </c>
      <c r="AC144" s="24" t="e">
        <f t="shared" si="111"/>
        <v>#VALUE!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68.346466578905307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149.52545095126411</v>
      </c>
      <c r="AO144" s="62">
        <f t="shared" si="144"/>
        <v>457.9161829331029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5.4003592752935798</v>
      </c>
      <c r="AV144" s="23">
        <f>EXP(-LN(2)/25)*AV143+(1-EXP(-LN(2)/25))/(LN(2)/25)*Calculateur!AQ144*Calculateur!AS144*VLOOKUP('Données projet'!$B$10,Paramètres!$A$1:$I$89,3,0)*0.475*44/12</f>
        <v>0.89997039650690103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6.3003296718004806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68.346466578905307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-3.4106051316484809E-13</v>
      </c>
      <c r="BE144" s="14">
        <f>BD144*VLOOKUP('Données projet'!$B$11,Paramètres!$A$1:$I$89,3,0)*VLOOKUP('Données projet'!$B$11,Paramètres!$A$1:$I$89,5,0)</f>
        <v>-3.4583536034915599E-13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408.82357969905803</v>
      </c>
      <c r="BJ144" s="62">
        <f t="shared" si="146"/>
        <v>263.2013060831145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97.138693610638995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97.138693610638995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68.346466578905307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2.8421709430404007E-13</v>
      </c>
      <c r="BZ144" s="14">
        <f>BY144*VLOOKUP('Données projet'!$B$12,Paramètres!$A$1:$I$89,3,0)*VLOOKUP('Données projet'!$B$12,Paramètres!$A$1:$I$89,5,0)</f>
        <v>2.7046098693972454E-13</v>
      </c>
      <c r="CA144" s="14">
        <f t="shared" si="147"/>
        <v>3.6187594451142911E-12</v>
      </c>
      <c r="CB144" s="22">
        <f t="shared" si="118"/>
        <v>6.7737255858274096E-12</v>
      </c>
      <c r="CC144" s="62">
        <f t="shared" si="119"/>
        <v>287.2703774559929</v>
      </c>
      <c r="CD144" s="62">
        <f ca="1">AVERAGE(OFFSET($CC$3,0,0,'Données projet'!$E$12+1,1))-AVERAGE(OFFSET($H$3,0,0,'Données projet'!$E$12+1,1))</f>
        <v>451.95887041951761</v>
      </c>
      <c r="CE144" s="62">
        <f t="shared" si="148"/>
        <v>311.32964503257341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117.5250783235215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117.5250783235215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68.346466578905307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68.346466578905307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68.346466578905307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68.346466578905307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68.346466578905307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68.346466578905307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3.9000000000000004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20.202623999999968</v>
      </c>
      <c r="D145" s="12">
        <f t="shared" si="140"/>
        <v>6.5616094924042505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45.068176102899251</v>
      </c>
      <c r="H145" s="70">
        <f t="shared" si="110"/>
        <v>246.08103999927067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68.37515168701438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-1.3596945791505279E-13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251.99201350544561</v>
      </c>
      <c r="T145" s="62">
        <f t="shared" si="142"/>
        <v>366.66533117979162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 t="e">
        <f>EXP(-LN(2)/35)*Z144+(1-EXP(-LN(2)/35))/(LN(2)/35)*V145*W145*VLOOKUP('Données projet'!$B$9,Paramètres!$A$1:$I$89,3,0)*0.475*44/12</f>
        <v>#VALUE!</v>
      </c>
      <c r="AA145" s="23" t="e">
        <f>EXP(-LN(2)/25)*AA144+(1-EXP(-LN(2)/25))/(LN(2)/25)*Calculateur!V145*Calculateur!X145*VLOOKUP('Données projet'!$B$9,Paramètres!$A$1:$I$89,3,0)*0.475*44/12</f>
        <v>#VALUE!</v>
      </c>
      <c r="AB145" s="23" t="e">
        <f>EXP(-LN(2)/2)*AB144+(1-EXP(-LN(2)/2))/(LN(2)/2)*V145*Y145*VLOOKUP('Données projet'!$B$9,Paramètres!$A$1:$I$89,3,0)*0.475*44/12</f>
        <v>#VALUE!</v>
      </c>
      <c r="AC145" s="24" t="e">
        <f t="shared" si="111"/>
        <v>#VALUE!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68.37515168701438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149.52545095126411</v>
      </c>
      <c r="AO145" s="62">
        <f t="shared" si="144"/>
        <v>457.9161829331029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5.2944615237989856</v>
      </c>
      <c r="AV145" s="23">
        <f>EXP(-LN(2)/25)*AV144+(1-EXP(-LN(2)/25))/(LN(2)/25)*Calculateur!AQ145*Calculateur!AS145*VLOOKUP('Données projet'!$B$10,Paramètres!$A$1:$I$89,3,0)*0.475*44/12</f>
        <v>0.87536065868703361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6.1698221824860191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68.37515168701438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-3.4106051316484809E-13</v>
      </c>
      <c r="BE145" s="14">
        <f>BD145*VLOOKUP('Données projet'!$B$11,Paramètres!$A$1:$I$89,3,0)*VLOOKUP('Données projet'!$B$11,Paramètres!$A$1:$I$89,5,0)</f>
        <v>-3.4583536034915599E-13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408.82357969905803</v>
      </c>
      <c r="BJ145" s="62">
        <f t="shared" si="146"/>
        <v>263.2013060831145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95.233863077687133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95.233863077687133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68.37515168701438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2.8421709430404007E-13</v>
      </c>
      <c r="BZ145" s="14">
        <f>BY145*VLOOKUP('Données projet'!$B$12,Paramètres!$A$1:$I$89,3,0)*VLOOKUP('Données projet'!$B$12,Paramètres!$A$1:$I$89,5,0)</f>
        <v>2.7046098693972454E-13</v>
      </c>
      <c r="CA145" s="14">
        <f t="shared" si="147"/>
        <v>3.6187594451142911E-12</v>
      </c>
      <c r="CB145" s="22">
        <f t="shared" si="118"/>
        <v>6.7737255858274096E-12</v>
      </c>
      <c r="CC145" s="62">
        <f t="shared" si="119"/>
        <v>287.37555618572617</v>
      </c>
      <c r="CD145" s="62">
        <f ca="1">AVERAGE(OFFSET($CC$3,0,0,'Données projet'!$E$12+1,1))-AVERAGE(OFFSET($H$3,0,0,'Données projet'!$E$12+1,1))</f>
        <v>451.95887041951761</v>
      </c>
      <c r="CE145" s="62">
        <f t="shared" si="148"/>
        <v>311.32964503257341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115.22048322081689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115.22048322081689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68.37515168701438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68.37515168701438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68.37515168701438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68.37515168701438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68.37515168701438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68.37515168701438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3.9000000000000004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20.344895999999967</v>
      </c>
      <c r="D146" s="12">
        <f t="shared" si="140"/>
        <v>6.6024226477197594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45.294302329815245</v>
      </c>
      <c r="H146" s="70">
        <f t="shared" si="110"/>
        <v>246.3999133114452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68.403339172628066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-1.3596945791505279E-13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251.99201350544561</v>
      </c>
      <c r="T146" s="62">
        <f t="shared" si="142"/>
        <v>366.66533117979162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 t="e">
        <f>EXP(-LN(2)/35)*Z145+(1-EXP(-LN(2)/35))/(LN(2)/35)*V146*W146*VLOOKUP('Données projet'!$B$9,Paramètres!$A$1:$I$89,3,0)*0.475*44/12</f>
        <v>#VALUE!</v>
      </c>
      <c r="AA146" s="23" t="e">
        <f>EXP(-LN(2)/25)*AA145+(1-EXP(-LN(2)/25))/(LN(2)/25)*Calculateur!V146*Calculateur!X146*VLOOKUP('Données projet'!$B$9,Paramètres!$A$1:$I$89,3,0)*0.475*44/12</f>
        <v>#VALUE!</v>
      </c>
      <c r="AB146" s="23" t="e">
        <f>EXP(-LN(2)/2)*AB145+(1-EXP(-LN(2)/2))/(LN(2)/2)*V146*Y146*VLOOKUP('Données projet'!$B$9,Paramètres!$A$1:$I$89,3,0)*0.475*44/12</f>
        <v>#VALUE!</v>
      </c>
      <c r="AC146" s="24" t="e">
        <f t="shared" si="111"/>
        <v>#VALUE!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68.403339172628066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149.52545095126411</v>
      </c>
      <c r="AO146" s="62">
        <f t="shared" si="144"/>
        <v>457.9161829331029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5.1906403626199502</v>
      </c>
      <c r="AV146" s="23">
        <f>EXP(-LN(2)/25)*AV145+(1-EXP(-LN(2)/25))/(LN(2)/25)*Calculateur!AQ146*Calculateur!AS146*VLOOKUP('Données projet'!$B$10,Paramètres!$A$1:$I$89,3,0)*0.475*44/12</f>
        <v>0.85142387544202025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6.04206423806197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68.403339172628066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-3.4106051316484809E-13</v>
      </c>
      <c r="BE146" s="14">
        <f>BD146*VLOOKUP('Données projet'!$B$11,Paramètres!$A$1:$I$89,3,0)*VLOOKUP('Données projet'!$B$11,Paramètres!$A$1:$I$89,5,0)</f>
        <v>-3.4583536034915599E-13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408.82357969905803</v>
      </c>
      <c r="BJ146" s="62">
        <f t="shared" si="146"/>
        <v>263.2013060831145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93.366385109654559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93.366385109654559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68.403339172628066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2.8421709430404007E-13</v>
      </c>
      <c r="BZ146" s="14">
        <f>BY146*VLOOKUP('Données projet'!$B$12,Paramètres!$A$1:$I$89,3,0)*VLOOKUP('Données projet'!$B$12,Paramètres!$A$1:$I$89,5,0)</f>
        <v>2.7046098693972454E-13</v>
      </c>
      <c r="CA146" s="14">
        <f t="shared" si="147"/>
        <v>3.6187594451142911E-12</v>
      </c>
      <c r="CB146" s="22">
        <f t="shared" si="118"/>
        <v>6.7737255858274096E-12</v>
      </c>
      <c r="CC146" s="62">
        <f t="shared" si="119"/>
        <v>287.47891029964302</v>
      </c>
      <c r="CD146" s="62">
        <f ca="1">AVERAGE(OFFSET($CC$3,0,0,'Données projet'!$E$12+1,1))-AVERAGE(OFFSET($H$3,0,0,'Données projet'!$E$12+1,1))</f>
        <v>451.95887041951761</v>
      </c>
      <c r="CE146" s="62">
        <f t="shared" si="148"/>
        <v>311.32964503257341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112.9610798224121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112.9610798224121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68.403339172628066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68.403339172628066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68.403339172628066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68.403339172628066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68.403339172628066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68.403339172628066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3.9000000000000004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20.487167999999965</v>
      </c>
      <c r="D147" s="12">
        <f t="shared" si="140"/>
        <v>6.6432025949285434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45.52038754180645</v>
      </c>
      <c r="H147" s="70">
        <f t="shared" si="110"/>
        <v>246.71872878616716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68.431037668384121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-1.3596945791505279E-13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251.99201350544561</v>
      </c>
      <c r="T147" s="62">
        <f t="shared" si="142"/>
        <v>366.66533117979162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 t="e">
        <f>EXP(-LN(2)/35)*Z146+(1-EXP(-LN(2)/35))/(LN(2)/35)*V147*W147*VLOOKUP('Données projet'!$B$9,Paramètres!$A$1:$I$89,3,0)*0.475*44/12</f>
        <v>#VALUE!</v>
      </c>
      <c r="AA147" s="23" t="e">
        <f>EXP(-LN(2)/25)*AA146+(1-EXP(-LN(2)/25))/(LN(2)/25)*Calculateur!V147*Calculateur!X147*VLOOKUP('Données projet'!$B$9,Paramètres!$A$1:$I$89,3,0)*0.475*44/12</f>
        <v>#VALUE!</v>
      </c>
      <c r="AB147" s="23" t="e">
        <f>EXP(-LN(2)/2)*AB146+(1-EXP(-LN(2)/2))/(LN(2)/2)*V147*Y147*VLOOKUP('Données projet'!$B$9,Paramètres!$A$1:$I$89,3,0)*0.475*44/12</f>
        <v>#VALUE!</v>
      </c>
      <c r="AC147" s="24" t="e">
        <f t="shared" si="111"/>
        <v>#VALUE!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68.431037668384121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149.52545095126411</v>
      </c>
      <c r="AO147" s="62">
        <f t="shared" si="144"/>
        <v>457.9161829331029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5.0888550710869795</v>
      </c>
      <c r="AV147" s="23">
        <f>EXP(-LN(2)/25)*AV146+(1-EXP(-LN(2)/25))/(LN(2)/25)*Calculateur!AQ147*Calculateur!AS147*VLOOKUP('Données projet'!$B$10,Paramètres!$A$1:$I$89,3,0)*0.475*44/12</f>
        <v>0.82814164479362251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5.9169967158806021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68.431037668384121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-3.4106051316484809E-13</v>
      </c>
      <c r="BE147" s="14">
        <f>BD147*VLOOKUP('Données projet'!$B$11,Paramètres!$A$1:$I$89,3,0)*VLOOKUP('Données projet'!$B$11,Paramètres!$A$1:$I$89,5,0)</f>
        <v>-3.4583536034915599E-13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408.82357969905803</v>
      </c>
      <c r="BJ147" s="62">
        <f t="shared" si="146"/>
        <v>263.2013060831145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91.535527245526012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91.535527245526012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68.431037668384121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2.8421709430404007E-13</v>
      </c>
      <c r="BZ147" s="14">
        <f>BY147*VLOOKUP('Données projet'!$B$12,Paramètres!$A$1:$I$89,3,0)*VLOOKUP('Données projet'!$B$12,Paramètres!$A$1:$I$89,5,0)</f>
        <v>2.7046098693972454E-13</v>
      </c>
      <c r="CA147" s="14">
        <f t="shared" si="147"/>
        <v>3.6187594451142911E-12</v>
      </c>
      <c r="CB147" s="22">
        <f t="shared" si="118"/>
        <v>6.7737255858274096E-12</v>
      </c>
      <c r="CC147" s="62">
        <f t="shared" si="119"/>
        <v>287.58047145074852</v>
      </c>
      <c r="CD147" s="62">
        <f ca="1">AVERAGE(OFFSET($CC$3,0,0,'Données projet'!$E$12+1,1))-AVERAGE(OFFSET($H$3,0,0,'Données projet'!$E$12+1,1))</f>
        <v>451.95887041951761</v>
      </c>
      <c r="CE147" s="62">
        <f t="shared" si="148"/>
        <v>311.32964503257341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110.74598194655003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110.74598194655003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68.431037668384121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68.431037668384121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68.431037668384121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68.431037668384121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68.431037668384121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68.431037668384121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3.9000000000000004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20.629439999999963</v>
      </c>
      <c r="D148" s="12">
        <f t="shared" si="140"/>
        <v>6.6839495913857938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45.746432056729077</v>
      </c>
      <c r="H148" s="70">
        <f t="shared" si="110"/>
        <v>247.03748687166353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68.458255657163363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-1.3596945791505279E-13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251.99201350544561</v>
      </c>
      <c r="T148" s="62">
        <f t="shared" si="142"/>
        <v>366.66533117979162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 t="e">
        <f>EXP(-LN(2)/35)*Z147+(1-EXP(-LN(2)/35))/(LN(2)/35)*V148*W148*VLOOKUP('Données projet'!$B$9,Paramètres!$A$1:$I$89,3,0)*0.475*44/12</f>
        <v>#VALUE!</v>
      </c>
      <c r="AA148" s="23" t="e">
        <f>EXP(-LN(2)/25)*AA147+(1-EXP(-LN(2)/25))/(LN(2)/25)*Calculateur!V148*Calculateur!X148*VLOOKUP('Données projet'!$B$9,Paramètres!$A$1:$I$89,3,0)*0.475*44/12</f>
        <v>#VALUE!</v>
      </c>
      <c r="AB148" s="23" t="e">
        <f>EXP(-LN(2)/2)*AB147+(1-EXP(-LN(2)/2))/(LN(2)/2)*V148*Y148*VLOOKUP('Données projet'!$B$9,Paramètres!$A$1:$I$89,3,0)*0.475*44/12</f>
        <v>#VALUE!</v>
      </c>
      <c r="AC148" s="24" t="e">
        <f t="shared" si="111"/>
        <v>#VALUE!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68.458255657163363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149.52545095126411</v>
      </c>
      <c r="AO148" s="62">
        <f t="shared" si="144"/>
        <v>457.9161829331029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4.9890657270380734</v>
      </c>
      <c r="AV148" s="23">
        <f>EXP(-LN(2)/25)*AV147+(1-EXP(-LN(2)/25))/(LN(2)/25)*Calculateur!AQ148*Calculateur!AS148*VLOOKUP('Données projet'!$B$10,Paramètres!$A$1:$I$89,3,0)*0.475*44/12</f>
        <v>0.80549606796666451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5.7945617950047374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68.458255657163363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-3.4106051316484809E-13</v>
      </c>
      <c r="BE148" s="14">
        <f>BD148*VLOOKUP('Données projet'!$B$11,Paramètres!$A$1:$I$89,3,0)*VLOOKUP('Données projet'!$B$11,Paramètres!$A$1:$I$89,5,0)</f>
        <v>-3.4583536034915599E-13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408.82357969905803</v>
      </c>
      <c r="BJ148" s="62">
        <f t="shared" si="146"/>
        <v>263.2013060831145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89.740571387399996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89.740571387399996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68.458255657163363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2.8421709430404007E-13</v>
      </c>
      <c r="BZ148" s="14">
        <f>BY148*VLOOKUP('Données projet'!$B$12,Paramètres!$A$1:$I$89,3,0)*VLOOKUP('Données projet'!$B$12,Paramètres!$A$1:$I$89,5,0)</f>
        <v>2.7046098693972454E-13</v>
      </c>
      <c r="CA148" s="14">
        <f t="shared" si="147"/>
        <v>3.6187594451142911E-12</v>
      </c>
      <c r="CB148" s="22">
        <f t="shared" si="118"/>
        <v>6.7737255858274096E-12</v>
      </c>
      <c r="CC148" s="62">
        <f t="shared" si="119"/>
        <v>287.68027074293911</v>
      </c>
      <c r="CD148" s="62">
        <f ca="1">AVERAGE(OFFSET($CC$3,0,0,'Données projet'!$E$12+1,1))-AVERAGE(OFFSET($H$3,0,0,'Données projet'!$E$12+1,1))</f>
        <v>451.95887041951761</v>
      </c>
      <c r="CE148" s="62">
        <f t="shared" si="148"/>
        <v>311.32964503257341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108.57432078895732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108.57432078895732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68.458255657163363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68.458255657163363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68.458255657163363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68.458255657163363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68.458255657163363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68.458255657163363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3.9000000000000004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20.771711999999962</v>
      </c>
      <c r="D149" s="12">
        <f t="shared" si="140"/>
        <v>6.7246638906918088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45.972436187801769</v>
      </c>
      <c r="H149" s="70">
        <f t="shared" si="110"/>
        <v>247.35618800962149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68.485001474687621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-1.3596945791505279E-13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251.99201350544561</v>
      </c>
      <c r="T149" s="62">
        <f t="shared" si="142"/>
        <v>366.66533117979162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 t="e">
        <f>EXP(-LN(2)/35)*Z148+(1-EXP(-LN(2)/35))/(LN(2)/35)*V149*W149*VLOOKUP('Données projet'!$B$9,Paramètres!$A$1:$I$89,3,0)*0.475*44/12</f>
        <v>#VALUE!</v>
      </c>
      <c r="AA149" s="23" t="e">
        <f>EXP(-LN(2)/25)*AA148+(1-EXP(-LN(2)/25))/(LN(2)/25)*Calculateur!V149*Calculateur!X149*VLOOKUP('Données projet'!$B$9,Paramètres!$A$1:$I$89,3,0)*0.475*44/12</f>
        <v>#VALUE!</v>
      </c>
      <c r="AB149" s="23" t="e">
        <f>EXP(-LN(2)/2)*AB148+(1-EXP(-LN(2)/2))/(LN(2)/2)*V149*Y149*VLOOKUP('Données projet'!$B$9,Paramètres!$A$1:$I$89,3,0)*0.475*44/12</f>
        <v>#VALUE!</v>
      </c>
      <c r="AC149" s="24" t="e">
        <f t="shared" si="111"/>
        <v>#VALUE!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68.485001474687621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149.52545095126411</v>
      </c>
      <c r="AO149" s="62">
        <f t="shared" si="144"/>
        <v>457.9161829331029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4.8912331911604756</v>
      </c>
      <c r="AV149" s="23">
        <f>EXP(-LN(2)/25)*AV148+(1-EXP(-LN(2)/25))/(LN(2)/25)*Calculateur!AQ149*Calculateur!AS149*VLOOKUP('Données projet'!$B$10,Paramètres!$A$1:$I$89,3,0)*0.475*44/12</f>
        <v>0.78346973562891886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5.6747029267893945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68.485001474687621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-3.4106051316484809E-13</v>
      </c>
      <c r="BE149" s="14">
        <f>BD149*VLOOKUP('Données projet'!$B$11,Paramètres!$A$1:$I$89,3,0)*VLOOKUP('Données projet'!$B$11,Paramètres!$A$1:$I$89,5,0)</f>
        <v>-3.4583536034915599E-13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408.82357969905803</v>
      </c>
      <c r="BJ149" s="62">
        <f t="shared" si="146"/>
        <v>263.2013060831145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87.980813518836868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87.980813518836868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68.485001474687621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2.8421709430404007E-13</v>
      </c>
      <c r="BZ149" s="14">
        <f>BY149*VLOOKUP('Données projet'!$B$12,Paramètres!$A$1:$I$89,3,0)*VLOOKUP('Données projet'!$B$12,Paramètres!$A$1:$I$89,5,0)</f>
        <v>2.7046098693972454E-13</v>
      </c>
      <c r="CA149" s="14">
        <f t="shared" si="147"/>
        <v>3.6187594451142911E-12</v>
      </c>
      <c r="CB149" s="22">
        <f t="shared" si="118"/>
        <v>6.7737255858274096E-12</v>
      </c>
      <c r="CC149" s="62">
        <f t="shared" si="119"/>
        <v>287.77833874052806</v>
      </c>
      <c r="CD149" s="62">
        <f ca="1">AVERAGE(OFFSET($CC$3,0,0,'Données projet'!$E$12+1,1))-AVERAGE(OFFSET($H$3,0,0,'Données projet'!$E$12+1,1))</f>
        <v>451.95887041951761</v>
      </c>
      <c r="CE149" s="62">
        <f t="shared" si="148"/>
        <v>311.32964503257341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106.44524458208249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106.44524458208249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68.485001474687621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68.485001474687621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68.485001474687621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68.485001474687621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68.485001474687621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68.485001474687621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3.9000000000000004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20.91398399999996</v>
      </c>
      <c r="D150" s="12">
        <f t="shared" si="140"/>
        <v>6.7653457427720962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46.198400243704441</v>
      </c>
      <c r="H150" s="70">
        <f t="shared" si="110"/>
        <v>247.67483263532799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68.511283312072479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-1.3596945791505279E-13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251.99201350544561</v>
      </c>
      <c r="T150" s="62">
        <f t="shared" si="142"/>
        <v>366.66533117979162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 t="e">
        <f>EXP(-LN(2)/35)*Z149+(1-EXP(-LN(2)/35))/(LN(2)/35)*V150*W150*VLOOKUP('Données projet'!$B$9,Paramètres!$A$1:$I$89,3,0)*0.475*44/12</f>
        <v>#VALUE!</v>
      </c>
      <c r="AA150" s="23" t="e">
        <f>EXP(-LN(2)/25)*AA149+(1-EXP(-LN(2)/25))/(LN(2)/25)*Calculateur!V150*Calculateur!X150*VLOOKUP('Données projet'!$B$9,Paramètres!$A$1:$I$89,3,0)*0.475*44/12</f>
        <v>#VALUE!</v>
      </c>
      <c r="AB150" s="23" t="e">
        <f>EXP(-LN(2)/2)*AB149+(1-EXP(-LN(2)/2))/(LN(2)/2)*V150*Y150*VLOOKUP('Données projet'!$B$9,Paramètres!$A$1:$I$89,3,0)*0.475*44/12</f>
        <v>#VALUE!</v>
      </c>
      <c r="AC150" s="24" t="e">
        <f t="shared" si="111"/>
        <v>#VALUE!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68.511283312072479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149.52545095126411</v>
      </c>
      <c r="AO150" s="62">
        <f t="shared" si="144"/>
        <v>457.9161829331029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4.7953190916394828</v>
      </c>
      <c r="AV150" s="23">
        <f>EXP(-LN(2)/25)*AV149+(1-EXP(-LN(2)/25))/(LN(2)/25)*Calculateur!AQ150*Calculateur!AS150*VLOOKUP('Données projet'!$B$10,Paramètres!$A$1:$I$89,3,0)*0.475*44/12</f>
        <v>0.76204571450726333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5.5573648061467464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68.511283312072479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-3.4106051316484809E-13</v>
      </c>
      <c r="BE150" s="14">
        <f>BD150*VLOOKUP('Données projet'!$B$11,Paramètres!$A$1:$I$89,3,0)*VLOOKUP('Données projet'!$B$11,Paramètres!$A$1:$I$89,5,0)</f>
        <v>-3.4583536034915599E-13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408.82357969905803</v>
      </c>
      <c r="BJ150" s="62">
        <f t="shared" si="146"/>
        <v>263.2013060831145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86.255563428729943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86.255563428729943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68.511283312072479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2.8421709430404007E-13</v>
      </c>
      <c r="BZ150" s="14">
        <f>BY150*VLOOKUP('Données projet'!$B$12,Paramètres!$A$1:$I$89,3,0)*VLOOKUP('Données projet'!$B$12,Paramètres!$A$1:$I$89,5,0)</f>
        <v>2.7046098693972454E-13</v>
      </c>
      <c r="CA150" s="14">
        <f t="shared" si="147"/>
        <v>3.6187594451142911E-12</v>
      </c>
      <c r="CB150" s="22">
        <f t="shared" si="118"/>
        <v>6.7737255858274096E-12</v>
      </c>
      <c r="CC150" s="62">
        <f t="shared" si="119"/>
        <v>287.87470547760586</v>
      </c>
      <c r="CD150" s="62">
        <f ca="1">AVERAGE(OFFSET($CC$3,0,0,'Données projet'!$E$12+1,1))-AVERAGE(OFFSET($H$3,0,0,'Données projet'!$E$12+1,1))</f>
        <v>451.95887041951761</v>
      </c>
      <c r="CE150" s="62">
        <f t="shared" si="148"/>
        <v>311.32964503257341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104.35791826101622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104.35791826101622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68.511283312072479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68.511283312072479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68.511283312072479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68.511283312072479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68.511283312072479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68.511283312072479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3.9000000000000004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21.056255999999959</v>
      </c>
      <c r="D151" s="12">
        <f t="shared" si="140"/>
        <v>6.8059953939552633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46.424324528674525</v>
      </c>
      <c r="H151" s="70">
        <f t="shared" si="110"/>
        <v>247.99342117780535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68.537109218336127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-1.3596945791505279E-13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251.99201350544561</v>
      </c>
      <c r="T151" s="62">
        <f t="shared" si="142"/>
        <v>366.66533117979162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 t="e">
        <f>EXP(-LN(2)/35)*Z150+(1-EXP(-LN(2)/35))/(LN(2)/35)*V151*W151*VLOOKUP('Données projet'!$B$9,Paramètres!$A$1:$I$89,3,0)*0.475*44/12</f>
        <v>#VALUE!</v>
      </c>
      <c r="AA151" s="23" t="e">
        <f>EXP(-LN(2)/25)*AA150+(1-EXP(-LN(2)/25))/(LN(2)/25)*Calculateur!V151*Calculateur!X151*VLOOKUP('Données projet'!$B$9,Paramètres!$A$1:$I$89,3,0)*0.475*44/12</f>
        <v>#VALUE!</v>
      </c>
      <c r="AB151" s="23" t="e">
        <f>EXP(-LN(2)/2)*AB150+(1-EXP(-LN(2)/2))/(LN(2)/2)*V151*Y151*VLOOKUP('Données projet'!$B$9,Paramètres!$A$1:$I$89,3,0)*0.475*44/12</f>
        <v>#VALUE!</v>
      </c>
      <c r="AC151" s="24" t="e">
        <f t="shared" si="111"/>
        <v>#VALUE!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68.537109218336127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149.52545095126411</v>
      </c>
      <c r="AO151" s="62">
        <f t="shared" si="144"/>
        <v>457.9161829331029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4.7012858091082732</v>
      </c>
      <c r="AV151" s="23">
        <f>EXP(-LN(2)/25)*AV150+(1-EXP(-LN(2)/25))/(LN(2)/25)*Calculateur!AQ151*Calculateur!AS151*VLOOKUP('Données projet'!$B$10,Paramètres!$A$1:$I$89,3,0)*0.475*44/12</f>
        <v>0.74120753436981979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5.4424933434780929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68.537109218336127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-3.4106051316484809E-13</v>
      </c>
      <c r="BE151" s="14">
        <f>BD151*VLOOKUP('Données projet'!$B$11,Paramètres!$A$1:$I$89,3,0)*VLOOKUP('Données projet'!$B$11,Paramètres!$A$1:$I$89,5,0)</f>
        <v>-3.4583536034915599E-13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408.82357969905803</v>
      </c>
      <c r="BJ151" s="62">
        <f t="shared" si="146"/>
        <v>263.2013060831145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84.564144440591363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84.564144440591363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68.537109218336127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2.8421709430404007E-13</v>
      </c>
      <c r="BZ151" s="14">
        <f>BY151*VLOOKUP('Données projet'!$B$12,Paramètres!$A$1:$I$89,3,0)*VLOOKUP('Données projet'!$B$12,Paramètres!$A$1:$I$89,5,0)</f>
        <v>2.7046098693972454E-13</v>
      </c>
      <c r="CA151" s="14">
        <f t="shared" si="147"/>
        <v>3.6187594451142911E-12</v>
      </c>
      <c r="CB151" s="22">
        <f t="shared" si="118"/>
        <v>6.7737255858274096E-12</v>
      </c>
      <c r="CC151" s="62">
        <f t="shared" si="119"/>
        <v>287.96940046723921</v>
      </c>
      <c r="CD151" s="62">
        <f ca="1">AVERAGE(OFFSET($CC$3,0,0,'Données projet'!$E$12+1,1))-AVERAGE(OFFSET($H$3,0,0,'Données projet'!$E$12+1,1))</f>
        <v>451.95887041951761</v>
      </c>
      <c r="CE151" s="62">
        <f t="shared" si="148"/>
        <v>311.32964503257341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102.31152313596272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102.31152313596272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68.537109218336127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68.537109218336127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68.537109218336127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68.537109218336127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68.537109218336127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68.537109218336127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3.9000000000000004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21.198527999999957</v>
      </c>
      <c r="D152" s="12">
        <f t="shared" si="140"/>
        <v>6.846613087048719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46.650209342600469</v>
      </c>
      <c r="H152" s="70">
        <f t="shared" si="110"/>
        <v>248.3119540599431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68.562487102864168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-1.3596945791505279E-13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251.99201350544561</v>
      </c>
      <c r="T152" s="62">
        <f t="shared" si="142"/>
        <v>366.66533117979162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 t="e">
        <f>EXP(-LN(2)/35)*Z151+(1-EXP(-LN(2)/35))/(LN(2)/35)*V152*W152*VLOOKUP('Données projet'!$B$9,Paramètres!$A$1:$I$89,3,0)*0.475*44/12</f>
        <v>#VALUE!</v>
      </c>
      <c r="AA152" s="23" t="e">
        <f>EXP(-LN(2)/25)*AA151+(1-EXP(-LN(2)/25))/(LN(2)/25)*Calculateur!V152*Calculateur!X152*VLOOKUP('Données projet'!$B$9,Paramètres!$A$1:$I$89,3,0)*0.475*44/12</f>
        <v>#VALUE!</v>
      </c>
      <c r="AB152" s="23" t="e">
        <f>EXP(-LN(2)/2)*AB151+(1-EXP(-LN(2)/2))/(LN(2)/2)*V152*Y152*VLOOKUP('Données projet'!$B$9,Paramètres!$A$1:$I$89,3,0)*0.475*44/12</f>
        <v>#VALUE!</v>
      </c>
      <c r="AC152" s="24" t="e">
        <f t="shared" si="111"/>
        <v>#VALUE!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68.562487102864168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149.52545095126411</v>
      </c>
      <c r="AO152" s="62">
        <f t="shared" si="144"/>
        <v>457.9161829331029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4.6090964618928609</v>
      </c>
      <c r="AV152" s="23">
        <f>EXP(-LN(2)/25)*AV151+(1-EXP(-LN(2)/25))/(LN(2)/25)*Calculateur!AQ152*Calculateur!AS152*VLOOKUP('Données projet'!$B$10,Paramètres!$A$1:$I$89,3,0)*0.475*44/12</f>
        <v>0.72093917536406693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5.3300356372569277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68.562487102864168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-3.4106051316484809E-13</v>
      </c>
      <c r="BE152" s="14">
        <f>BD152*VLOOKUP('Données projet'!$B$11,Paramètres!$A$1:$I$89,3,0)*VLOOKUP('Données projet'!$B$11,Paramètres!$A$1:$I$89,5,0)</f>
        <v>-3.4583536034915599E-13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408.82357969905803</v>
      </c>
      <c r="BJ152" s="62">
        <f t="shared" si="146"/>
        <v>263.2013060831145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82.905893147146472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82.905893147146472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68.562487102864168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2.8421709430404007E-13</v>
      </c>
      <c r="BZ152" s="14">
        <f>BY152*VLOOKUP('Données projet'!$B$12,Paramètres!$A$1:$I$89,3,0)*VLOOKUP('Données projet'!$B$12,Paramètres!$A$1:$I$89,5,0)</f>
        <v>2.7046098693972454E-13</v>
      </c>
      <c r="CA152" s="14">
        <f t="shared" si="147"/>
        <v>3.6187594451142911E-12</v>
      </c>
      <c r="CB152" s="22">
        <f t="shared" si="118"/>
        <v>6.7737255858274096E-12</v>
      </c>
      <c r="CC152" s="62">
        <f t="shared" si="119"/>
        <v>288.06245271050869</v>
      </c>
      <c r="CD152" s="62">
        <f ca="1">AVERAGE(OFFSET($CC$3,0,0,'Données projet'!$E$12+1,1))-AVERAGE(OFFSET($H$3,0,0,'Données projet'!$E$12+1,1))</f>
        <v>451.95887041951761</v>
      </c>
      <c r="CE152" s="62">
        <f t="shared" si="148"/>
        <v>311.32964503257341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100.30525657113373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100.30525657113373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68.562487102864168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68.562487102864168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68.562487102864168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68.562487102864168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68.562487102864168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68.562487102864168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3.9000000000000004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21.340799999999955</v>
      </c>
      <c r="D153" s="12">
        <f t="shared" si="140"/>
        <v>6.8871990614123106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46.876054981112702</v>
      </c>
      <c r="H153" s="70">
        <f t="shared" si="110"/>
        <v>248.63043169862635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68.587424737832109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-1.3596945791505279E-13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251.99201350544561</v>
      </c>
      <c r="T153" s="62">
        <f t="shared" si="142"/>
        <v>366.66533117979162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 t="e">
        <f>EXP(-LN(2)/35)*Z152+(1-EXP(-LN(2)/35))/(LN(2)/35)*V153*W153*VLOOKUP('Données projet'!$B$9,Paramètres!$A$1:$I$89,3,0)*0.475*44/12</f>
        <v>#VALUE!</v>
      </c>
      <c r="AA153" s="23" t="e">
        <f>EXP(-LN(2)/25)*AA152+(1-EXP(-LN(2)/25))/(LN(2)/25)*Calculateur!V153*Calculateur!X153*VLOOKUP('Données projet'!$B$9,Paramètres!$A$1:$I$89,3,0)*0.475*44/12</f>
        <v>#VALUE!</v>
      </c>
      <c r="AB153" s="23" t="e">
        <f>EXP(-LN(2)/2)*AB152+(1-EXP(-LN(2)/2))/(LN(2)/2)*V153*Y153*VLOOKUP('Données projet'!$B$9,Paramètres!$A$1:$I$89,3,0)*0.475*44/12</f>
        <v>#VALUE!</v>
      </c>
      <c r="AC153" s="24" t="e">
        <f t="shared" si="111"/>
        <v>#VALUE!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68.587424737832109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149.52545095126411</v>
      </c>
      <c r="AO153" s="62">
        <f t="shared" si="144"/>
        <v>457.9161829331029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4.5187148915463933</v>
      </c>
      <c r="AV153" s="23">
        <f>EXP(-LN(2)/25)*AV152+(1-EXP(-LN(2)/25))/(LN(2)/25)*Calculateur!AQ153*Calculateur!AS153*VLOOKUP('Données projet'!$B$10,Paramètres!$A$1:$I$89,3,0)*0.475*44/12</f>
        <v>0.70122505570119298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5.2199399472475863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68.587424737832109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-3.4106051316484809E-13</v>
      </c>
      <c r="BE153" s="14">
        <f>BD153*VLOOKUP('Données projet'!$B$11,Paramètres!$A$1:$I$89,3,0)*VLOOKUP('Données projet'!$B$11,Paramètres!$A$1:$I$89,5,0)</f>
        <v>-3.4583536034915599E-13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408.82357969905803</v>
      </c>
      <c r="BJ153" s="62">
        <f t="shared" si="146"/>
        <v>263.2013060831145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81.280159150132619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81.280159150132619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68.587424737832109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2.8421709430404007E-13</v>
      </c>
      <c r="BZ153" s="14">
        <f>BY153*VLOOKUP('Données projet'!$B$12,Paramètres!$A$1:$I$89,3,0)*VLOOKUP('Données projet'!$B$12,Paramètres!$A$1:$I$89,5,0)</f>
        <v>2.7046098693972454E-13</v>
      </c>
      <c r="CA153" s="14">
        <f t="shared" si="147"/>
        <v>3.6187594451142911E-12</v>
      </c>
      <c r="CB153" s="22">
        <f t="shared" si="118"/>
        <v>6.7737255858274096E-12</v>
      </c>
      <c r="CC153" s="62">
        <f t="shared" si="119"/>
        <v>288.15389070539118</v>
      </c>
      <c r="CD153" s="62">
        <f ca="1">AVERAGE(OFFSET($CC$3,0,0,'Données projet'!$E$12+1,1))-AVERAGE(OFFSET($H$3,0,0,'Données projet'!$E$12+1,1))</f>
        <v>451.95887041951761</v>
      </c>
      <c r="CE153" s="62">
        <f t="shared" si="148"/>
        <v>311.32964503257341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98.338331669939265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98.338331669939265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68.587424737832109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68.587424737832109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68.587424737832109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68.587424737832109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68.587424737832109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68.587424737832109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3.9000000000000004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21.483071999999954</v>
      </c>
      <c r="D154" s="12">
        <f t="shared" si="140"/>
        <v>6.927753553029893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47.101861735671953</v>
      </c>
      <c r="H154" s="70">
        <f t="shared" si="110"/>
        <v>248.94885450486032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68.611929760585539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-1.3596945791505279E-13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251.99201350544561</v>
      </c>
      <c r="T154" s="62">
        <f t="shared" si="142"/>
        <v>366.66533117979162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 t="e">
        <f>EXP(-LN(2)/35)*Z153+(1-EXP(-LN(2)/35))/(LN(2)/35)*V154*W154*VLOOKUP('Données projet'!$B$9,Paramètres!$A$1:$I$89,3,0)*0.475*44/12</f>
        <v>#VALUE!</v>
      </c>
      <c r="AA154" s="23" t="e">
        <f>EXP(-LN(2)/25)*AA153+(1-EXP(-LN(2)/25))/(LN(2)/25)*Calculateur!V154*Calculateur!X154*VLOOKUP('Données projet'!$B$9,Paramètres!$A$1:$I$89,3,0)*0.475*44/12</f>
        <v>#VALUE!</v>
      </c>
      <c r="AB154" s="23" t="e">
        <f>EXP(-LN(2)/2)*AB153+(1-EXP(-LN(2)/2))/(LN(2)/2)*V154*Y154*VLOOKUP('Données projet'!$B$9,Paramètres!$A$1:$I$89,3,0)*0.475*44/12</f>
        <v>#VALUE!</v>
      </c>
      <c r="AC154" s="24" t="e">
        <f t="shared" ref="AC154:AC203" si="163">SUM(Z154:AB154)</f>
        <v>#VALUE!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68.611929760585539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149.52545095126411</v>
      </c>
      <c r="AO154" s="62">
        <f t="shared" si="144"/>
        <v>457.9161829331029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4.430105648667106</v>
      </c>
      <c r="AV154" s="23">
        <f>EXP(-LN(2)/25)*AV153+(1-EXP(-LN(2)/25))/(LN(2)/25)*Calculateur!AQ154*Calculateur!AS154*VLOOKUP('Données projet'!$B$10,Paramètres!$A$1:$I$89,3,0)*0.475*44/12</f>
        <v>0.6820500196772209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5.112155668344327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68.611929760585539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-3.4106051316484809E-13</v>
      </c>
      <c r="BE154" s="14">
        <f>BD154*VLOOKUP('Données projet'!$B$11,Paramètres!$A$1:$I$89,3,0)*VLOOKUP('Données projet'!$B$11,Paramètres!$A$1:$I$89,5,0)</f>
        <v>-3.4583536034915599E-13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408.82357969905803</v>
      </c>
      <c r="BJ154" s="62">
        <f t="shared" si="146"/>
        <v>263.2013060831145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79.686304805200379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79.686304805200379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68.611929760585539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2.8421709430404007E-13</v>
      </c>
      <c r="BZ154" s="14">
        <f>BY154*VLOOKUP('Données projet'!$B$12,Paramètres!$A$1:$I$89,3,0)*VLOOKUP('Données projet'!$B$12,Paramètres!$A$1:$I$89,5,0)</f>
        <v>2.7046098693972454E-13</v>
      </c>
      <c r="CA154" s="14">
        <f t="shared" ref="CA154:CA203" si="170">EXP(-1.0587+0.8836*LN(BZ154)+0.284)</f>
        <v>3.6187594451142911E-12</v>
      </c>
      <c r="CB154" s="22">
        <f t="shared" ref="CB154:CB203" si="171">(BZ154+CA154)*0.475*44/12</f>
        <v>6.7737255858274096E-12</v>
      </c>
      <c r="CC154" s="62">
        <f t="shared" si="119"/>
        <v>288.24374245548711</v>
      </c>
      <c r="CD154" s="62">
        <f ca="1">AVERAGE(OFFSET($CC$3,0,0,'Données projet'!$E$12+1,1))-AVERAGE(OFFSET($H$3,0,0,'Données projet'!$E$12+1,1))</f>
        <v>451.95887041951761</v>
      </c>
      <c r="CE154" s="62">
        <f t="shared" si="148"/>
        <v>311.32964503257341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96.409976966351493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96.409976966351493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68.611929760585539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68.611929760585539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68.611929760585539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68.611929760585539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68.611929760585539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68.611929760585539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3.9000000000000004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21.625343999999952</v>
      </c>
      <c r="D155" s="12">
        <f t="shared" si="140"/>
        <v>6.9682767945790252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47.327629893655448</v>
      </c>
      <c r="H155" s="70">
        <f t="shared" si="110"/>
        <v>249.26722288389172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68.636009675979224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-1.3596945791505279E-13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251.99201350544561</v>
      </c>
      <c r="T155" s="62">
        <f t="shared" si="142"/>
        <v>366.66533117979162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 t="e">
        <f>EXP(-LN(2)/35)*Z154+(1-EXP(-LN(2)/35))/(LN(2)/35)*V155*W155*VLOOKUP('Données projet'!$B$9,Paramètres!$A$1:$I$89,3,0)*0.475*44/12</f>
        <v>#VALUE!</v>
      </c>
      <c r="AA155" s="23" t="e">
        <f>EXP(-LN(2)/25)*AA154+(1-EXP(-LN(2)/25))/(LN(2)/25)*Calculateur!V155*Calculateur!X155*VLOOKUP('Données projet'!$B$9,Paramètres!$A$1:$I$89,3,0)*0.475*44/12</f>
        <v>#VALUE!</v>
      </c>
      <c r="AB155" s="23" t="e">
        <f>EXP(-LN(2)/2)*AB154+(1-EXP(-LN(2)/2))/(LN(2)/2)*V155*Y155*VLOOKUP('Données projet'!$B$9,Paramètres!$A$1:$I$89,3,0)*0.475*44/12</f>
        <v>#VALUE!</v>
      </c>
      <c r="AC155" s="24" t="e">
        <f t="shared" si="163"/>
        <v>#VALUE!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68.636009675979224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149.52545095126411</v>
      </c>
      <c r="AO155" s="62">
        <f t="shared" si="144"/>
        <v>457.9161829331029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4.3432339789943795</v>
      </c>
      <c r="AV155" s="23">
        <f>EXP(-LN(2)/25)*AV154+(1-EXP(-LN(2)/25))/(LN(2)/25)*Calculateur!AQ155*Calculateur!AS155*VLOOKUP('Données projet'!$B$10,Paramètres!$A$1:$I$89,3,0)*0.475*44/12</f>
        <v>0.6633993260216956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5.0066333050160754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68.636009675979224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-3.4106051316484809E-13</v>
      </c>
      <c r="BE155" s="14">
        <f>BD155*VLOOKUP('Données projet'!$B$11,Paramètres!$A$1:$I$89,3,0)*VLOOKUP('Données projet'!$B$11,Paramètres!$A$1:$I$89,5,0)</f>
        <v>-3.4583536034915599E-13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408.82357969905803</v>
      </c>
      <c r="BJ155" s="62">
        <f t="shared" si="146"/>
        <v>263.2013060831145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78.123704971817105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78.123704971817105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68.636009675979224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2.8421709430404007E-13</v>
      </c>
      <c r="BZ155" s="14">
        <f>BY155*VLOOKUP('Données projet'!$B$12,Paramètres!$A$1:$I$89,3,0)*VLOOKUP('Données projet'!$B$12,Paramètres!$A$1:$I$89,5,0)</f>
        <v>2.7046098693972454E-13</v>
      </c>
      <c r="CA155" s="14">
        <f t="shared" si="170"/>
        <v>3.6187594451142911E-12</v>
      </c>
      <c r="CB155" s="22">
        <f t="shared" si="171"/>
        <v>6.7737255858274096E-12</v>
      </c>
      <c r="CC155" s="62">
        <f t="shared" si="119"/>
        <v>288.33203547859728</v>
      </c>
      <c r="CD155" s="62">
        <f ca="1">AVERAGE(OFFSET($CC$3,0,0,'Données projet'!$E$12+1,1))-AVERAGE(OFFSET($H$3,0,0,'Données projet'!$E$12+1,1))</f>
        <v>451.95887041951761</v>
      </c>
      <c r="CE155" s="62">
        <f t="shared" si="148"/>
        <v>311.32964503257341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94.519436122320855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94.519436122320855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68.636009675979224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68.636009675979224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68.636009675979224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68.636009675979224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68.636009675979224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68.636009675979224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3.9000000000000004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21.767615999999951</v>
      </c>
      <c r="D156" s="12">
        <f t="shared" si="140"/>
        <v>7.0087690154986859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47.55335973844042</v>
      </c>
      <c r="H156" s="70">
        <f t="shared" si="110"/>
        <v>249.5855372353268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68.659671858675466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-1.3596945791505279E-13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251.99201350544561</v>
      </c>
      <c r="T156" s="62">
        <f t="shared" si="142"/>
        <v>366.66533117979162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 t="e">
        <f>EXP(-LN(2)/35)*Z155+(1-EXP(-LN(2)/35))/(LN(2)/35)*V156*W156*VLOOKUP('Données projet'!$B$9,Paramètres!$A$1:$I$89,3,0)*0.475*44/12</f>
        <v>#VALUE!</v>
      </c>
      <c r="AA156" s="23" t="e">
        <f>EXP(-LN(2)/25)*AA155+(1-EXP(-LN(2)/25))/(LN(2)/25)*Calculateur!V156*Calculateur!X156*VLOOKUP('Données projet'!$B$9,Paramètres!$A$1:$I$89,3,0)*0.475*44/12</f>
        <v>#VALUE!</v>
      </c>
      <c r="AB156" s="23" t="e">
        <f>EXP(-LN(2)/2)*AB155+(1-EXP(-LN(2)/2))/(LN(2)/2)*V156*Y156*VLOOKUP('Données projet'!$B$9,Paramètres!$A$1:$I$89,3,0)*0.475*44/12</f>
        <v>#VALUE!</v>
      </c>
      <c r="AC156" s="24" t="e">
        <f t="shared" si="163"/>
        <v>#VALUE!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68.659671858675466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149.52545095126411</v>
      </c>
      <c r="AO156" s="62">
        <f t="shared" si="144"/>
        <v>457.9161829331029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4.2580658097774489</v>
      </c>
      <c r="AV156" s="23">
        <f>EXP(-LN(2)/25)*AV155+(1-EXP(-LN(2)/25))/(LN(2)/25)*Calculateur!AQ156*Calculateur!AS156*VLOOKUP('Données projet'!$B$10,Paramètres!$A$1:$I$89,3,0)*0.475*44/12</f>
        <v>0.64525863656497795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4.9033244463424266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68.659671858675466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-3.4106051316484809E-13</v>
      </c>
      <c r="BE156" s="14">
        <f>BD156*VLOOKUP('Données projet'!$B$11,Paramètres!$A$1:$I$89,3,0)*VLOOKUP('Données projet'!$B$11,Paramètres!$A$1:$I$89,5,0)</f>
        <v>-3.4583536034915599E-13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408.82357969905803</v>
      </c>
      <c r="BJ156" s="62">
        <f t="shared" si="146"/>
        <v>263.2013060831145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76.591746768074685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76.591746768074685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68.659671858675466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2.8421709430404007E-13</v>
      </c>
      <c r="BZ156" s="14">
        <f>BY156*VLOOKUP('Données projet'!$B$12,Paramètres!$A$1:$I$89,3,0)*VLOOKUP('Données projet'!$B$12,Paramètres!$A$1:$I$89,5,0)</f>
        <v>2.7046098693972454E-13</v>
      </c>
      <c r="CA156" s="14">
        <f t="shared" si="170"/>
        <v>3.6187594451142911E-12</v>
      </c>
      <c r="CB156" s="22">
        <f t="shared" si="171"/>
        <v>6.7737255858274096E-12</v>
      </c>
      <c r="CC156" s="62">
        <f t="shared" si="119"/>
        <v>288.41879681515013</v>
      </c>
      <c r="CD156" s="62">
        <f ca="1">AVERAGE(OFFSET($CC$3,0,0,'Données projet'!$E$12+1,1))-AVERAGE(OFFSET($H$3,0,0,'Données projet'!$E$12+1,1))</f>
        <v>451.95887041951761</v>
      </c>
      <c r="CE156" s="62">
        <f t="shared" si="148"/>
        <v>311.32964503257341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92.665967631125596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92.665967631125596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68.659671858675466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68.659671858675466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68.659671858675466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68.659671858675466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68.659671858675466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68.659671858675466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3.9000000000000004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21.909887999999949</v>
      </c>
      <c r="D157" s="12">
        <f t="shared" si="140"/>
        <v>7.0492304420552543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47.779051549485722</v>
      </c>
      <c r="H157" s="70">
        <f t="shared" si="110"/>
        <v>249.90379795324614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68.682923555402624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-1.3596945791505279E-13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251.99201350544561</v>
      </c>
      <c r="T157" s="62">
        <f t="shared" si="142"/>
        <v>366.66533117979162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 t="e">
        <f>EXP(-LN(2)/35)*Z156+(1-EXP(-LN(2)/35))/(LN(2)/35)*V157*W157*VLOOKUP('Données projet'!$B$9,Paramètres!$A$1:$I$89,3,0)*0.475*44/12</f>
        <v>#VALUE!</v>
      </c>
      <c r="AA157" s="23" t="e">
        <f>EXP(-LN(2)/25)*AA156+(1-EXP(-LN(2)/25))/(LN(2)/25)*Calculateur!V157*Calculateur!X157*VLOOKUP('Données projet'!$B$9,Paramètres!$A$1:$I$89,3,0)*0.475*44/12</f>
        <v>#VALUE!</v>
      </c>
      <c r="AB157" s="23" t="e">
        <f>EXP(-LN(2)/2)*AB156+(1-EXP(-LN(2)/2))/(LN(2)/2)*V157*Y157*VLOOKUP('Données projet'!$B$9,Paramètres!$A$1:$I$89,3,0)*0.475*44/12</f>
        <v>#VALUE!</v>
      </c>
      <c r="AC157" s="24" t="e">
        <f t="shared" si="163"/>
        <v>#VALUE!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68.682923555402624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149.52545095126411</v>
      </c>
      <c r="AO157" s="62">
        <f t="shared" si="144"/>
        <v>457.9161829331029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4.1745677364114089</v>
      </c>
      <c r="AV157" s="23">
        <f>EXP(-LN(2)/25)*AV156+(1-EXP(-LN(2)/25))/(LN(2)/25)*Calculateur!AQ157*Calculateur!AS157*VLOOKUP('Données projet'!$B$10,Paramètres!$A$1:$I$89,3,0)*0.475*44/12</f>
        <v>0.62761400521543165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4.8021817416268409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68.682923555402624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-3.4106051316484809E-13</v>
      </c>
      <c r="BE157" s="14">
        <f>BD157*VLOOKUP('Données projet'!$B$11,Paramètres!$A$1:$I$89,3,0)*VLOOKUP('Données projet'!$B$11,Paramètres!$A$1:$I$89,5,0)</f>
        <v>-3.4583536034915599E-13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408.82357969905803</v>
      </c>
      <c r="BJ157" s="62">
        <f t="shared" si="146"/>
        <v>263.2013060831145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75.089829330305406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75.089829330305406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68.682923555402624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2.8421709430404007E-13</v>
      </c>
      <c r="BZ157" s="14">
        <f>BY157*VLOOKUP('Données projet'!$B$12,Paramètres!$A$1:$I$89,3,0)*VLOOKUP('Données projet'!$B$12,Paramètres!$A$1:$I$89,5,0)</f>
        <v>2.7046098693972454E-13</v>
      </c>
      <c r="CA157" s="14">
        <f t="shared" si="170"/>
        <v>3.6187594451142911E-12</v>
      </c>
      <c r="CB157" s="22">
        <f t="shared" si="171"/>
        <v>6.7737255858274096E-12</v>
      </c>
      <c r="CC157" s="62">
        <f t="shared" si="119"/>
        <v>288.50405303648307</v>
      </c>
      <c r="CD157" s="62">
        <f ca="1">AVERAGE(OFFSET($CC$3,0,0,'Données projet'!$E$12+1,1))-AVERAGE(OFFSET($H$3,0,0,'Données projet'!$E$12+1,1))</f>
        <v>451.95887041951761</v>
      </c>
      <c r="CE157" s="62">
        <f t="shared" si="148"/>
        <v>311.32964503257341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90.848844526538528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90.848844526538528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68.682923555402624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68.682923555402624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68.682923555402624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68.682923555402624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68.682923555402624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68.682923555402624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3.9000000000000004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22.052159999999947</v>
      </c>
      <c r="D158" s="12">
        <f t="shared" si="140"/>
        <v>7.0896612974066642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48.004705602410979</v>
      </c>
      <c r="H158" s="70">
        <f t="shared" si="110"/>
        <v>250.22200542631651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68.705771887174592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-1.3596945791505279E-13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251.99201350544561</v>
      </c>
      <c r="T158" s="62">
        <f t="shared" si="142"/>
        <v>366.66533117979162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 t="e">
        <f>EXP(-LN(2)/35)*Z157+(1-EXP(-LN(2)/35))/(LN(2)/35)*V158*W158*VLOOKUP('Données projet'!$B$9,Paramètres!$A$1:$I$89,3,0)*0.475*44/12</f>
        <v>#VALUE!</v>
      </c>
      <c r="AA158" s="23" t="e">
        <f>EXP(-LN(2)/25)*AA157+(1-EXP(-LN(2)/25))/(LN(2)/25)*Calculateur!V158*Calculateur!X158*VLOOKUP('Données projet'!$B$9,Paramètres!$A$1:$I$89,3,0)*0.475*44/12</f>
        <v>#VALUE!</v>
      </c>
      <c r="AB158" s="23" t="e">
        <f>EXP(-LN(2)/2)*AB157+(1-EXP(-LN(2)/2))/(LN(2)/2)*V158*Y158*VLOOKUP('Données projet'!$B$9,Paramètres!$A$1:$I$89,3,0)*0.475*44/12</f>
        <v>#VALUE!</v>
      </c>
      <c r="AC158" s="24" t="e">
        <f t="shared" si="163"/>
        <v>#VALUE!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68.705771887174592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149.52545095126411</v>
      </c>
      <c r="AO158" s="62">
        <f t="shared" si="144"/>
        <v>457.9161829331029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4.0927070093352809</v>
      </c>
      <c r="AV158" s="23">
        <f>EXP(-LN(2)/25)*AV157+(1-EXP(-LN(2)/25))/(LN(2)/25)*Calculateur!AQ158*Calculateur!AS158*VLOOKUP('Données projet'!$B$10,Paramètres!$A$1:$I$89,3,0)*0.475*44/12</f>
        <v>0.61045186723802958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4.7031588765733101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68.705771887174592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-3.4106051316484809E-13</v>
      </c>
      <c r="BE158" s="14">
        <f>BD158*VLOOKUP('Données projet'!$B$11,Paramètres!$A$1:$I$89,3,0)*VLOOKUP('Données projet'!$B$11,Paramètres!$A$1:$I$89,5,0)</f>
        <v>-3.4583536034915599E-13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408.82357969905803</v>
      </c>
      <c r="BJ158" s="62">
        <f t="shared" si="146"/>
        <v>263.2013060831145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73.617363577411609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73.617363577411609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68.705771887174592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2.8421709430404007E-13</v>
      </c>
      <c r="BZ158" s="14">
        <f>BY158*VLOOKUP('Données projet'!$B$12,Paramètres!$A$1:$I$89,3,0)*VLOOKUP('Données projet'!$B$12,Paramètres!$A$1:$I$89,5,0)</f>
        <v>2.7046098693972454E-13</v>
      </c>
      <c r="CA158" s="14">
        <f t="shared" si="170"/>
        <v>3.6187594451142911E-12</v>
      </c>
      <c r="CB158" s="22">
        <f t="shared" si="171"/>
        <v>6.7737255858274096E-12</v>
      </c>
      <c r="CC158" s="62">
        <f t="shared" si="119"/>
        <v>288.58783025298027</v>
      </c>
      <c r="CD158" s="62">
        <f ca="1">AVERAGE(OFFSET($CC$3,0,0,'Données projet'!$E$12+1,1))-AVERAGE(OFFSET($H$3,0,0,'Données projet'!$E$12+1,1))</f>
        <v>451.95887041951761</v>
      </c>
      <c r="CE158" s="62">
        <f t="shared" si="148"/>
        <v>311.32964503257341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89.06735409769675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89.06735409769675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68.705771887174592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68.705771887174592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68.705771887174592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68.705771887174592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68.705771887174592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68.705771887174592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3.9000000000000004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22.194431999999946</v>
      </c>
      <c r="D159" s="12">
        <f t="shared" si="140"/>
        <v>7.1300618016648878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48.230322169073766</v>
      </c>
      <c r="H159" s="70">
        <f t="shared" si="110"/>
        <v>250.54016003789957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68.728223851471512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-1.3596945791505279E-13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251.99201350544561</v>
      </c>
      <c r="T159" s="62">
        <f t="shared" si="142"/>
        <v>366.66533117979162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 t="e">
        <f>EXP(-LN(2)/35)*Z158+(1-EXP(-LN(2)/35))/(LN(2)/35)*V159*W159*VLOOKUP('Données projet'!$B$9,Paramètres!$A$1:$I$89,3,0)*0.475*44/12</f>
        <v>#VALUE!</v>
      </c>
      <c r="AA159" s="23" t="e">
        <f>EXP(-LN(2)/25)*AA158+(1-EXP(-LN(2)/25))/(LN(2)/25)*Calculateur!V159*Calculateur!X159*VLOOKUP('Données projet'!$B$9,Paramètres!$A$1:$I$89,3,0)*0.475*44/12</f>
        <v>#VALUE!</v>
      </c>
      <c r="AB159" s="23" t="e">
        <f>EXP(-LN(2)/2)*AB158+(1-EXP(-LN(2)/2))/(LN(2)/2)*V159*Y159*VLOOKUP('Données projet'!$B$9,Paramètres!$A$1:$I$89,3,0)*0.475*44/12</f>
        <v>#VALUE!</v>
      </c>
      <c r="AC159" s="24" t="e">
        <f t="shared" si="163"/>
        <v>#VALUE!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68.728223851471512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149.52545095126411</v>
      </c>
      <c r="AO159" s="62">
        <f t="shared" si="144"/>
        <v>457.9161829331029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4.0124515211870024</v>
      </c>
      <c r="AV159" s="23">
        <f>EXP(-LN(2)/25)*AV158+(1-EXP(-LN(2)/25))/(LN(2)/25)*Calculateur!AQ159*Calculateur!AS159*VLOOKUP('Données projet'!$B$10,Paramètres!$A$1:$I$89,3,0)*0.475*44/12</f>
        <v>0.59375902882613718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4.6062105500131398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68.728223851471512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-3.4106051316484809E-13</v>
      </c>
      <c r="BE159" s="14">
        <f>BD159*VLOOKUP('Données projet'!$B$11,Paramètres!$A$1:$I$89,3,0)*VLOOKUP('Données projet'!$B$11,Paramètres!$A$1:$I$89,5,0)</f>
        <v>-3.4583536034915599E-13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408.82357969905803</v>
      </c>
      <c r="BJ159" s="62">
        <f t="shared" si="146"/>
        <v>263.2013060831145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72.173771979816635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72.173771979816635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68.728223851471512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2.8421709430404007E-13</v>
      </c>
      <c r="BZ159" s="14">
        <f>BY159*VLOOKUP('Données projet'!$B$12,Paramètres!$A$1:$I$89,3,0)*VLOOKUP('Données projet'!$B$12,Paramètres!$A$1:$I$89,5,0)</f>
        <v>2.7046098693972454E-13</v>
      </c>
      <c r="CA159" s="14">
        <f t="shared" si="170"/>
        <v>3.6187594451142911E-12</v>
      </c>
      <c r="CB159" s="22">
        <f t="shared" si="171"/>
        <v>6.7737255858274096E-12</v>
      </c>
      <c r="CC159" s="62">
        <f t="shared" si="119"/>
        <v>288.67015412206899</v>
      </c>
      <c r="CD159" s="62">
        <f ca="1">AVERAGE(OFFSET($CC$3,0,0,'Données projet'!$E$12+1,1))-AVERAGE(OFFSET($H$3,0,0,'Données projet'!$E$12+1,1))</f>
        <v>451.95887041951761</v>
      </c>
      <c r="CE159" s="62">
        <f t="shared" si="148"/>
        <v>311.32964503257341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87.320797609562703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87.320797609562703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68.728223851471512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68.728223851471512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68.728223851471512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68.728223851471512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68.728223851471512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68.728223851471512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3.9000000000000004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22.336703999999944</v>
      </c>
      <c r="D160" s="12">
        <f t="shared" si="140"/>
        <v>7.1704321719567714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48.45590151764479</v>
      </c>
      <c r="H160" s="70">
        <f t="shared" si="110"/>
        <v>250.85826216615794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68.750286324382969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-1.3596945791505279E-13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251.99201350544561</v>
      </c>
      <c r="T160" s="62">
        <f t="shared" si="142"/>
        <v>366.66533117979162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 t="e">
        <f>EXP(-LN(2)/35)*Z159+(1-EXP(-LN(2)/35))/(LN(2)/35)*V160*W160*VLOOKUP('Données projet'!$B$9,Paramètres!$A$1:$I$89,3,0)*0.475*44/12</f>
        <v>#VALUE!</v>
      </c>
      <c r="AA160" s="23" t="e">
        <f>EXP(-LN(2)/25)*AA159+(1-EXP(-LN(2)/25))/(LN(2)/25)*Calculateur!V160*Calculateur!X160*VLOOKUP('Données projet'!$B$9,Paramètres!$A$1:$I$89,3,0)*0.475*44/12</f>
        <v>#VALUE!</v>
      </c>
      <c r="AB160" s="23" t="e">
        <f>EXP(-LN(2)/2)*AB159+(1-EXP(-LN(2)/2))/(LN(2)/2)*V160*Y160*VLOOKUP('Données projet'!$B$9,Paramètres!$A$1:$I$89,3,0)*0.475*44/12</f>
        <v>#VALUE!</v>
      </c>
      <c r="AC160" s="24" t="e">
        <f t="shared" si="163"/>
        <v>#VALUE!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68.750286324382969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149.52545095126411</v>
      </c>
      <c r="AO160" s="62">
        <f t="shared" si="144"/>
        <v>457.9161829331029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3.9337697942102969</v>
      </c>
      <c r="AV160" s="23">
        <f>EXP(-LN(2)/25)*AV159+(1-EXP(-LN(2)/25))/(LN(2)/25)*Calculateur!AQ160*Calculateur!AS160*VLOOKUP('Données projet'!$B$10,Paramètres!$A$1:$I$89,3,0)*0.475*44/12</f>
        <v>0.57752265695845617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4.5112924511687531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68.750286324382969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-3.4106051316484809E-13</v>
      </c>
      <c r="BE160" s="14">
        <f>BD160*VLOOKUP('Données projet'!$B$11,Paramètres!$A$1:$I$89,3,0)*VLOOKUP('Données projet'!$B$11,Paramètres!$A$1:$I$89,5,0)</f>
        <v>-3.4583536034915599E-13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408.82357969905803</v>
      </c>
      <c r="BJ160" s="62">
        <f t="shared" si="146"/>
        <v>263.2013060831145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70.758488332946555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70.758488332946555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68.750286324382969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2.8421709430404007E-13</v>
      </c>
      <c r="BZ160" s="14">
        <f>BY160*VLOOKUP('Données projet'!$B$12,Paramètres!$A$1:$I$89,3,0)*VLOOKUP('Données projet'!$B$12,Paramètres!$A$1:$I$89,5,0)</f>
        <v>2.7046098693972454E-13</v>
      </c>
      <c r="CA160" s="14">
        <f t="shared" si="170"/>
        <v>3.6187594451142911E-12</v>
      </c>
      <c r="CB160" s="22">
        <f t="shared" si="171"/>
        <v>6.7737255858274096E-12</v>
      </c>
      <c r="CC160" s="62">
        <f t="shared" si="119"/>
        <v>288.75104985607766</v>
      </c>
      <c r="CD160" s="62">
        <f ca="1">AVERAGE(OFFSET($CC$3,0,0,'Données projet'!$E$12+1,1))-AVERAGE(OFFSET($H$3,0,0,'Données projet'!$E$12+1,1))</f>
        <v>451.95887041951761</v>
      </c>
      <c r="CE160" s="62">
        <f t="shared" si="148"/>
        <v>311.32964503257341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85.608490028866683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85.608490028866683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68.750286324382969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68.750286324382969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68.750286324382969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68.750286324382969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68.750286324382969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68.750286324382969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3.9000000000000004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22.478975999999943</v>
      </c>
      <c r="D161" s="12">
        <f t="shared" si="140"/>
        <v>7.2107726224832573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48.681443912681011</v>
      </c>
      <c r="H161" s="70">
        <f t="shared" si="110"/>
        <v>251.17631218415823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68.771966062713716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-1.3596945791505279E-13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251.99201350544561</v>
      </c>
      <c r="T161" s="62">
        <f t="shared" si="142"/>
        <v>366.66533117979162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 t="e">
        <f>EXP(-LN(2)/35)*Z160+(1-EXP(-LN(2)/35))/(LN(2)/35)*V161*W161*VLOOKUP('Données projet'!$B$9,Paramètres!$A$1:$I$89,3,0)*0.475*44/12</f>
        <v>#VALUE!</v>
      </c>
      <c r="AA161" s="23" t="e">
        <f>EXP(-LN(2)/25)*AA160+(1-EXP(-LN(2)/25))/(LN(2)/25)*Calculateur!V161*Calculateur!X161*VLOOKUP('Données projet'!$B$9,Paramètres!$A$1:$I$89,3,0)*0.475*44/12</f>
        <v>#VALUE!</v>
      </c>
      <c r="AB161" s="23" t="e">
        <f>EXP(-LN(2)/2)*AB160+(1-EXP(-LN(2)/2))/(LN(2)/2)*V161*Y161*VLOOKUP('Données projet'!$B$9,Paramètres!$A$1:$I$89,3,0)*0.475*44/12</f>
        <v>#VALUE!</v>
      </c>
      <c r="AC161" s="24" t="e">
        <f t="shared" si="163"/>
        <v>#VALUE!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68.771966062713716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149.52545095126411</v>
      </c>
      <c r="AO161" s="62">
        <f t="shared" si="144"/>
        <v>457.9161829331029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3.8566309679084902</v>
      </c>
      <c r="AV161" s="23">
        <f>EXP(-LN(2)/25)*AV160+(1-EXP(-LN(2)/25))/(LN(2)/25)*Calculateur!AQ161*Calculateur!AS161*VLOOKUP('Données projet'!$B$10,Paramètres!$A$1:$I$89,3,0)*0.475*44/12</f>
        <v>0.56173026953333061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4.4183612374418209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68.771966062713716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-3.4106051316484809E-13</v>
      </c>
      <c r="BE161" s="14">
        <f>BD161*VLOOKUP('Données projet'!$B$11,Paramètres!$A$1:$I$89,3,0)*VLOOKUP('Données projet'!$B$11,Paramètres!$A$1:$I$89,5,0)</f>
        <v>-3.4583536034915599E-13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408.82357969905803</v>
      </c>
      <c r="BJ161" s="62">
        <f t="shared" si="146"/>
        <v>263.2013060831145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69.370957535153821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69.370957535153821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68.771966062713716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2.8421709430404007E-13</v>
      </c>
      <c r="BZ161" s="14">
        <f>BY161*VLOOKUP('Données projet'!$B$12,Paramètres!$A$1:$I$89,3,0)*VLOOKUP('Données projet'!$B$12,Paramètres!$A$1:$I$89,5,0)</f>
        <v>2.7046098693972454E-13</v>
      </c>
      <c r="CA161" s="14">
        <f t="shared" si="170"/>
        <v>3.6187594451142911E-12</v>
      </c>
      <c r="CB161" s="22">
        <f t="shared" si="171"/>
        <v>6.7737255858274096E-12</v>
      </c>
      <c r="CC161" s="62">
        <f t="shared" si="119"/>
        <v>288.83054222995702</v>
      </c>
      <c r="CD161" s="62">
        <f ca="1">AVERAGE(OFFSET($CC$3,0,0,'Données projet'!$E$12+1,1))-AVERAGE(OFFSET($H$3,0,0,'Données projet'!$E$12+1,1))</f>
        <v>451.95887041951761</v>
      </c>
      <c r="CE161" s="62">
        <f t="shared" si="148"/>
        <v>311.32964503257341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83.929759755423618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83.929759755423618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68.771966062713716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68.771966062713716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68.771966062713716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68.771966062713716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68.771966062713716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68.771966062713716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3.9000000000000004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22.621247999999941</v>
      </c>
      <c r="D162" s="12">
        <f t="shared" si="140"/>
        <v>7.25108336457708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48.906949615196886</v>
      </c>
      <c r="H162" s="70">
        <f t="shared" si="110"/>
        <v>251.49431045997164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68.793269706053039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-1.3596945791505279E-13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251.99201350544561</v>
      </c>
      <c r="T162" s="62">
        <f t="shared" si="142"/>
        <v>366.66533117979162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 t="e">
        <f>EXP(-LN(2)/35)*Z161+(1-EXP(-LN(2)/35))/(LN(2)/35)*V162*W162*VLOOKUP('Données projet'!$B$9,Paramètres!$A$1:$I$89,3,0)*0.475*44/12</f>
        <v>#VALUE!</v>
      </c>
      <c r="AA162" s="23" t="e">
        <f>EXP(-LN(2)/25)*AA161+(1-EXP(-LN(2)/25))/(LN(2)/25)*Calculateur!V162*Calculateur!X162*VLOOKUP('Données projet'!$B$9,Paramètres!$A$1:$I$89,3,0)*0.475*44/12</f>
        <v>#VALUE!</v>
      </c>
      <c r="AB162" s="23" t="e">
        <f>EXP(-LN(2)/2)*AB161+(1-EXP(-LN(2)/2))/(LN(2)/2)*V162*Y162*VLOOKUP('Données projet'!$B$9,Paramètres!$A$1:$I$89,3,0)*0.475*44/12</f>
        <v>#VALUE!</v>
      </c>
      <c r="AC162" s="24" t="e">
        <f t="shared" si="163"/>
        <v>#VALUE!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68.793269706053039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149.52545095126411</v>
      </c>
      <c r="AO162" s="62">
        <f t="shared" si="144"/>
        <v>457.9161829331029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3.7810047869404237</v>
      </c>
      <c r="AV162" s="23">
        <f>EXP(-LN(2)/25)*AV161+(1-EXP(-LN(2)/25))/(LN(2)/25)*Calculateur!AQ162*Calculateur!AS162*VLOOKUP('Données projet'!$B$10,Paramètres!$A$1:$I$89,3,0)*0.475*44/12</f>
        <v>0.54636972577283061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4.3273745127132539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68.793269706053039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-3.4106051316484809E-13</v>
      </c>
      <c r="BE162" s="14">
        <f>BD162*VLOOKUP('Données projet'!$B$11,Paramètres!$A$1:$I$89,3,0)*VLOOKUP('Données projet'!$B$11,Paramètres!$A$1:$I$89,5,0)</f>
        <v>-3.4583536034915599E-13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408.82357969905803</v>
      </c>
      <c r="BJ162" s="62">
        <f t="shared" si="146"/>
        <v>263.2013060831145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68.010635369995583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68.010635369995583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68.793269706053039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2.8421709430404007E-13</v>
      </c>
      <c r="BZ162" s="14">
        <f>BY162*VLOOKUP('Données projet'!$B$12,Paramètres!$A$1:$I$89,3,0)*VLOOKUP('Données projet'!$B$12,Paramètres!$A$1:$I$89,5,0)</f>
        <v>2.7046098693972454E-13</v>
      </c>
      <c r="CA162" s="14">
        <f t="shared" si="170"/>
        <v>3.6187594451142911E-12</v>
      </c>
      <c r="CB162" s="22">
        <f t="shared" si="171"/>
        <v>6.7737255858274096E-12</v>
      </c>
      <c r="CC162" s="62">
        <f t="shared" si="119"/>
        <v>288.90865558886787</v>
      </c>
      <c r="CD162" s="62">
        <f ca="1">AVERAGE(OFFSET($CC$3,0,0,'Données projet'!$E$12+1,1))-AVERAGE(OFFSET($H$3,0,0,'Données projet'!$E$12+1,1))</f>
        <v>451.95887041951761</v>
      </c>
      <c r="CE162" s="62">
        <f t="shared" si="148"/>
        <v>311.32964503257341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82.283948358718405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82.283948358718405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68.793269706053039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68.793269706053039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68.793269706053039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68.793269706053039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68.793269706053039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68.793269706053039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3.9000000000000004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22.763519999999939</v>
      </c>
      <c r="D163" s="12">
        <f t="shared" si="140"/>
        <v>7.2913646067589681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49.132418882733809</v>
      </c>
      <c r="H163" s="70">
        <f t="shared" si="110"/>
        <v>251.81225735677177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68.814203778808263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-1.3596945791505279E-13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251.99201350544561</v>
      </c>
      <c r="T163" s="62">
        <f t="shared" si="142"/>
        <v>366.66533117979162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 t="e">
        <f>EXP(-LN(2)/35)*Z162+(1-EXP(-LN(2)/35))/(LN(2)/35)*V163*W163*VLOOKUP('Données projet'!$B$9,Paramètres!$A$1:$I$89,3,0)*0.475*44/12</f>
        <v>#VALUE!</v>
      </c>
      <c r="AA163" s="23" t="e">
        <f>EXP(-LN(2)/25)*AA162+(1-EXP(-LN(2)/25))/(LN(2)/25)*Calculateur!V163*Calculateur!X163*VLOOKUP('Données projet'!$B$9,Paramètres!$A$1:$I$89,3,0)*0.475*44/12</f>
        <v>#VALUE!</v>
      </c>
      <c r="AB163" s="23" t="e">
        <f>EXP(-LN(2)/2)*AB162+(1-EXP(-LN(2)/2))/(LN(2)/2)*V163*Y163*VLOOKUP('Données projet'!$B$9,Paramètres!$A$1:$I$89,3,0)*0.475*44/12</f>
        <v>#VALUE!</v>
      </c>
      <c r="AC163" s="24" t="e">
        <f t="shared" si="163"/>
        <v>#VALUE!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68.814203778808263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149.52545095126411</v>
      </c>
      <c r="AO163" s="62">
        <f t="shared" si="144"/>
        <v>457.9161829331029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3.7068615892537253</v>
      </c>
      <c r="AV163" s="23">
        <f>EXP(-LN(2)/25)*AV162+(1-EXP(-LN(2)/25))/(LN(2)/25)*Calculateur!AQ163*Calculateur!AS163*VLOOKUP('Données projet'!$B$10,Paramètres!$A$1:$I$89,3,0)*0.475*44/12</f>
        <v>0.53142921688923739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4.2382908061429632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68.814203778808263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-3.4106051316484809E-13</v>
      </c>
      <c r="BE163" s="14">
        <f>BD163*VLOOKUP('Données projet'!$B$11,Paramètres!$A$1:$I$89,3,0)*VLOOKUP('Données projet'!$B$11,Paramètres!$A$1:$I$89,5,0)</f>
        <v>-3.4583536034915599E-13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408.82357969905803</v>
      </c>
      <c r="BJ163" s="62">
        <f t="shared" si="146"/>
        <v>263.2013060831145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66.676988292781502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66.676988292781502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68.814203778808263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2.8421709430404007E-13</v>
      </c>
      <c r="BZ163" s="14">
        <f>BY163*VLOOKUP('Données projet'!$B$12,Paramètres!$A$1:$I$89,3,0)*VLOOKUP('Données projet'!$B$12,Paramètres!$A$1:$I$89,5,0)</f>
        <v>2.7046098693972454E-13</v>
      </c>
      <c r="CA163" s="14">
        <f t="shared" si="170"/>
        <v>3.6187594451142911E-12</v>
      </c>
      <c r="CB163" s="22">
        <f t="shared" si="171"/>
        <v>6.7737255858274096E-12</v>
      </c>
      <c r="CC163" s="62">
        <f t="shared" si="119"/>
        <v>288.98541385563703</v>
      </c>
      <c r="CD163" s="62">
        <f ca="1">AVERAGE(OFFSET($CC$3,0,0,'Données projet'!$E$12+1,1))-AVERAGE(OFFSET($H$3,0,0,'Données projet'!$E$12+1,1))</f>
        <v>451.95887041951761</v>
      </c>
      <c r="CE163" s="62">
        <f t="shared" si="148"/>
        <v>311.32964503257341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80.670410319656753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80.670410319656753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68.814203778808263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68.814203778808263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68.814203778808263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68.814203778808263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68.814203778808263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68.814203778808263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3.9000000000000004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22.905791999999938</v>
      </c>
      <c r="D164" s="12">
        <f t="shared" si="140"/>
        <v>7.3316165547923919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49.357851969427728</v>
      </c>
      <c r="H164" s="70">
        <f t="shared" si="110"/>
        <v>252.13015323292998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68.834774692202743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-1.3596945791505279E-13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251.99201350544561</v>
      </c>
      <c r="T164" s="62">
        <f t="shared" si="142"/>
        <v>366.66533117979162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 t="e">
        <f>EXP(-LN(2)/35)*Z163+(1-EXP(-LN(2)/35))/(LN(2)/35)*V164*W164*VLOOKUP('Données projet'!$B$9,Paramètres!$A$1:$I$89,3,0)*0.475*44/12</f>
        <v>#VALUE!</v>
      </c>
      <c r="AA164" s="23" t="e">
        <f>EXP(-LN(2)/25)*AA163+(1-EXP(-LN(2)/25))/(LN(2)/25)*Calculateur!V164*Calculateur!X164*VLOOKUP('Données projet'!$B$9,Paramètres!$A$1:$I$89,3,0)*0.475*44/12</f>
        <v>#VALUE!</v>
      </c>
      <c r="AB164" s="23" t="e">
        <f>EXP(-LN(2)/2)*AB163+(1-EXP(-LN(2)/2))/(LN(2)/2)*V164*Y164*VLOOKUP('Données projet'!$B$9,Paramètres!$A$1:$I$89,3,0)*0.475*44/12</f>
        <v>#VALUE!</v>
      </c>
      <c r="AC164" s="24" t="e">
        <f t="shared" si="163"/>
        <v>#VALUE!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68.834774692202743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149.52545095126411</v>
      </c>
      <c r="AO164" s="62">
        <f t="shared" si="144"/>
        <v>457.9161829331029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3.6341722944507779</v>
      </c>
      <c r="AV164" s="23">
        <f>EXP(-LN(2)/25)*AV163+(1-EXP(-LN(2)/25))/(LN(2)/25)*Calculateur!AQ164*Calculateur!AS164*VLOOKUP('Données projet'!$B$10,Paramètres!$A$1:$I$89,3,0)*0.475*44/12</f>
        <v>0.51689725700675326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4.1510695514575309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68.834774692202743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-3.4106051316484809E-13</v>
      </c>
      <c r="BE164" s="14">
        <f>BD164*VLOOKUP('Données projet'!$B$11,Paramètres!$A$1:$I$89,3,0)*VLOOKUP('Données projet'!$B$11,Paramètres!$A$1:$I$89,5,0)</f>
        <v>-3.4583536034915599E-13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408.82357969905803</v>
      </c>
      <c r="BJ164" s="62">
        <f t="shared" si="146"/>
        <v>263.2013060831145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65.369493221307195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65.369493221307195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68.834774692202743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2.8421709430404007E-13</v>
      </c>
      <c r="BZ164" s="14">
        <f>BY164*VLOOKUP('Données projet'!$B$12,Paramètres!$A$1:$I$89,3,0)*VLOOKUP('Données projet'!$B$12,Paramètres!$A$1:$I$89,5,0)</f>
        <v>2.7046098693972454E-13</v>
      </c>
      <c r="CA164" s="14">
        <f t="shared" si="170"/>
        <v>3.6187594451142911E-12</v>
      </c>
      <c r="CB164" s="22">
        <f t="shared" si="171"/>
        <v>6.7737255858274096E-12</v>
      </c>
      <c r="CC164" s="62">
        <f t="shared" si="119"/>
        <v>289.06084053808348</v>
      </c>
      <c r="CD164" s="62">
        <f ca="1">AVERAGE(OFFSET($CC$3,0,0,'Données projet'!$E$12+1,1))-AVERAGE(OFFSET($H$3,0,0,'Données projet'!$E$12+1,1))</f>
        <v>451.95887041951761</v>
      </c>
      <c r="CE164" s="62">
        <f t="shared" si="148"/>
        <v>311.32964503257341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79.088512777380075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79.088512777380075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68.834774692202743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68.834774692202743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68.834774692202743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68.834774692202743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68.834774692202743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68.834774692202743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3.9000000000000004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23.048063999999936</v>
      </c>
      <c r="D165" s="12">
        <f t="shared" si="140"/>
        <v>7.3718394117369135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49.583249126074996</v>
      </c>
      <c r="H165" s="70">
        <f t="shared" si="110"/>
        <v>252.44799844210834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68.854988746239499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-1.3596945791505279E-13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251.99201350544561</v>
      </c>
      <c r="T165" s="62">
        <f t="shared" si="142"/>
        <v>366.66533117979162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 t="e">
        <f>EXP(-LN(2)/35)*Z164+(1-EXP(-LN(2)/35))/(LN(2)/35)*V165*W165*VLOOKUP('Données projet'!$B$9,Paramètres!$A$1:$I$89,3,0)*0.475*44/12</f>
        <v>#VALUE!</v>
      </c>
      <c r="AA165" s="23" t="e">
        <f>EXP(-LN(2)/25)*AA164+(1-EXP(-LN(2)/25))/(LN(2)/25)*Calculateur!V165*Calculateur!X165*VLOOKUP('Données projet'!$B$9,Paramètres!$A$1:$I$89,3,0)*0.475*44/12</f>
        <v>#VALUE!</v>
      </c>
      <c r="AB165" s="23" t="e">
        <f>EXP(-LN(2)/2)*AB164+(1-EXP(-LN(2)/2))/(LN(2)/2)*V165*Y165*VLOOKUP('Données projet'!$B$9,Paramètres!$A$1:$I$89,3,0)*0.475*44/12</f>
        <v>#VALUE!</v>
      </c>
      <c r="AC165" s="24" t="e">
        <f t="shared" si="163"/>
        <v>#VALUE!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68.854988746239499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149.52545095126411</v>
      </c>
      <c r="AO165" s="62">
        <f t="shared" si="144"/>
        <v>457.9161829331029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3.5629083923828242</v>
      </c>
      <c r="AV165" s="23">
        <f>EXP(-LN(2)/25)*AV164+(1-EXP(-LN(2)/25))/(LN(2)/25)*Calculateur!AQ165*Calculateur!AS165*VLOOKUP('Données projet'!$B$10,Paramètres!$A$1:$I$89,3,0)*0.475*44/12</f>
        <v>0.50276267433145827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4.0656710667142821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68.854988746239499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-3.4106051316484809E-13</v>
      </c>
      <c r="BE165" s="14">
        <f>BD165*VLOOKUP('Données projet'!$B$11,Paramètres!$A$1:$I$89,3,0)*VLOOKUP('Données projet'!$B$11,Paramètres!$A$1:$I$89,5,0)</f>
        <v>-3.4583536034915599E-13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408.82357969905803</v>
      </c>
      <c r="BJ165" s="62">
        <f t="shared" si="146"/>
        <v>263.2013060831145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64.087637330691251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64.087637330691251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68.854988746239499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2.8421709430404007E-13</v>
      </c>
      <c r="BZ165" s="14">
        <f>BY165*VLOOKUP('Données projet'!$B$12,Paramètres!$A$1:$I$89,3,0)*VLOOKUP('Données projet'!$B$12,Paramètres!$A$1:$I$89,5,0)</f>
        <v>2.7046098693972454E-13</v>
      </c>
      <c r="CA165" s="14">
        <f t="shared" si="170"/>
        <v>3.6187594451142911E-12</v>
      </c>
      <c r="CB165" s="22">
        <f t="shared" si="171"/>
        <v>6.7737255858274096E-12</v>
      </c>
      <c r="CC165" s="62">
        <f t="shared" si="119"/>
        <v>289.13495873621827</v>
      </c>
      <c r="CD165" s="62">
        <f ca="1">AVERAGE(OFFSET($CC$3,0,0,'Données projet'!$E$12+1,1))-AVERAGE(OFFSET($H$3,0,0,'Données projet'!$E$12+1,1))</f>
        <v>451.95887041951761</v>
      </c>
      <c r="CE165" s="62">
        <f t="shared" si="148"/>
        <v>311.32964503257341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77.537635281045212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77.537635281045212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68.854988746239499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68.854988746239499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68.854988746239499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68.854988746239499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68.854988746239499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68.854988746239499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3.9000000000000004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23.190335999999935</v>
      </c>
      <c r="D166" s="12">
        <f t="shared" si="140"/>
        <v>7.4120333780001761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49.80861060019663</v>
      </c>
      <c r="H166" s="70">
        <f t="shared" si="110"/>
        <v>252.76579333335019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68.874852131630576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-1.3596945791505279E-13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251.99201350544561</v>
      </c>
      <c r="T166" s="62">
        <f t="shared" si="142"/>
        <v>366.66533117979162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 t="e">
        <f>EXP(-LN(2)/35)*Z165+(1-EXP(-LN(2)/35))/(LN(2)/35)*V166*W166*VLOOKUP('Données projet'!$B$9,Paramètres!$A$1:$I$89,3,0)*0.475*44/12</f>
        <v>#VALUE!</v>
      </c>
      <c r="AA166" s="23" t="e">
        <f>EXP(-LN(2)/25)*AA165+(1-EXP(-LN(2)/25))/(LN(2)/25)*Calculateur!V166*Calculateur!X166*VLOOKUP('Données projet'!$B$9,Paramètres!$A$1:$I$89,3,0)*0.475*44/12</f>
        <v>#VALUE!</v>
      </c>
      <c r="AB166" s="23" t="e">
        <f>EXP(-LN(2)/2)*AB165+(1-EXP(-LN(2)/2))/(LN(2)/2)*V166*Y166*VLOOKUP('Données projet'!$B$9,Paramètres!$A$1:$I$89,3,0)*0.475*44/12</f>
        <v>#VALUE!</v>
      </c>
      <c r="AC166" s="24" t="e">
        <f t="shared" si="163"/>
        <v>#VALUE!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68.874852131630576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149.52545095126411</v>
      </c>
      <c r="AO166" s="62">
        <f t="shared" si="144"/>
        <v>457.9161829331029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3.4930419319677348</v>
      </c>
      <c r="AV166" s="23">
        <f>EXP(-LN(2)/25)*AV165+(1-EXP(-LN(2)/25))/(LN(2)/25)*Calculateur!AQ166*Calculateur!AS166*VLOOKUP('Données projet'!$B$10,Paramètres!$A$1:$I$89,3,0)*0.475*44/12</f>
        <v>0.48901460256272455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3.9820565345304595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68.874852131630576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-3.4106051316484809E-13</v>
      </c>
      <c r="BE166" s="14">
        <f>BD166*VLOOKUP('Données projet'!$B$11,Paramètres!$A$1:$I$89,3,0)*VLOOKUP('Données projet'!$B$11,Paramètres!$A$1:$I$89,5,0)</f>
        <v>-3.4583536034915599E-13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408.82357969905803</v>
      </c>
      <c r="BJ166" s="62">
        <f t="shared" si="146"/>
        <v>263.2013060831145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62.830917852235387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62.830917852235387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68.874852131630576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2.8421709430404007E-13</v>
      </c>
      <c r="BZ166" s="14">
        <f>BY166*VLOOKUP('Données projet'!$B$12,Paramètres!$A$1:$I$89,3,0)*VLOOKUP('Données projet'!$B$12,Paramètres!$A$1:$I$89,5,0)</f>
        <v>2.7046098693972454E-13</v>
      </c>
      <c r="CA166" s="14">
        <f t="shared" si="170"/>
        <v>3.6187594451142911E-12</v>
      </c>
      <c r="CB166" s="22">
        <f t="shared" si="171"/>
        <v>6.7737255858274096E-12</v>
      </c>
      <c r="CC166" s="62">
        <f t="shared" si="119"/>
        <v>289.20779114931884</v>
      </c>
      <c r="CD166" s="62">
        <f ca="1">AVERAGE(OFFSET($CC$3,0,0,'Données projet'!$E$12+1,1))-AVERAGE(OFFSET($H$3,0,0,'Données projet'!$E$12+1,1))</f>
        <v>451.95887041951761</v>
      </c>
      <c r="CE166" s="62">
        <f t="shared" si="148"/>
        <v>311.32964503257341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76.017169546471607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76.017169546471607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68.874852131630576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68.874852131630576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68.874852131630576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68.874852131630576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68.874852131630576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68.874852131630576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3.9000000000000004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23.332607999999933</v>
      </c>
      <c r="D167" s="12">
        <f t="shared" si="140"/>
        <v>7.452198651388632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50.033936636100968</v>
      </c>
      <c r="H167" s="70">
        <f t="shared" si="110"/>
        <v>253.08353825116842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68.89437093169299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-1.3596945791505279E-13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251.99201350544561</v>
      </c>
      <c r="T167" s="62">
        <f t="shared" si="142"/>
        <v>366.66533117979162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 t="e">
        <f>EXP(-LN(2)/35)*Z166+(1-EXP(-LN(2)/35))/(LN(2)/35)*V167*W167*VLOOKUP('Données projet'!$B$9,Paramètres!$A$1:$I$89,3,0)*0.475*44/12</f>
        <v>#VALUE!</v>
      </c>
      <c r="AA167" s="23" t="e">
        <f>EXP(-LN(2)/25)*AA166+(1-EXP(-LN(2)/25))/(LN(2)/25)*Calculateur!V167*Calculateur!X167*VLOOKUP('Données projet'!$B$9,Paramètres!$A$1:$I$89,3,0)*0.475*44/12</f>
        <v>#VALUE!</v>
      </c>
      <c r="AB167" s="23" t="e">
        <f>EXP(-LN(2)/2)*AB166+(1-EXP(-LN(2)/2))/(LN(2)/2)*V167*Y167*VLOOKUP('Données projet'!$B$9,Paramètres!$A$1:$I$89,3,0)*0.475*44/12</f>
        <v>#VALUE!</v>
      </c>
      <c r="AC167" s="24" t="e">
        <f t="shared" si="163"/>
        <v>#VALUE!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68.89437093169299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149.52545095126411</v>
      </c>
      <c r="AO167" s="62">
        <f t="shared" si="144"/>
        <v>457.9161829331029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3.4245455102270523</v>
      </c>
      <c r="AV167" s="23">
        <f>EXP(-LN(2)/25)*AV166+(1-EXP(-LN(2)/25))/(LN(2)/25)*Calculateur!AQ167*Calculateur!AS167*VLOOKUP('Données projet'!$B$10,Paramètres!$A$1:$I$89,3,0)*0.475*44/12</f>
        <v>0.47564247253948655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3.9001879827665391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68.89437093169299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-3.4106051316484809E-13</v>
      </c>
      <c r="BE167" s="14">
        <f>BD167*VLOOKUP('Données projet'!$B$11,Paramètres!$A$1:$I$89,3,0)*VLOOKUP('Données projet'!$B$11,Paramètres!$A$1:$I$89,5,0)</f>
        <v>-3.4583536034915599E-13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408.82357969905803</v>
      </c>
      <c r="BJ167" s="62">
        <f t="shared" si="146"/>
        <v>263.2013060831145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61.598841876228853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61.598841876228853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68.89437093169299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2.8421709430404007E-13</v>
      </c>
      <c r="BZ167" s="14">
        <f>BY167*VLOOKUP('Données projet'!$B$12,Paramètres!$A$1:$I$89,3,0)*VLOOKUP('Données projet'!$B$12,Paramètres!$A$1:$I$89,5,0)</f>
        <v>2.7046098693972454E-13</v>
      </c>
      <c r="CA167" s="14">
        <f t="shared" si="170"/>
        <v>3.6187594451142911E-12</v>
      </c>
      <c r="CB167" s="22">
        <f t="shared" si="171"/>
        <v>6.7737255858274096E-12</v>
      </c>
      <c r="CC167" s="62">
        <f t="shared" si="119"/>
        <v>289.27936008288106</v>
      </c>
      <c r="CD167" s="62">
        <f ca="1">AVERAGE(OFFSET($CC$3,0,0,'Données projet'!$E$12+1,1))-AVERAGE(OFFSET($H$3,0,0,'Données projet'!$E$12+1,1))</f>
        <v>451.95887041951761</v>
      </c>
      <c r="CE167" s="62">
        <f t="shared" si="148"/>
        <v>311.32964503257341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74.526519217560477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74.526519217560477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68.89437093169299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68.89437093169299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68.89437093169299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68.89437093169299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68.89437093169299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68.89437093169299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3.9000000000000004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23.474879999999931</v>
      </c>
      <c r="D168" s="12">
        <f t="shared" si="140"/>
        <v>7.49233542715689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50.259227474944574</v>
      </c>
      <c r="H168" s="70">
        <f t="shared" si="110"/>
        <v>253.40123353563146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68.913551124211821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-1.3596945791505279E-13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251.99201350544561</v>
      </c>
      <c r="T168" s="62">
        <f t="shared" si="142"/>
        <v>366.66533117979162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 t="e">
        <f>EXP(-LN(2)/35)*Z167+(1-EXP(-LN(2)/35))/(LN(2)/35)*V168*W168*VLOOKUP('Données projet'!$B$9,Paramètres!$A$1:$I$89,3,0)*0.475*44/12</f>
        <v>#VALUE!</v>
      </c>
      <c r="AA168" s="23" t="e">
        <f>EXP(-LN(2)/25)*AA167+(1-EXP(-LN(2)/25))/(LN(2)/25)*Calculateur!V168*Calculateur!X168*VLOOKUP('Données projet'!$B$9,Paramètres!$A$1:$I$89,3,0)*0.475*44/12</f>
        <v>#VALUE!</v>
      </c>
      <c r="AB168" s="23" t="e">
        <f>EXP(-LN(2)/2)*AB167+(1-EXP(-LN(2)/2))/(LN(2)/2)*V168*Y168*VLOOKUP('Données projet'!$B$9,Paramètres!$A$1:$I$89,3,0)*0.475*44/12</f>
        <v>#VALUE!</v>
      </c>
      <c r="AC168" s="24" t="e">
        <f t="shared" si="163"/>
        <v>#VALUE!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68.913551124211821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149.52545095126411</v>
      </c>
      <c r="AO168" s="62">
        <f t="shared" si="144"/>
        <v>457.9161829331029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3.3573922615380125</v>
      </c>
      <c r="AV168" s="23">
        <f>EXP(-LN(2)/25)*AV167+(1-EXP(-LN(2)/25))/(LN(2)/25)*Calculateur!AQ168*Calculateur!AS168*VLOOKUP('Données projet'!$B$10,Paramètres!$A$1:$I$89,3,0)*0.475*44/12</f>
        <v>0.46263600411494377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3.8200282656529563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68.913551124211821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-3.4106051316484809E-13</v>
      </c>
      <c r="BE168" s="14">
        <f>BD168*VLOOKUP('Données projet'!$B$11,Paramètres!$A$1:$I$89,3,0)*VLOOKUP('Données projet'!$B$11,Paramètres!$A$1:$I$89,5,0)</f>
        <v>-3.4583536034915599E-13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408.82357969905803</v>
      </c>
      <c r="BJ168" s="62">
        <f t="shared" si="146"/>
        <v>263.2013060831145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60.390926158619664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60.390926158619664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68.913551124211821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2.8421709430404007E-13</v>
      </c>
      <c r="BZ168" s="14">
        <f>BY168*VLOOKUP('Données projet'!$B$12,Paramètres!$A$1:$I$89,3,0)*VLOOKUP('Données projet'!$B$12,Paramètres!$A$1:$I$89,5,0)</f>
        <v>2.7046098693972454E-13</v>
      </c>
      <c r="CA168" s="14">
        <f t="shared" si="170"/>
        <v>3.6187594451142911E-12</v>
      </c>
      <c r="CB168" s="22">
        <f t="shared" si="171"/>
        <v>6.7737255858274096E-12</v>
      </c>
      <c r="CC168" s="62">
        <f t="shared" si="119"/>
        <v>289.34968745545012</v>
      </c>
      <c r="CD168" s="62">
        <f ca="1">AVERAGE(OFFSET($CC$3,0,0,'Données projet'!$E$12+1,1))-AVERAGE(OFFSET($H$3,0,0,'Données projet'!$E$12+1,1))</f>
        <v>451.95887041951761</v>
      </c>
      <c r="CE168" s="62">
        <f t="shared" si="148"/>
        <v>311.32964503257341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73.065099632392361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73.065099632392361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68.913551124211821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68.913551124211821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68.913551124211821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68.913551124211821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68.913551124211821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68.913551124211821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3.9000000000000004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23.61715199999993</v>
      </c>
      <c r="D169" s="12">
        <f t="shared" si="140"/>
        <v>7.5324438980559512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50.484483354791827</v>
      </c>
      <c r="H169" s="70">
        <f t="shared" si="110"/>
        <v>253.71887952244734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68.932398583270938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-1.3596945791505279E-13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251.99201350544561</v>
      </c>
      <c r="T169" s="62">
        <f t="shared" si="142"/>
        <v>366.66533117979162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 t="e">
        <f>EXP(-LN(2)/35)*Z168+(1-EXP(-LN(2)/35))/(LN(2)/35)*V169*W169*VLOOKUP('Données projet'!$B$9,Paramètres!$A$1:$I$89,3,0)*0.475*44/12</f>
        <v>#VALUE!</v>
      </c>
      <c r="AA169" s="23" t="e">
        <f>EXP(-LN(2)/25)*AA168+(1-EXP(-LN(2)/25))/(LN(2)/25)*Calculateur!V169*Calculateur!X169*VLOOKUP('Données projet'!$B$9,Paramètres!$A$1:$I$89,3,0)*0.475*44/12</f>
        <v>#VALUE!</v>
      </c>
      <c r="AB169" s="23" t="e">
        <f>EXP(-LN(2)/2)*AB168+(1-EXP(-LN(2)/2))/(LN(2)/2)*V169*Y169*VLOOKUP('Données projet'!$B$9,Paramètres!$A$1:$I$89,3,0)*0.475*44/12</f>
        <v>#VALUE!</v>
      </c>
      <c r="AC169" s="24" t="e">
        <f t="shared" si="163"/>
        <v>#VALUE!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68.932398583270938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149.52545095126411</v>
      </c>
      <c r="AO169" s="62">
        <f t="shared" si="144"/>
        <v>457.9161829331029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3.2915558470963275</v>
      </c>
      <c r="AV169" s="23">
        <f>EXP(-LN(2)/25)*AV168+(1-EXP(-LN(2)/25))/(LN(2)/25)*Calculateur!AQ169*Calculateur!AS169*VLOOKUP('Données projet'!$B$10,Paramètres!$A$1:$I$89,3,0)*0.475*44/12</f>
        <v>0.44998519825345057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3.7415410453497779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68.932398583270938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-3.4106051316484809E-13</v>
      </c>
      <c r="BE169" s="14">
        <f>BD169*VLOOKUP('Données projet'!$B$11,Paramètres!$A$1:$I$89,3,0)*VLOOKUP('Données projet'!$B$11,Paramètres!$A$1:$I$89,5,0)</f>
        <v>-3.4583536034915599E-13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408.82357969905803</v>
      </c>
      <c r="BJ169" s="62">
        <f t="shared" si="146"/>
        <v>263.2013060831145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59.206696931476948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59.206696931476948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68.932398583270938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2.8421709430404007E-13</v>
      </c>
      <c r="BZ169" s="14">
        <f>BY169*VLOOKUP('Données projet'!$B$12,Paramètres!$A$1:$I$89,3,0)*VLOOKUP('Données projet'!$B$12,Paramètres!$A$1:$I$89,5,0)</f>
        <v>2.7046098693972454E-13</v>
      </c>
      <c r="CA169" s="14">
        <f t="shared" si="170"/>
        <v>3.6187594451142911E-12</v>
      </c>
      <c r="CB169" s="22">
        <f t="shared" si="171"/>
        <v>6.7737255858274096E-12</v>
      </c>
      <c r="CC169" s="62">
        <f t="shared" si="119"/>
        <v>289.4187948053335</v>
      </c>
      <c r="CD169" s="62">
        <f ca="1">AVERAGE(OFFSET($CC$3,0,0,'Données projet'!$E$12+1,1))-AVERAGE(OFFSET($H$3,0,0,'Données projet'!$E$12+1,1))</f>
        <v>451.95887041951761</v>
      </c>
      <c r="CE169" s="62">
        <f t="shared" si="148"/>
        <v>311.32964503257341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71.632337593911458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71.632337593911458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68.932398583270938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68.932398583270938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68.932398583270938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68.932398583270938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68.932398583270938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68.932398583270938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3.9000000000000004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23.759423999999928</v>
      </c>
      <c r="D170" s="12">
        <f t="shared" si="140"/>
        <v>7.5725242543801743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50.709704510672971</v>
      </c>
      <c r="H170" s="70">
        <f t="shared" si="110"/>
        <v>254.03647654304535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68.950919081051993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-1.3596945791505279E-13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251.99201350544561</v>
      </c>
      <c r="T170" s="62">
        <f t="shared" si="142"/>
        <v>366.66533117979162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 t="e">
        <f>EXP(-LN(2)/35)*Z169+(1-EXP(-LN(2)/35))/(LN(2)/35)*V170*W170*VLOOKUP('Données projet'!$B$9,Paramètres!$A$1:$I$89,3,0)*0.475*44/12</f>
        <v>#VALUE!</v>
      </c>
      <c r="AA170" s="23" t="e">
        <f>EXP(-LN(2)/25)*AA169+(1-EXP(-LN(2)/25))/(LN(2)/25)*Calculateur!V170*Calculateur!X170*VLOOKUP('Données projet'!$B$9,Paramètres!$A$1:$I$89,3,0)*0.475*44/12</f>
        <v>#VALUE!</v>
      </c>
      <c r="AB170" s="23" t="e">
        <f>EXP(-LN(2)/2)*AB169+(1-EXP(-LN(2)/2))/(LN(2)/2)*V170*Y170*VLOOKUP('Données projet'!$B$9,Paramètres!$A$1:$I$89,3,0)*0.475*44/12</f>
        <v>#VALUE!</v>
      </c>
      <c r="AC170" s="24" t="e">
        <f t="shared" si="163"/>
        <v>#VALUE!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68.950919081051993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149.52545095126411</v>
      </c>
      <c r="AO170" s="62">
        <f t="shared" si="144"/>
        <v>457.9161829331029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3.2270104445855963</v>
      </c>
      <c r="AV170" s="23">
        <f>EXP(-LN(2)/25)*AV169+(1-EXP(-LN(2)/25))/(LN(2)/25)*Calculateur!AQ170*Calculateur!AS170*VLOOKUP('Données projet'!$B$10,Paramètres!$A$1:$I$89,3,0)*0.475*44/12</f>
        <v>0.43768032934351686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3.664690773929113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68.950919081051993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-3.4106051316484809E-13</v>
      </c>
      <c r="BE170" s="14">
        <f>BD170*VLOOKUP('Données projet'!$B$11,Paramètres!$A$1:$I$89,3,0)*VLOOKUP('Données projet'!$B$11,Paramètres!$A$1:$I$89,5,0)</f>
        <v>-3.4583536034915599E-13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408.82357969905803</v>
      </c>
      <c r="BJ170" s="62">
        <f t="shared" si="146"/>
        <v>263.2013060831145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58.045689717169999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58.045689717169999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68.950919081051993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2.8421709430404007E-13</v>
      </c>
      <c r="BZ170" s="14">
        <f>BY170*VLOOKUP('Données projet'!$B$12,Paramètres!$A$1:$I$89,3,0)*VLOOKUP('Données projet'!$B$12,Paramètres!$A$1:$I$89,5,0)</f>
        <v>2.7046098693972454E-13</v>
      </c>
      <c r="CA170" s="14">
        <f t="shared" si="170"/>
        <v>3.6187594451142911E-12</v>
      </c>
      <c r="CB170" s="22">
        <f t="shared" si="171"/>
        <v>6.7737255858274096E-12</v>
      </c>
      <c r="CC170" s="62">
        <f t="shared" si="119"/>
        <v>289.48670329719744</v>
      </c>
      <c r="CD170" s="62">
        <f ca="1">AVERAGE(OFFSET($CC$3,0,0,'Données projet'!$E$12+1,1))-AVERAGE(OFFSET($H$3,0,0,'Données projet'!$E$12+1,1))</f>
        <v>451.95887041951761</v>
      </c>
      <c r="CE170" s="62">
        <f t="shared" si="148"/>
        <v>311.32964503257341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70.227671145106612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70.227671145106612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68.950919081051993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68.950919081051993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68.950919081051993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68.950919081051993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68.950919081051993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68.950919081051993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3.9000000000000004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23.901695999999927</v>
      </c>
      <c r="D171" s="12">
        <f t="shared" si="140"/>
        <v>7.6125766840130957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50.934891174640647</v>
      </c>
      <c r="H171" s="70">
        <f t="shared" si="110"/>
        <v>254.35402492465602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68.969118289602164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-1.3596945791505279E-13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251.99201350544561</v>
      </c>
      <c r="T171" s="62">
        <f t="shared" si="142"/>
        <v>366.66533117979162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 t="e">
        <f>EXP(-LN(2)/35)*Z170+(1-EXP(-LN(2)/35))/(LN(2)/35)*V171*W171*VLOOKUP('Données projet'!$B$9,Paramètres!$A$1:$I$89,3,0)*0.475*44/12</f>
        <v>#VALUE!</v>
      </c>
      <c r="AA171" s="23" t="e">
        <f>EXP(-LN(2)/25)*AA170+(1-EXP(-LN(2)/25))/(LN(2)/25)*Calculateur!V171*Calculateur!X171*VLOOKUP('Données projet'!$B$9,Paramètres!$A$1:$I$89,3,0)*0.475*44/12</f>
        <v>#VALUE!</v>
      </c>
      <c r="AB171" s="23" t="e">
        <f>EXP(-LN(2)/2)*AB170+(1-EXP(-LN(2)/2))/(LN(2)/2)*V171*Y171*VLOOKUP('Données projet'!$B$9,Paramètres!$A$1:$I$89,3,0)*0.475*44/12</f>
        <v>#VALUE!</v>
      </c>
      <c r="AC171" s="24" t="e">
        <f t="shared" si="163"/>
        <v>#VALUE!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68.969118289602164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149.52545095126411</v>
      </c>
      <c r="AO171" s="62">
        <f t="shared" si="144"/>
        <v>457.9161829331029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3.1637307380492921</v>
      </c>
      <c r="AV171" s="23">
        <f>EXP(-LN(2)/25)*AV170+(1-EXP(-LN(2)/25))/(LN(2)/25)*Calculateur!AQ171*Calculateur!AS171*VLOOKUP('Données projet'!$B$10,Paramètres!$A$1:$I$89,3,0)*0.475*44/12</f>
        <v>0.42571193772101018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3.5894426757703024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68.969118289602164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-3.4106051316484809E-13</v>
      </c>
      <c r="BE171" s="14">
        <f>BD171*VLOOKUP('Données projet'!$B$11,Paramètres!$A$1:$I$89,3,0)*VLOOKUP('Données projet'!$B$11,Paramètres!$A$1:$I$89,5,0)</f>
        <v>-3.4583536034915599E-13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408.82357969905803</v>
      </c>
      <c r="BJ171" s="62">
        <f t="shared" si="146"/>
        <v>263.2013060831145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56.907449146191134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56.907449146191134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68.969118289602164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2.8421709430404007E-13</v>
      </c>
      <c r="BZ171" s="14">
        <f>BY171*VLOOKUP('Données projet'!$B$12,Paramètres!$A$1:$I$89,3,0)*VLOOKUP('Données projet'!$B$12,Paramètres!$A$1:$I$89,5,0)</f>
        <v>2.7046098693972454E-13</v>
      </c>
      <c r="CA171" s="14">
        <f t="shared" si="170"/>
        <v>3.6187594451142911E-12</v>
      </c>
      <c r="CB171" s="22">
        <f t="shared" si="171"/>
        <v>6.7737255858274096E-12</v>
      </c>
      <c r="CC171" s="62">
        <f t="shared" si="119"/>
        <v>289.55343372854804</v>
      </c>
      <c r="CD171" s="62">
        <f ca="1">AVERAGE(OFFSET($CC$3,0,0,'Données projet'!$E$12+1,1))-AVERAGE(OFFSET($H$3,0,0,'Données projet'!$E$12+1,1))</f>
        <v>451.95887041951761</v>
      </c>
      <c r="CE171" s="62">
        <f t="shared" si="148"/>
        <v>311.32964503257341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68.850549348600893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68.850549348600893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68.969118289602164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68.969118289602164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68.969118289602164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68.969118289602164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68.969118289602164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68.969118289602164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3.9000000000000004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24.043967999999925</v>
      </c>
      <c r="D172" s="12">
        <f t="shared" si="140"/>
        <v>7.6526013724721507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51.160043575825163</v>
      </c>
      <c r="H172" s="70">
        <f t="shared" si="110"/>
        <v>254.67152499038886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68.98700178257134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-1.3596945791505279E-13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251.99201350544561</v>
      </c>
      <c r="T172" s="62">
        <f t="shared" si="142"/>
        <v>366.66533117979162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 t="e">
        <f>EXP(-LN(2)/35)*Z171+(1-EXP(-LN(2)/35))/(LN(2)/35)*V172*W172*VLOOKUP('Données projet'!$B$9,Paramètres!$A$1:$I$89,3,0)*0.475*44/12</f>
        <v>#VALUE!</v>
      </c>
      <c r="AA172" s="23" t="e">
        <f>EXP(-LN(2)/25)*AA171+(1-EXP(-LN(2)/25))/(LN(2)/25)*Calculateur!V172*Calculateur!X172*VLOOKUP('Données projet'!$B$9,Paramètres!$A$1:$I$89,3,0)*0.475*44/12</f>
        <v>#VALUE!</v>
      </c>
      <c r="AB172" s="23" t="e">
        <f>EXP(-LN(2)/2)*AB171+(1-EXP(-LN(2)/2))/(LN(2)/2)*V172*Y172*VLOOKUP('Données projet'!$B$9,Paramètres!$A$1:$I$89,3,0)*0.475*44/12</f>
        <v>#VALUE!</v>
      </c>
      <c r="AC172" s="24" t="e">
        <f t="shared" si="163"/>
        <v>#VALUE!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68.98700178257134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149.52545095126411</v>
      </c>
      <c r="AO172" s="62">
        <f t="shared" si="144"/>
        <v>457.9161829331029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3.1016919079613552</v>
      </c>
      <c r="AV172" s="23">
        <f>EXP(-LN(2)/25)*AV171+(1-EXP(-LN(2)/25))/(LN(2)/25)*Calculateur!AQ172*Calculateur!AS172*VLOOKUP('Données projet'!$B$10,Paramètres!$A$1:$I$89,3,0)*0.475*44/12</f>
        <v>0.41407082239681131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3.5157627303581664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68.98700178257134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-3.4106051316484809E-13</v>
      </c>
      <c r="BE172" s="14">
        <f>BD172*VLOOKUP('Données projet'!$B$11,Paramètres!$A$1:$I$89,3,0)*VLOOKUP('Données projet'!$B$11,Paramètres!$A$1:$I$89,5,0)</f>
        <v>-3.4583536034915599E-13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408.82357969905803</v>
      </c>
      <c r="BJ172" s="62">
        <f t="shared" si="146"/>
        <v>263.2013060831145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55.791528778550962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55.791528778550962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68.98700178257134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2.8421709430404007E-13</v>
      </c>
      <c r="BZ172" s="14">
        <f>BY172*VLOOKUP('Données projet'!$B$12,Paramètres!$A$1:$I$89,3,0)*VLOOKUP('Données projet'!$B$12,Paramètres!$A$1:$I$89,5,0)</f>
        <v>2.7046098693972454E-13</v>
      </c>
      <c r="CA172" s="14">
        <f t="shared" si="170"/>
        <v>3.6187594451142911E-12</v>
      </c>
      <c r="CB172" s="22">
        <f t="shared" si="171"/>
        <v>6.7737255858274096E-12</v>
      </c>
      <c r="CC172" s="62">
        <f t="shared" si="119"/>
        <v>289.61900653610167</v>
      </c>
      <c r="CD172" s="62">
        <f ca="1">AVERAGE(OFFSET($CC$3,0,0,'Données projet'!$E$12+1,1))-AVERAGE(OFFSET($H$3,0,0,'Données projet'!$E$12+1,1))</f>
        <v>451.95887041951761</v>
      </c>
      <c r="CE172" s="62">
        <f t="shared" si="148"/>
        <v>311.32964503257341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67.500432070563306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67.500432070563306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68.98700178257134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68.98700178257134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68.98700178257134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68.98700178257134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68.98700178257134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68.98700178257134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3.9000000000000004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24.186239999999923</v>
      </c>
      <c r="D173" s="12">
        <f t="shared" si="140"/>
        <v>7.6925985029522854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51.385161940488345</v>
      </c>
      <c r="H173" s="70">
        <f t="shared" si="110"/>
        <v>254.98897705930844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69.004575036918993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-1.3596945791505279E-13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251.99201350544561</v>
      </c>
      <c r="T173" s="62">
        <f t="shared" si="142"/>
        <v>366.66533117979162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 t="e">
        <f>EXP(-LN(2)/35)*Z172+(1-EXP(-LN(2)/35))/(LN(2)/35)*V173*W173*VLOOKUP('Données projet'!$B$9,Paramètres!$A$1:$I$89,3,0)*0.475*44/12</f>
        <v>#VALUE!</v>
      </c>
      <c r="AA173" s="23" t="e">
        <f>EXP(-LN(2)/25)*AA172+(1-EXP(-LN(2)/25))/(LN(2)/25)*Calculateur!V173*Calculateur!X173*VLOOKUP('Données projet'!$B$9,Paramètres!$A$1:$I$89,3,0)*0.475*44/12</f>
        <v>#VALUE!</v>
      </c>
      <c r="AB173" s="23" t="e">
        <f>EXP(-LN(2)/2)*AB172+(1-EXP(-LN(2)/2))/(LN(2)/2)*V173*Y173*VLOOKUP('Données projet'!$B$9,Paramètres!$A$1:$I$89,3,0)*0.475*44/12</f>
        <v>#VALUE!</v>
      </c>
      <c r="AC173" s="24" t="e">
        <f t="shared" si="163"/>
        <v>#VALUE!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69.004575036918993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149.52545095126411</v>
      </c>
      <c r="AO173" s="62">
        <f t="shared" si="144"/>
        <v>457.9161829331029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3.0408696214914928</v>
      </c>
      <c r="AV173" s="23">
        <f>EXP(-LN(2)/25)*AV172+(1-EXP(-LN(2)/25))/(LN(2)/25)*Calculateur!AQ173*Calculateur!AS173*VLOOKUP('Données projet'!$B$10,Paramètres!$A$1:$I$89,3,0)*0.475*44/12</f>
        <v>0.40274803398333231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3.4436176554748252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69.004575036918993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-3.4106051316484809E-13</v>
      </c>
      <c r="BE173" s="14">
        <f>BD173*VLOOKUP('Données projet'!$B$11,Paramètres!$A$1:$I$89,3,0)*VLOOKUP('Données projet'!$B$11,Paramètres!$A$1:$I$89,5,0)</f>
        <v>-3.4583536034915599E-13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408.82357969905803</v>
      </c>
      <c r="BJ173" s="62">
        <f t="shared" si="146"/>
        <v>263.2013060831145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54.697490928676004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54.697490928676004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69.004575036918993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2.8421709430404007E-13</v>
      </c>
      <c r="BZ173" s="14">
        <f>BY173*VLOOKUP('Données projet'!$B$12,Paramètres!$A$1:$I$89,3,0)*VLOOKUP('Données projet'!$B$12,Paramètres!$A$1:$I$89,5,0)</f>
        <v>2.7046098693972454E-13</v>
      </c>
      <c r="CA173" s="14">
        <f t="shared" si="170"/>
        <v>3.6187594451142911E-12</v>
      </c>
      <c r="CB173" s="22">
        <f t="shared" si="171"/>
        <v>6.7737255858274096E-12</v>
      </c>
      <c r="CC173" s="62">
        <f t="shared" si="119"/>
        <v>289.68344180204303</v>
      </c>
      <c r="CD173" s="62">
        <f ca="1">AVERAGE(OFFSET($CC$3,0,0,'Données projet'!$E$12+1,1))-AVERAGE(OFFSET($H$3,0,0,'Données projet'!$E$12+1,1))</f>
        <v>451.95887041951761</v>
      </c>
      <c r="CE173" s="62">
        <f t="shared" si="148"/>
        <v>311.32964503257341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66.176789768857802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66.176789768857802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69.004575036918993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69.004575036918993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69.004575036918993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69.004575036918993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69.004575036918993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69.004575036918993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3.9000000000000004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24.328511999999922</v>
      </c>
      <c r="D174" s="12">
        <f t="shared" si="140"/>
        <v>7.7325682563685163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51.610246492076108</v>
      </c>
      <c r="H174" s="70">
        <f t="shared" si="110"/>
        <v>255.30638144650837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69.021843434591631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-1.3596945791505279E-13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251.99201350544561</v>
      </c>
      <c r="T174" s="62">
        <f t="shared" si="142"/>
        <v>366.66533117979162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 t="e">
        <f>EXP(-LN(2)/35)*Z173+(1-EXP(-LN(2)/35))/(LN(2)/35)*V174*W174*VLOOKUP('Données projet'!$B$9,Paramètres!$A$1:$I$89,3,0)*0.475*44/12</f>
        <v>#VALUE!</v>
      </c>
      <c r="AA174" s="23" t="e">
        <f>EXP(-LN(2)/25)*AA173+(1-EXP(-LN(2)/25))/(LN(2)/25)*Calculateur!V174*Calculateur!X174*VLOOKUP('Données projet'!$B$9,Paramètres!$A$1:$I$89,3,0)*0.475*44/12</f>
        <v>#VALUE!</v>
      </c>
      <c r="AB174" s="23" t="e">
        <f>EXP(-LN(2)/2)*AB173+(1-EXP(-LN(2)/2))/(LN(2)/2)*V174*Y174*VLOOKUP('Données projet'!$B$9,Paramètres!$A$1:$I$89,3,0)*0.475*44/12</f>
        <v>#VALUE!</v>
      </c>
      <c r="AC174" s="24" t="e">
        <f t="shared" si="163"/>
        <v>#VALUE!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69.021843434591631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149.52545095126411</v>
      </c>
      <c r="AO174" s="62">
        <f t="shared" si="144"/>
        <v>457.9161829331029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2.9812400229613725</v>
      </c>
      <c r="AV174" s="23">
        <f>EXP(-LN(2)/25)*AV173+(1-EXP(-LN(2)/25))/(LN(2)/25)*Calculateur!AQ174*Calculateur!AS174*VLOOKUP('Données projet'!$B$10,Paramètres!$A$1:$I$89,3,0)*0.475*44/12</f>
        <v>0.39173486781445949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3.3729748907758319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69.021843434591631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-3.4106051316484809E-13</v>
      </c>
      <c r="BE174" s="14">
        <f>BD174*VLOOKUP('Données projet'!$B$11,Paramètres!$A$1:$I$89,3,0)*VLOOKUP('Données projet'!$B$11,Paramètres!$A$1:$I$89,5,0)</f>
        <v>-3.4583536034915599E-13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408.82357969905803</v>
      </c>
      <c r="BJ174" s="62">
        <f t="shared" si="146"/>
        <v>263.2013060831145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53.624906493739893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53.624906493739893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69.021843434591631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2.8421709430404007E-13</v>
      </c>
      <c r="BZ174" s="14">
        <f>BY174*VLOOKUP('Données projet'!$B$12,Paramètres!$A$1:$I$89,3,0)*VLOOKUP('Données projet'!$B$12,Paramètres!$A$1:$I$89,5,0)</f>
        <v>2.7046098693972454E-13</v>
      </c>
      <c r="CA174" s="14">
        <f t="shared" si="170"/>
        <v>3.6187594451142911E-12</v>
      </c>
      <c r="CB174" s="22">
        <f t="shared" si="171"/>
        <v>6.7737255858274096E-12</v>
      </c>
      <c r="CC174" s="62">
        <f t="shared" si="119"/>
        <v>289.74675926017608</v>
      </c>
      <c r="CD174" s="62">
        <f ca="1">AVERAGE(OFFSET($CC$3,0,0,'Données projet'!$E$12+1,1))-AVERAGE(OFFSET($H$3,0,0,'Données projet'!$E$12+1,1))</f>
        <v>451.95887041951761</v>
      </c>
      <c r="CE174" s="62">
        <f t="shared" si="148"/>
        <v>311.32964503257341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64.879103285346659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64.879103285346659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69.021843434591631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69.021843434591631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69.021843434591631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69.021843434591631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69.021843434591631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69.021843434591631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3.9000000000000004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24.47078399999992</v>
      </c>
      <c r="D175" s="12">
        <f t="shared" si="140"/>
        <v>7.7725108113974688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51.835297451269767</v>
      </c>
      <c r="H175" s="70">
        <f t="shared" si="110"/>
        <v>255.6237384631838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69.038812264170986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-1.3596945791505279E-13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251.99201350544561</v>
      </c>
      <c r="T175" s="62">
        <f t="shared" si="142"/>
        <v>366.66533117979162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 t="e">
        <f>EXP(-LN(2)/35)*Z174+(1-EXP(-LN(2)/35))/(LN(2)/35)*V175*W175*VLOOKUP('Données projet'!$B$9,Paramètres!$A$1:$I$89,3,0)*0.475*44/12</f>
        <v>#VALUE!</v>
      </c>
      <c r="AA175" s="23" t="e">
        <f>EXP(-LN(2)/25)*AA174+(1-EXP(-LN(2)/25))/(LN(2)/25)*Calculateur!V175*Calculateur!X175*VLOOKUP('Données projet'!$B$9,Paramètres!$A$1:$I$89,3,0)*0.475*44/12</f>
        <v>#VALUE!</v>
      </c>
      <c r="AB175" s="23" t="e">
        <f>EXP(-LN(2)/2)*AB174+(1-EXP(-LN(2)/2))/(LN(2)/2)*V175*Y175*VLOOKUP('Données projet'!$B$9,Paramètres!$A$1:$I$89,3,0)*0.475*44/12</f>
        <v>#VALUE!</v>
      </c>
      <c r="AC175" s="24" t="e">
        <f t="shared" si="163"/>
        <v>#VALUE!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69.038812264170986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149.52545095126411</v>
      </c>
      <c r="AO175" s="62">
        <f t="shared" si="144"/>
        <v>457.9161829331029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2.9227797244879641</v>
      </c>
      <c r="AV175" s="23">
        <f>EXP(-LN(2)/25)*AV174+(1-EXP(-LN(2)/25))/(LN(2)/25)*Calculateur!AQ175*Calculateur!AS175*VLOOKUP('Données projet'!$B$10,Paramètres!$A$1:$I$89,3,0)*0.475*44/12</f>
        <v>0.38102285725363172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3.3038025817415959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69.038812264170986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-3.4106051316484809E-13</v>
      </c>
      <c r="BE175" s="14">
        <f>BD175*VLOOKUP('Données projet'!$B$11,Paramètres!$A$1:$I$89,3,0)*VLOOKUP('Données projet'!$B$11,Paramètres!$A$1:$I$89,5,0)</f>
        <v>-3.4583536034915599E-13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408.82357969905803</v>
      </c>
      <c r="BJ175" s="62">
        <f t="shared" si="146"/>
        <v>263.2013060831145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52.573354785360969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52.573354785360969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69.038812264170986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2.8421709430404007E-13</v>
      </c>
      <c r="BZ175" s="14">
        <f>BY175*VLOOKUP('Données projet'!$B$12,Paramètres!$A$1:$I$89,3,0)*VLOOKUP('Données projet'!$B$12,Paramètres!$A$1:$I$89,5,0)</f>
        <v>2.7046098693972454E-13</v>
      </c>
      <c r="CA175" s="14">
        <f t="shared" si="170"/>
        <v>3.6187594451142911E-12</v>
      </c>
      <c r="CB175" s="22">
        <f t="shared" si="171"/>
        <v>6.7737255858274096E-12</v>
      </c>
      <c r="CC175" s="62">
        <f t="shared" si="119"/>
        <v>289.80897830196704</v>
      </c>
      <c r="CD175" s="62">
        <f ca="1">AVERAGE(OFFSET($CC$3,0,0,'Données projet'!$E$12+1,1))-AVERAGE(OFFSET($H$3,0,0,'Données projet'!$E$12+1,1))</f>
        <v>451.95887041951761</v>
      </c>
      <c r="CE175" s="62">
        <f t="shared" si="148"/>
        <v>311.32964503257341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63.606863642266568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63.606863642266568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69.038812264170986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69.038812264170986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69.038812264170986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69.038812264170986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69.038812264170986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69.038812264170986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3.9000000000000004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24.613055999999919</v>
      </c>
      <c r="D176" s="12">
        <f t="shared" si="140"/>
        <v>7.8124263445179309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52.06031503603608</v>
      </c>
      <c r="H176" s="70">
        <f t="shared" si="110"/>
        <v>255.9410484167019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69.055486722493768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-1.3596945791505279E-13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251.99201350544561</v>
      </c>
      <c r="T176" s="62">
        <f t="shared" si="142"/>
        <v>366.66533117979162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 t="e">
        <f>EXP(-LN(2)/35)*Z175+(1-EXP(-LN(2)/35))/(LN(2)/35)*V176*W176*VLOOKUP('Données projet'!$B$9,Paramètres!$A$1:$I$89,3,0)*0.475*44/12</f>
        <v>#VALUE!</v>
      </c>
      <c r="AA176" s="23" t="e">
        <f>EXP(-LN(2)/25)*AA175+(1-EXP(-LN(2)/25))/(LN(2)/25)*Calculateur!V176*Calculateur!X176*VLOOKUP('Données projet'!$B$9,Paramètres!$A$1:$I$89,3,0)*0.475*44/12</f>
        <v>#VALUE!</v>
      </c>
      <c r="AB176" s="23" t="e">
        <f>EXP(-LN(2)/2)*AB175+(1-EXP(-LN(2)/2))/(LN(2)/2)*V176*Y176*VLOOKUP('Données projet'!$B$9,Paramètres!$A$1:$I$89,3,0)*0.475*44/12</f>
        <v>#VALUE!</v>
      </c>
      <c r="AC176" s="24" t="e">
        <f t="shared" si="163"/>
        <v>#VALUE!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69.055486722493768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149.52545095126411</v>
      </c>
      <c r="AO176" s="62">
        <f t="shared" si="144"/>
        <v>457.9161829331029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2.8654657968103581</v>
      </c>
      <c r="AV176" s="23">
        <f>EXP(-LN(2)/25)*AV175+(1-EXP(-LN(2)/25))/(LN(2)/25)*Calculateur!AQ176*Calculateur!AS176*VLOOKUP('Données projet'!$B$10,Paramètres!$A$1:$I$89,3,0)*0.475*44/12</f>
        <v>0.37060376718490995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3.2360695639952679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69.055486722493768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-3.4106051316484809E-13</v>
      </c>
      <c r="BE176" s="14">
        <f>BD176*VLOOKUP('Données projet'!$B$11,Paramètres!$A$1:$I$89,3,0)*VLOOKUP('Données projet'!$B$11,Paramètres!$A$1:$I$89,5,0)</f>
        <v>-3.4583536034915599E-13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408.82357969905803</v>
      </c>
      <c r="BJ176" s="62">
        <f t="shared" si="146"/>
        <v>263.2013060831145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51.542423364600147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51.542423364600147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69.055486722493768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2.8421709430404007E-13</v>
      </c>
      <c r="BZ176" s="14">
        <f>BY176*VLOOKUP('Données projet'!$B$12,Paramètres!$A$1:$I$89,3,0)*VLOOKUP('Données projet'!$B$12,Paramètres!$A$1:$I$89,5,0)</f>
        <v>2.7046098693972454E-13</v>
      </c>
      <c r="CA176" s="14">
        <f t="shared" si="170"/>
        <v>3.6187594451142911E-12</v>
      </c>
      <c r="CB176" s="22">
        <f t="shared" si="171"/>
        <v>6.7737255858274096E-12</v>
      </c>
      <c r="CC176" s="62">
        <f t="shared" si="119"/>
        <v>289.87011798248392</v>
      </c>
      <c r="CD176" s="62">
        <f ca="1">AVERAGE(OFFSET($CC$3,0,0,'Données projet'!$E$12+1,1))-AVERAGE(OFFSET($H$3,0,0,'Données projet'!$E$12+1,1))</f>
        <v>451.95887041951761</v>
      </c>
      <c r="CE176" s="62">
        <f t="shared" si="148"/>
        <v>311.32964503257341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62.359571842597717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62.359571842597717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69.055486722493768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69.055486722493768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69.055486722493768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69.055486722493768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69.055486722493768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69.055486722493768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3.9000000000000004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24.755327999999917</v>
      </c>
      <c r="D177" s="12">
        <f t="shared" si="140"/>
        <v>7.852315030050411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52.285299461676196</v>
      </c>
      <c r="H177" s="70">
        <f t="shared" si="110"/>
        <v>256.258311610671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69.071871916243168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-1.3596945791505279E-13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251.99201350544561</v>
      </c>
      <c r="T177" s="62">
        <f t="shared" si="142"/>
        <v>366.66533117979162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 t="e">
        <f>EXP(-LN(2)/35)*Z176+(1-EXP(-LN(2)/35))/(LN(2)/35)*V177*W177*VLOOKUP('Données projet'!$B$9,Paramètres!$A$1:$I$89,3,0)*0.475*44/12</f>
        <v>#VALUE!</v>
      </c>
      <c r="AA177" s="23" t="e">
        <f>EXP(-LN(2)/25)*AA176+(1-EXP(-LN(2)/25))/(LN(2)/25)*Calculateur!V177*Calculateur!X177*VLOOKUP('Données projet'!$B$9,Paramètres!$A$1:$I$89,3,0)*0.475*44/12</f>
        <v>#VALUE!</v>
      </c>
      <c r="AB177" s="23" t="e">
        <f>EXP(-LN(2)/2)*AB176+(1-EXP(-LN(2)/2))/(LN(2)/2)*V177*Y177*VLOOKUP('Données projet'!$B$9,Paramètres!$A$1:$I$89,3,0)*0.475*44/12</f>
        <v>#VALUE!</v>
      </c>
      <c r="AC177" s="24" t="e">
        <f t="shared" si="163"/>
        <v>#VALUE!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69.071871916243168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149.52545095126411</v>
      </c>
      <c r="AO177" s="62">
        <f t="shared" si="144"/>
        <v>457.9161829331029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2.8092757602964658</v>
      </c>
      <c r="AV177" s="23">
        <f>EXP(-LN(2)/25)*AV176+(1-EXP(-LN(2)/25))/(LN(2)/25)*Calculateur!AQ177*Calculateur!AS177*VLOOKUP('Données projet'!$B$10,Paramètres!$A$1:$I$89,3,0)*0.475*44/12</f>
        <v>0.36046958768203352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3.1697453479784992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69.071871916243168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-3.4106051316484809E-13</v>
      </c>
      <c r="BE177" s="14">
        <f>BD177*VLOOKUP('Données projet'!$B$11,Paramètres!$A$1:$I$89,3,0)*VLOOKUP('Données projet'!$B$11,Paramètres!$A$1:$I$89,5,0)</f>
        <v>-3.4583536034915599E-13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408.82357969905803</v>
      </c>
      <c r="BJ177" s="62">
        <f t="shared" si="146"/>
        <v>263.2013060831145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50.531707880194368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50.531707880194368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69.071871916243168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2.8421709430404007E-13</v>
      </c>
      <c r="BZ177" s="14">
        <f>BY177*VLOOKUP('Données projet'!$B$12,Paramètres!$A$1:$I$89,3,0)*VLOOKUP('Données projet'!$B$12,Paramètres!$A$1:$I$89,5,0)</f>
        <v>2.7046098693972454E-13</v>
      </c>
      <c r="CA177" s="14">
        <f t="shared" si="170"/>
        <v>3.6187594451142911E-12</v>
      </c>
      <c r="CB177" s="22">
        <f t="shared" si="171"/>
        <v>6.7737255858274096E-12</v>
      </c>
      <c r="CC177" s="62">
        <f t="shared" si="119"/>
        <v>289.93019702623172</v>
      </c>
      <c r="CD177" s="62">
        <f ca="1">AVERAGE(OFFSET($CC$3,0,0,'Données projet'!$E$12+1,1))-AVERAGE(OFFSET($H$3,0,0,'Données projet'!$E$12+1,1))</f>
        <v>451.95887041951761</v>
      </c>
      <c r="CE177" s="62">
        <f t="shared" si="148"/>
        <v>311.32964503257341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61.136738674347498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61.136738674347498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69.071871916243168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69.071871916243168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69.071871916243168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69.071871916243168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69.071871916243168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69.071871916243168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3.9000000000000004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24.897599999999915</v>
      </c>
      <c r="D178" s="12">
        <f t="shared" si="140"/>
        <v>7.8921770401957989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52.510250940873313</v>
      </c>
      <c r="H178" s="70">
        <f t="shared" si="110"/>
        <v>256.57552834500757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69.087972863512803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-1.3596945791505279E-13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251.99201350544561</v>
      </c>
      <c r="T178" s="62">
        <f t="shared" si="142"/>
        <v>366.66533117979162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 t="e">
        <f>EXP(-LN(2)/35)*Z177+(1-EXP(-LN(2)/35))/(LN(2)/35)*V178*W178*VLOOKUP('Données projet'!$B$9,Paramètres!$A$1:$I$89,3,0)*0.475*44/12</f>
        <v>#VALUE!</v>
      </c>
      <c r="AA178" s="23" t="e">
        <f>EXP(-LN(2)/25)*AA177+(1-EXP(-LN(2)/25))/(LN(2)/25)*Calculateur!V178*Calculateur!X178*VLOOKUP('Données projet'!$B$9,Paramètres!$A$1:$I$89,3,0)*0.475*44/12</f>
        <v>#VALUE!</v>
      </c>
      <c r="AB178" s="23" t="e">
        <f>EXP(-LN(2)/2)*AB177+(1-EXP(-LN(2)/2))/(LN(2)/2)*V178*Y178*VLOOKUP('Données projet'!$B$9,Paramètres!$A$1:$I$89,3,0)*0.475*44/12</f>
        <v>#VALUE!</v>
      </c>
      <c r="AC178" s="24" t="e">
        <f t="shared" si="163"/>
        <v>#VALUE!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69.087972863512803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149.52545095126411</v>
      </c>
      <c r="AO178" s="62">
        <f t="shared" si="144"/>
        <v>457.9161829331029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2.754187576126073</v>
      </c>
      <c r="AV178" s="23">
        <f>EXP(-LN(2)/25)*AV177+(1-EXP(-LN(2)/25))/(LN(2)/25)*Calculateur!AQ178*Calculateur!AS178*VLOOKUP('Données projet'!$B$10,Paramètres!$A$1:$I$89,3,0)*0.475*44/12</f>
        <v>0.35061252785059654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3.1048001039766695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69.087972863512803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-3.4106051316484809E-13</v>
      </c>
      <c r="BE178" s="14">
        <f>BD178*VLOOKUP('Données projet'!$B$11,Paramètres!$A$1:$I$89,3,0)*VLOOKUP('Données projet'!$B$11,Paramètres!$A$1:$I$89,5,0)</f>
        <v>-3.4583536034915599E-13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408.82357969905803</v>
      </c>
      <c r="BJ178" s="62">
        <f t="shared" si="146"/>
        <v>263.2013060831145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49.540811909962216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49.540811909962216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69.087972863512803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2.8421709430404007E-13</v>
      </c>
      <c r="BZ178" s="14">
        <f>BY178*VLOOKUP('Données projet'!$B$12,Paramètres!$A$1:$I$89,3,0)*VLOOKUP('Données projet'!$B$12,Paramètres!$A$1:$I$89,5,0)</f>
        <v>2.7046098693972454E-13</v>
      </c>
      <c r="CA178" s="14">
        <f t="shared" si="170"/>
        <v>3.6187594451142911E-12</v>
      </c>
      <c r="CB178" s="22">
        <f t="shared" si="171"/>
        <v>6.7737255858274096E-12</v>
      </c>
      <c r="CC178" s="62">
        <f t="shared" si="119"/>
        <v>289.98923383288707</v>
      </c>
      <c r="CD178" s="62">
        <f ca="1">AVERAGE(OFFSET($CC$3,0,0,'Données projet'!$E$12+1,1))-AVERAGE(OFFSET($H$3,0,0,'Données projet'!$E$12+1,1))</f>
        <v>451.95887041951761</v>
      </c>
      <c r="CE178" s="62">
        <f t="shared" si="148"/>
        <v>311.32964503257341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59.937884518672078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59.937884518672078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69.087972863512803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69.087972863512803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69.087972863512803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69.087972863512803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69.087972863512803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69.087972863512803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3.9000000000000004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25.039871999999914</v>
      </c>
      <c r="D179" s="12">
        <f t="shared" si="140"/>
        <v>7.9320125450731007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52.735169683739308</v>
      </c>
      <c r="H179" s="70">
        <f t="shared" si="110"/>
        <v>256.89269891600219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69.103794495343635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-1.3596945791505279E-13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251.99201350544561</v>
      </c>
      <c r="T179" s="62">
        <f t="shared" si="142"/>
        <v>366.66533117979162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 t="e">
        <f>EXP(-LN(2)/35)*Z178+(1-EXP(-LN(2)/35))/(LN(2)/35)*V179*W179*VLOOKUP('Données projet'!$B$9,Paramètres!$A$1:$I$89,3,0)*0.475*44/12</f>
        <v>#VALUE!</v>
      </c>
      <c r="AA179" s="23" t="e">
        <f>EXP(-LN(2)/25)*AA178+(1-EXP(-LN(2)/25))/(LN(2)/25)*Calculateur!V179*Calculateur!X179*VLOOKUP('Données projet'!$B$9,Paramètres!$A$1:$I$89,3,0)*0.475*44/12</f>
        <v>#VALUE!</v>
      </c>
      <c r="AB179" s="23" t="e">
        <f>EXP(-LN(2)/2)*AB178+(1-EXP(-LN(2)/2))/(LN(2)/2)*V179*Y179*VLOOKUP('Données projet'!$B$9,Paramètres!$A$1:$I$89,3,0)*0.475*44/12</f>
        <v>#VALUE!</v>
      </c>
      <c r="AC179" s="24" t="e">
        <f t="shared" si="163"/>
        <v>#VALUE!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69.103794495343635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149.52545095126411</v>
      </c>
      <c r="AO179" s="62">
        <f t="shared" si="144"/>
        <v>457.9161829331029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2.7001796376467868</v>
      </c>
      <c r="AV179" s="23">
        <f>EXP(-LN(2)/25)*AV178+(1-EXP(-LN(2)/25))/(LN(2)/25)*Calculateur!AQ179*Calculateur!AS179*VLOOKUP('Données projet'!$B$10,Paramètres!$A$1:$I$89,3,0)*0.475*44/12</f>
        <v>0.3410250098386105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3.0412046474853973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69.103794495343635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-3.4106051316484809E-13</v>
      </c>
      <c r="BE179" s="14">
        <f>BD179*VLOOKUP('Données projet'!$B$11,Paramètres!$A$1:$I$89,3,0)*VLOOKUP('Données projet'!$B$11,Paramètres!$A$1:$I$89,5,0)</f>
        <v>-3.4583536034915599E-13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408.82357969905803</v>
      </c>
      <c r="BJ179" s="62">
        <f t="shared" si="146"/>
        <v>263.2013060831145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48.569346805319448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48.569346805319448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69.103794495343635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2.8421709430404007E-13</v>
      </c>
      <c r="BZ179" s="14">
        <f>BY179*VLOOKUP('Données projet'!$B$12,Paramètres!$A$1:$I$89,3,0)*VLOOKUP('Données projet'!$B$12,Paramètres!$A$1:$I$89,5,0)</f>
        <v>2.7046098693972454E-13</v>
      </c>
      <c r="CA179" s="14">
        <f t="shared" si="170"/>
        <v>3.6187594451142911E-12</v>
      </c>
      <c r="CB179" s="22">
        <f t="shared" si="171"/>
        <v>6.7737255858274096E-12</v>
      </c>
      <c r="CC179" s="62">
        <f t="shared" si="119"/>
        <v>290.04724648293342</v>
      </c>
      <c r="CD179" s="62">
        <f ca="1">AVERAGE(OFFSET($CC$3,0,0,'Données projet'!$E$12+1,1))-AVERAGE(OFFSET($H$3,0,0,'Données projet'!$E$12+1,1))</f>
        <v>451.95887041951761</v>
      </c>
      <c r="CE179" s="62">
        <f t="shared" si="148"/>
        <v>311.32964503257341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58.762539161760621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58.762539161760621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69.103794495343635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69.103794495343635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69.103794495343635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69.103794495343635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69.103794495343635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69.103794495343635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3.9000000000000004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25.182143999999912</v>
      </c>
      <c r="D180" s="12">
        <f t="shared" si="140"/>
        <v>7.9718217127562712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52.960055897860272</v>
      </c>
      <c r="H180" s="70">
        <f t="shared" si="110"/>
        <v>257.20982361638369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69.119341657234088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-1.3596945791505279E-13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251.99201350544561</v>
      </c>
      <c r="T180" s="62">
        <f t="shared" si="142"/>
        <v>366.66533117979162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 t="e">
        <f>EXP(-LN(2)/35)*Z179+(1-EXP(-LN(2)/35))/(LN(2)/35)*V180*W180*VLOOKUP('Données projet'!$B$9,Paramètres!$A$1:$I$89,3,0)*0.475*44/12</f>
        <v>#VALUE!</v>
      </c>
      <c r="AA180" s="23" t="e">
        <f>EXP(-LN(2)/25)*AA179+(1-EXP(-LN(2)/25))/(LN(2)/25)*Calculateur!V180*Calculateur!X180*VLOOKUP('Données projet'!$B$9,Paramètres!$A$1:$I$89,3,0)*0.475*44/12</f>
        <v>#VALUE!</v>
      </c>
      <c r="AB180" s="23" t="e">
        <f>EXP(-LN(2)/2)*AB179+(1-EXP(-LN(2)/2))/(LN(2)/2)*V180*Y180*VLOOKUP('Données projet'!$B$9,Paramètres!$A$1:$I$89,3,0)*0.475*44/12</f>
        <v>#VALUE!</v>
      </c>
      <c r="AC180" s="24" t="e">
        <f t="shared" si="163"/>
        <v>#VALUE!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69.119341657234088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149.52545095126411</v>
      </c>
      <c r="AO180" s="62">
        <f t="shared" si="144"/>
        <v>457.9161829331029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2.6472307618994897</v>
      </c>
      <c r="AV180" s="23">
        <f>EXP(-LN(2)/25)*AV179+(1-EXP(-LN(2)/25))/(LN(2)/25)*Calculateur!AQ180*Calculateur!AS180*VLOOKUP('Données projet'!$B$10,Paramètres!$A$1:$I$89,3,0)*0.475*44/12</f>
        <v>0.33169966301084786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2.9789304249103377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69.119341657234088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-3.4106051316484809E-13</v>
      </c>
      <c r="BE180" s="14">
        <f>BD180*VLOOKUP('Données projet'!$B$11,Paramètres!$A$1:$I$89,3,0)*VLOOKUP('Données projet'!$B$11,Paramètres!$A$1:$I$89,5,0)</f>
        <v>-3.4583536034915599E-13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408.82357969905803</v>
      </c>
      <c r="BJ180" s="62">
        <f t="shared" si="146"/>
        <v>263.2013060831145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47.616931538843524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47.616931538843524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69.119341657234088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2.8421709430404007E-13</v>
      </c>
      <c r="BZ180" s="14">
        <f>BY180*VLOOKUP('Données projet'!$B$12,Paramètres!$A$1:$I$89,3,0)*VLOOKUP('Données projet'!$B$12,Paramètres!$A$1:$I$89,5,0)</f>
        <v>2.7046098693972454E-13</v>
      </c>
      <c r="CA180" s="14">
        <f t="shared" si="170"/>
        <v>3.6187594451142911E-12</v>
      </c>
      <c r="CB180" s="22">
        <f t="shared" si="171"/>
        <v>6.7737255858274096E-12</v>
      </c>
      <c r="CC180" s="62">
        <f t="shared" si="119"/>
        <v>290.1042527431984</v>
      </c>
      <c r="CD180" s="62">
        <f ca="1">AVERAGE(OFFSET($CC$3,0,0,'Données projet'!$E$12+1,1))-AVERAGE(OFFSET($H$3,0,0,'Données projet'!$E$12+1,1))</f>
        <v>451.95887041951761</v>
      </c>
      <c r="CE180" s="62">
        <f t="shared" si="148"/>
        <v>311.32964503257341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57.610241610408316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57.610241610408316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69.119341657234088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69.119341657234088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69.119341657234088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69.119341657234088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69.119341657234088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69.119341657234088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3.9000000000000004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25.324415999999911</v>
      </c>
      <c r="D181" s="12">
        <f t="shared" si="140"/>
        <v>8.0116047093102392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53.18490978834096</v>
      </c>
      <c r="H181" s="70">
        <f t="shared" si="110"/>
        <v>257.52690273538184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69.134619110623973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-1.3596945791505279E-13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251.99201350544561</v>
      </c>
      <c r="T181" s="62">
        <f t="shared" si="142"/>
        <v>366.66533117979162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 t="e">
        <f>EXP(-LN(2)/35)*Z180+(1-EXP(-LN(2)/35))/(LN(2)/35)*V181*W181*VLOOKUP('Données projet'!$B$9,Paramètres!$A$1:$I$89,3,0)*0.475*44/12</f>
        <v>#VALUE!</v>
      </c>
      <c r="AA181" s="23" t="e">
        <f>EXP(-LN(2)/25)*AA180+(1-EXP(-LN(2)/25))/(LN(2)/25)*Calculateur!V181*Calculateur!X181*VLOOKUP('Données projet'!$B$9,Paramètres!$A$1:$I$89,3,0)*0.475*44/12</f>
        <v>#VALUE!</v>
      </c>
      <c r="AB181" s="23" t="e">
        <f>EXP(-LN(2)/2)*AB180+(1-EXP(-LN(2)/2))/(LN(2)/2)*V181*Y181*VLOOKUP('Données projet'!$B$9,Paramètres!$A$1:$I$89,3,0)*0.475*44/12</f>
        <v>#VALUE!</v>
      </c>
      <c r="AC181" s="24" t="e">
        <f t="shared" si="163"/>
        <v>#VALUE!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69.134619110623973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149.52545095126411</v>
      </c>
      <c r="AO181" s="62">
        <f t="shared" si="144"/>
        <v>457.9161829331029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2.595320181309972</v>
      </c>
      <c r="AV181" s="23">
        <f>EXP(-LN(2)/25)*AV180+(1-EXP(-LN(2)/25))/(LN(2)/25)*Calculateur!AQ181*Calculateur!AS181*VLOOKUP('Données projet'!$B$10,Paramètres!$A$1:$I$89,3,0)*0.475*44/12</f>
        <v>0.32262931828248903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2.9179494995924609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69.134619110623973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-3.4106051316484809E-13</v>
      </c>
      <c r="BE181" s="14">
        <f>BD181*VLOOKUP('Données projet'!$B$11,Paramètres!$A$1:$I$89,3,0)*VLOOKUP('Données projet'!$B$11,Paramètres!$A$1:$I$89,5,0)</f>
        <v>-3.4583536034915599E-13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408.82357969905803</v>
      </c>
      <c r="BJ181" s="62">
        <f t="shared" si="146"/>
        <v>263.2013060831145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46.683192554827237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46.683192554827237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69.134619110623973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2.8421709430404007E-13</v>
      </c>
      <c r="BZ181" s="14">
        <f>BY181*VLOOKUP('Données projet'!$B$12,Paramètres!$A$1:$I$89,3,0)*VLOOKUP('Données projet'!$B$12,Paramètres!$A$1:$I$89,5,0)</f>
        <v>2.7046098693972454E-13</v>
      </c>
      <c r="CA181" s="14">
        <f t="shared" si="170"/>
        <v>3.6187594451142911E-12</v>
      </c>
      <c r="CB181" s="22">
        <f t="shared" si="171"/>
        <v>6.7737255858274096E-12</v>
      </c>
      <c r="CC181" s="62">
        <f t="shared" si="119"/>
        <v>290.16027007229468</v>
      </c>
      <c r="CD181" s="62">
        <f ca="1">AVERAGE(OFFSET($CC$3,0,0,'Données projet'!$E$12+1,1))-AVERAGE(OFFSET($H$3,0,0,'Données projet'!$E$12+1,1))</f>
        <v>451.95887041951761</v>
      </c>
      <c r="CE181" s="62">
        <f t="shared" si="148"/>
        <v>311.32964503257341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56.480539911205923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56.480539911205923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69.134619110623973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69.134619110623973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69.134619110623973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69.134619110623973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69.134619110623973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69.134619110623973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3.9000000000000004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25.466687999999909</v>
      </c>
      <c r="D182" s="12">
        <f t="shared" si="140"/>
        <v>8.0513616988260441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53.409731557848204</v>
      </c>
      <c r="H182" s="70">
        <f t="shared" si="110"/>
        <v>257.84393655878853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69.149631534352821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-1.3596945791505279E-13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251.99201350544561</v>
      </c>
      <c r="T182" s="62">
        <f t="shared" si="142"/>
        <v>366.66533117979162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 t="e">
        <f>EXP(-LN(2)/35)*Z181+(1-EXP(-LN(2)/35))/(LN(2)/35)*V182*W182*VLOOKUP('Données projet'!$B$9,Paramètres!$A$1:$I$89,3,0)*0.475*44/12</f>
        <v>#VALUE!</v>
      </c>
      <c r="AA182" s="23" t="e">
        <f>EXP(-LN(2)/25)*AA181+(1-EXP(-LN(2)/25))/(LN(2)/25)*Calculateur!V182*Calculateur!X182*VLOOKUP('Données projet'!$B$9,Paramètres!$A$1:$I$89,3,0)*0.475*44/12</f>
        <v>#VALUE!</v>
      </c>
      <c r="AB182" s="23" t="e">
        <f>EXP(-LN(2)/2)*AB181+(1-EXP(-LN(2)/2))/(LN(2)/2)*V182*Y182*VLOOKUP('Données projet'!$B$9,Paramètres!$A$1:$I$89,3,0)*0.475*44/12</f>
        <v>#VALUE!</v>
      </c>
      <c r="AC182" s="24" t="e">
        <f t="shared" si="163"/>
        <v>#VALUE!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69.149631534352821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149.52545095126411</v>
      </c>
      <c r="AO182" s="62">
        <f t="shared" si="144"/>
        <v>457.9161829331029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2.5444275355434867</v>
      </c>
      <c r="AV182" s="23">
        <f>EXP(-LN(2)/25)*AV181+(1-EXP(-LN(2)/25))/(LN(2)/25)*Calculateur!AQ182*Calculateur!AS182*VLOOKUP('Données projet'!$B$10,Paramètres!$A$1:$I$89,3,0)*0.475*44/12</f>
        <v>0.31380700260771588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2.8582345381512027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69.149631534352821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-3.4106051316484809E-13</v>
      </c>
      <c r="BE182" s="14">
        <f>BD182*VLOOKUP('Données projet'!$B$11,Paramètres!$A$1:$I$89,3,0)*VLOOKUP('Données projet'!$B$11,Paramètres!$A$1:$I$89,5,0)</f>
        <v>-3.4583536034915599E-13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408.82357969905803</v>
      </c>
      <c r="BJ182" s="62">
        <f t="shared" si="146"/>
        <v>263.2013060831145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45.767763622762963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45.767763622762963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69.149631534352821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2.8421709430404007E-13</v>
      </c>
      <c r="BZ182" s="14">
        <f>BY182*VLOOKUP('Données projet'!$B$12,Paramètres!$A$1:$I$89,3,0)*VLOOKUP('Données projet'!$B$12,Paramètres!$A$1:$I$89,5,0)</f>
        <v>2.7046098693972454E-13</v>
      </c>
      <c r="CA182" s="14">
        <f t="shared" si="170"/>
        <v>3.6187594451142911E-12</v>
      </c>
      <c r="CB182" s="22">
        <f t="shared" si="171"/>
        <v>6.7737255858274096E-12</v>
      </c>
      <c r="CC182" s="62">
        <f t="shared" si="119"/>
        <v>290.21531562596709</v>
      </c>
      <c r="CD182" s="62">
        <f ca="1">AVERAGE(OFFSET($CC$3,0,0,'Données projet'!$E$12+1,1))-AVERAGE(OFFSET($H$3,0,0,'Données projet'!$E$12+1,1))</f>
        <v>451.95887041951761</v>
      </c>
      <c r="CE182" s="62">
        <f t="shared" si="148"/>
        <v>311.32964503257341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55.372990973274895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55.372990973274895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69.149631534352821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69.149631534352821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69.149631534352821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69.149631534352821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69.149631534352821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69.149631534352821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3.9000000000000004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25.608959999999907</v>
      </c>
      <c r="D183" s="12">
        <f t="shared" si="140"/>
        <v>8.0910928434552059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53.634521406653334</v>
      </c>
      <c r="H183" s="70">
        <f t="shared" si="110"/>
        <v>258.16092536901766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69.16438352609272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-1.3596945791505279E-13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251.99201350544561</v>
      </c>
      <c r="T183" s="62">
        <f t="shared" si="142"/>
        <v>366.66533117979162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 t="e">
        <f>EXP(-LN(2)/35)*Z182+(1-EXP(-LN(2)/35))/(LN(2)/35)*V183*W183*VLOOKUP('Données projet'!$B$9,Paramètres!$A$1:$I$89,3,0)*0.475*44/12</f>
        <v>#VALUE!</v>
      </c>
      <c r="AA183" s="23" t="e">
        <f>EXP(-LN(2)/25)*AA182+(1-EXP(-LN(2)/25))/(LN(2)/25)*Calculateur!V183*Calculateur!X183*VLOOKUP('Données projet'!$B$9,Paramètres!$A$1:$I$89,3,0)*0.475*44/12</f>
        <v>#VALUE!</v>
      </c>
      <c r="AB183" s="23" t="e">
        <f>EXP(-LN(2)/2)*AB182+(1-EXP(-LN(2)/2))/(LN(2)/2)*V183*Y183*VLOOKUP('Données projet'!$B$9,Paramètres!$A$1:$I$89,3,0)*0.475*44/12</f>
        <v>#VALUE!</v>
      </c>
      <c r="AC183" s="24" t="e">
        <f t="shared" si="163"/>
        <v>#VALUE!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69.16438352609272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149.52545095126411</v>
      </c>
      <c r="AO183" s="62">
        <f t="shared" si="144"/>
        <v>457.9161829331029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2.4945328635190336</v>
      </c>
      <c r="AV183" s="23">
        <f>EXP(-LN(2)/25)*AV182+(1-EXP(-LN(2)/25))/(LN(2)/25)*Calculateur!AQ183*Calculateur!AS183*VLOOKUP('Données projet'!$B$10,Paramètres!$A$1:$I$89,3,0)*0.475*44/12</f>
        <v>0.30522593361901484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2.7997587971380486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69.16438352609272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-3.4106051316484809E-13</v>
      </c>
      <c r="BE183" s="14">
        <f>BD183*VLOOKUP('Données projet'!$B$11,Paramètres!$A$1:$I$89,3,0)*VLOOKUP('Données projet'!$B$11,Paramètres!$A$1:$I$89,5,0)</f>
        <v>-3.4583536034915599E-13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408.82357969905803</v>
      </c>
      <c r="BJ183" s="62">
        <f t="shared" si="146"/>
        <v>263.2013060831145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44.870285693699955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44.870285693699955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69.16438352609272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2.8421709430404007E-13</v>
      </c>
      <c r="BZ183" s="14">
        <f>BY183*VLOOKUP('Données projet'!$B$12,Paramètres!$A$1:$I$89,3,0)*VLOOKUP('Données projet'!$B$12,Paramètres!$A$1:$I$89,5,0)</f>
        <v>2.7046098693972454E-13</v>
      </c>
      <c r="CA183" s="14">
        <f t="shared" si="170"/>
        <v>3.6187594451142911E-12</v>
      </c>
      <c r="CB183" s="22">
        <f t="shared" si="171"/>
        <v>6.7737255858274096E-12</v>
      </c>
      <c r="CC183" s="62">
        <f t="shared" si="119"/>
        <v>290.26940626234671</v>
      </c>
      <c r="CD183" s="62">
        <f ca="1">AVERAGE(OFFSET($CC$3,0,0,'Données projet'!$E$12+1,1))-AVERAGE(OFFSET($H$3,0,0,'Données projet'!$E$12+1,1))</f>
        <v>451.95887041951761</v>
      </c>
      <c r="CE183" s="62">
        <f t="shared" si="148"/>
        <v>311.32964503257341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54.287160394478541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54.287160394478541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69.16438352609272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69.16438352609272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69.16438352609272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69.16438352609272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69.16438352609272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69.16438352609272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3.9000000000000004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25.751231999999906</v>
      </c>
      <c r="D184" s="12">
        <f t="shared" si="140"/>
        <v>8.1307983034432887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53.859279532673703</v>
      </c>
      <c r="H184" s="70">
        <f t="shared" si="110"/>
        <v>258.47786944516355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69.178879603756442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-1.3596945791505279E-13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251.99201350544561</v>
      </c>
      <c r="T184" s="62">
        <f t="shared" si="142"/>
        <v>366.66533117979162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 t="e">
        <f>EXP(-LN(2)/35)*Z183+(1-EXP(-LN(2)/35))/(LN(2)/35)*V184*W184*VLOOKUP('Données projet'!$B$9,Paramètres!$A$1:$I$89,3,0)*0.475*44/12</f>
        <v>#VALUE!</v>
      </c>
      <c r="AA184" s="23" t="e">
        <f>EXP(-LN(2)/25)*AA183+(1-EXP(-LN(2)/25))/(LN(2)/25)*Calculateur!V184*Calculateur!X184*VLOOKUP('Données projet'!$B$9,Paramètres!$A$1:$I$89,3,0)*0.475*44/12</f>
        <v>#VALUE!</v>
      </c>
      <c r="AB184" s="23" t="e">
        <f>EXP(-LN(2)/2)*AB183+(1-EXP(-LN(2)/2))/(LN(2)/2)*V184*Y184*VLOOKUP('Données projet'!$B$9,Paramètres!$A$1:$I$89,3,0)*0.475*44/12</f>
        <v>#VALUE!</v>
      </c>
      <c r="AC184" s="24" t="e">
        <f t="shared" si="163"/>
        <v>#VALUE!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69.178879603756442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149.52545095126411</v>
      </c>
      <c r="AO184" s="62">
        <f t="shared" si="144"/>
        <v>457.9161829331029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2.4456165955802351</v>
      </c>
      <c r="AV184" s="23">
        <f>EXP(-LN(2)/25)*AV183+(1-EXP(-LN(2)/25))/(LN(2)/25)*Calculateur!AQ184*Calculateur!AS184*VLOOKUP('Données projet'!$B$10,Paramètres!$A$1:$I$89,3,0)*0.475*44/12</f>
        <v>0.29687951441306865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2.7424961099933038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69.178879603756442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-3.4106051316484809E-13</v>
      </c>
      <c r="BE184" s="14">
        <f>BD184*VLOOKUP('Données projet'!$B$11,Paramètres!$A$1:$I$89,3,0)*VLOOKUP('Données projet'!$B$11,Paramètres!$A$1:$I$89,5,0)</f>
        <v>-3.4583536034915599E-13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408.82357969905803</v>
      </c>
      <c r="BJ184" s="62">
        <f t="shared" si="146"/>
        <v>263.2013060831145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43.990406759418391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43.990406759418391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69.178879603756442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2.8421709430404007E-13</v>
      </c>
      <c r="BZ184" s="14">
        <f>BY184*VLOOKUP('Données projet'!$B$12,Paramètres!$A$1:$I$89,3,0)*VLOOKUP('Données projet'!$B$12,Paramètres!$A$1:$I$89,5,0)</f>
        <v>2.7046098693972454E-13</v>
      </c>
      <c r="CA184" s="14">
        <f t="shared" si="170"/>
        <v>3.6187594451142911E-12</v>
      </c>
      <c r="CB184" s="22">
        <f t="shared" si="171"/>
        <v>6.7737255858274096E-12</v>
      </c>
      <c r="CC184" s="62">
        <f t="shared" si="119"/>
        <v>290.32255854711372</v>
      </c>
      <c r="CD184" s="62">
        <f ca="1">AVERAGE(OFFSET($CC$3,0,0,'Données projet'!$E$12+1,1))-AVERAGE(OFFSET($H$3,0,0,'Données projet'!$E$12+1,1))</f>
        <v>451.95887041951761</v>
      </c>
      <c r="CE184" s="62">
        <f t="shared" si="148"/>
        <v>311.32964503257341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53.222622291041127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53.222622291041127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69.178879603756442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69.178879603756442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69.178879603756442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69.178879603756442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69.178879603756442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69.178879603756442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3.9000000000000004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25.893503999999904</v>
      </c>
      <c r="D185" s="12">
        <f t="shared" si="140"/>
        <v>8.1704782371627118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54.084006131513128</v>
      </c>
      <c r="H185" s="70">
        <f t="shared" si="110"/>
        <v>258.7947690630582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69.193124206881095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-1.3596945791505279E-13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251.99201350544561</v>
      </c>
      <c r="T185" s="62">
        <f t="shared" si="142"/>
        <v>366.66533117979162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 t="e">
        <f>EXP(-LN(2)/35)*Z184+(1-EXP(-LN(2)/35))/(LN(2)/35)*V185*W185*VLOOKUP('Données projet'!$B$9,Paramètres!$A$1:$I$89,3,0)*0.475*44/12</f>
        <v>#VALUE!</v>
      </c>
      <c r="AA185" s="23" t="e">
        <f>EXP(-LN(2)/25)*AA184+(1-EXP(-LN(2)/25))/(LN(2)/25)*Calculateur!V185*Calculateur!X185*VLOOKUP('Données projet'!$B$9,Paramètres!$A$1:$I$89,3,0)*0.475*44/12</f>
        <v>#VALUE!</v>
      </c>
      <c r="AB185" s="23" t="e">
        <f>EXP(-LN(2)/2)*AB184+(1-EXP(-LN(2)/2))/(LN(2)/2)*V185*Y185*VLOOKUP('Données projet'!$B$9,Paramètres!$A$1:$I$89,3,0)*0.475*44/12</f>
        <v>#VALUE!</v>
      </c>
      <c r="AC185" s="24" t="e">
        <f t="shared" si="163"/>
        <v>#VALUE!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69.193124206881095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149.52545095126411</v>
      </c>
      <c r="AO185" s="62">
        <f t="shared" si="144"/>
        <v>457.9161829331029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2.3976595458197392</v>
      </c>
      <c r="AV185" s="23">
        <f>EXP(-LN(2)/25)*AV184+(1-EXP(-LN(2)/25))/(LN(2)/25)*Calculateur!AQ185*Calculateur!AS185*VLOOKUP('Données projet'!$B$10,Paramètres!$A$1:$I$89,3,0)*0.475*44/12</f>
        <v>0.28876132847922814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2.6864208742989675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69.193124206881095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-3.4106051316484809E-13</v>
      </c>
      <c r="BE185" s="14">
        <f>BD185*VLOOKUP('Données projet'!$B$11,Paramètres!$A$1:$I$89,3,0)*VLOOKUP('Données projet'!$B$11,Paramètres!$A$1:$I$89,5,0)</f>
        <v>-3.4583536034915599E-13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408.82357969905803</v>
      </c>
      <c r="BJ185" s="62">
        <f t="shared" si="146"/>
        <v>263.2013060831145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43.127781714364929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43.127781714364929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69.193124206881095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2.8421709430404007E-13</v>
      </c>
      <c r="BZ185" s="14">
        <f>BY185*VLOOKUP('Données projet'!$B$12,Paramètres!$A$1:$I$89,3,0)*VLOOKUP('Données projet'!$B$12,Paramètres!$A$1:$I$89,5,0)</f>
        <v>2.7046098693972454E-13</v>
      </c>
      <c r="CA185" s="14">
        <f t="shared" si="170"/>
        <v>3.6187594451142911E-12</v>
      </c>
      <c r="CB185" s="22">
        <f t="shared" si="171"/>
        <v>6.7737255858274096E-12</v>
      </c>
      <c r="CC185" s="62">
        <f t="shared" si="119"/>
        <v>290.37478875857079</v>
      </c>
      <c r="CD185" s="62">
        <f ca="1">AVERAGE(OFFSET($CC$3,0,0,'Données projet'!$E$12+1,1))-AVERAGE(OFFSET($H$3,0,0,'Données projet'!$E$12+1,1))</f>
        <v>451.95887041951761</v>
      </c>
      <c r="CE185" s="62">
        <f t="shared" si="148"/>
        <v>311.32964503257341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52.178959130507991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52.178959130507991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69.193124206881095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69.193124206881095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69.193124206881095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69.193124206881095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69.193124206881095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69.193124206881095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3.9000000000000004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26.035775999999903</v>
      </c>
      <c r="D186" s="12">
        <f t="shared" si="140"/>
        <v>8.2101328011448071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54.30870139650154</v>
      </c>
      <c r="H186" s="70">
        <f t="shared" si="110"/>
        <v>259.11162449532702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69.207121697987674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-1.3596945791505279E-13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251.99201350544561</v>
      </c>
      <c r="T186" s="62">
        <f t="shared" si="142"/>
        <v>366.66533117979162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 t="e">
        <f>EXP(-LN(2)/35)*Z185+(1-EXP(-LN(2)/35))/(LN(2)/35)*V186*W186*VLOOKUP('Données projet'!$B$9,Paramètres!$A$1:$I$89,3,0)*0.475*44/12</f>
        <v>#VALUE!</v>
      </c>
      <c r="AA186" s="23" t="e">
        <f>EXP(-LN(2)/25)*AA185+(1-EXP(-LN(2)/25))/(LN(2)/25)*Calculateur!V186*Calculateur!X186*VLOOKUP('Données projet'!$B$9,Paramètres!$A$1:$I$89,3,0)*0.475*44/12</f>
        <v>#VALUE!</v>
      </c>
      <c r="AB186" s="23" t="e">
        <f>EXP(-LN(2)/2)*AB185+(1-EXP(-LN(2)/2))/(LN(2)/2)*V186*Y186*VLOOKUP('Données projet'!$B$9,Paramètres!$A$1:$I$89,3,0)*0.475*44/12</f>
        <v>#VALUE!</v>
      </c>
      <c r="AC186" s="24" t="e">
        <f t="shared" si="163"/>
        <v>#VALUE!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69.207121697987674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149.52545095126411</v>
      </c>
      <c r="AO186" s="62">
        <f t="shared" si="144"/>
        <v>457.9161829331029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2.3506429045541344</v>
      </c>
      <c r="AV186" s="23">
        <f>EXP(-LN(2)/25)*AV185+(1-EXP(-LN(2)/25))/(LN(2)/25)*Calculateur!AQ186*Calculateur!AS186*VLOOKUP('Données projet'!$B$10,Paramètres!$A$1:$I$89,3,0)*0.475*44/12</f>
        <v>0.28086513476666536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2.6315080393207997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69.207121697987674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-3.4106051316484809E-13</v>
      </c>
      <c r="BE186" s="14">
        <f>BD186*VLOOKUP('Données projet'!$B$11,Paramètres!$A$1:$I$89,3,0)*VLOOKUP('Données projet'!$B$11,Paramètres!$A$1:$I$89,5,0)</f>
        <v>-3.4583536034915599E-13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408.82357969905803</v>
      </c>
      <c r="BJ186" s="62">
        <f t="shared" si="146"/>
        <v>263.2013060831145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42.282072220295639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42.282072220295639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69.207121697987674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2.8421709430404007E-13</v>
      </c>
      <c r="BZ186" s="14">
        <f>BY186*VLOOKUP('Données projet'!$B$12,Paramètres!$A$1:$I$89,3,0)*VLOOKUP('Données projet'!$B$12,Paramètres!$A$1:$I$89,5,0)</f>
        <v>2.7046098693972454E-13</v>
      </c>
      <c r="CA186" s="14">
        <f t="shared" si="170"/>
        <v>3.6187594451142911E-12</v>
      </c>
      <c r="CB186" s="22">
        <f t="shared" si="171"/>
        <v>6.7737255858274096E-12</v>
      </c>
      <c r="CC186" s="62">
        <f t="shared" si="119"/>
        <v>290.42611289262823</v>
      </c>
      <c r="CD186" s="62">
        <f ca="1">AVERAGE(OFFSET($CC$3,0,0,'Données projet'!$E$12+1,1))-AVERAGE(OFFSET($H$3,0,0,'Données projet'!$E$12+1,1))</f>
        <v>451.95887041951761</v>
      </c>
      <c r="CE186" s="62">
        <f t="shared" si="148"/>
        <v>311.32964503257341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51.155761567981237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51.155761567981237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69.207121697987674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69.207121697987674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69.207121697987674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69.207121697987674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69.207121697987674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69.207121697987674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3.9000000000000004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26.178047999999901</v>
      </c>
      <c r="D187" s="12">
        <f t="shared" si="140"/>
        <v>8.2497621501111738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54.533365518733675</v>
      </c>
      <c r="H187" s="70">
        <f t="shared" si="110"/>
        <v>259.42843601144347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69.220876363917256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-1.3596945791505279E-13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251.99201350544561</v>
      </c>
      <c r="T187" s="62">
        <f t="shared" si="142"/>
        <v>366.66533117979162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 t="e">
        <f>EXP(-LN(2)/35)*Z186+(1-EXP(-LN(2)/35))/(LN(2)/35)*V187*W187*VLOOKUP('Données projet'!$B$9,Paramètres!$A$1:$I$89,3,0)*0.475*44/12</f>
        <v>#VALUE!</v>
      </c>
      <c r="AA187" s="23" t="e">
        <f>EXP(-LN(2)/25)*AA186+(1-EXP(-LN(2)/25))/(LN(2)/25)*Calculateur!V187*Calculateur!X187*VLOOKUP('Données projet'!$B$9,Paramètres!$A$1:$I$89,3,0)*0.475*44/12</f>
        <v>#VALUE!</v>
      </c>
      <c r="AB187" s="23" t="e">
        <f>EXP(-LN(2)/2)*AB186+(1-EXP(-LN(2)/2))/(LN(2)/2)*V187*Y187*VLOOKUP('Données projet'!$B$9,Paramètres!$A$1:$I$89,3,0)*0.475*44/12</f>
        <v>#VALUE!</v>
      </c>
      <c r="AC187" s="24" t="e">
        <f t="shared" si="163"/>
        <v>#VALUE!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69.220876363917256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149.52545095126411</v>
      </c>
      <c r="AO187" s="62">
        <f t="shared" si="144"/>
        <v>457.9161829331029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2.3045482309464287</v>
      </c>
      <c r="AV187" s="23">
        <f>EXP(-LN(2)/25)*AV186+(1-EXP(-LN(2)/25))/(LN(2)/25)*Calculateur!AQ187*Calculateur!AS187*VLOOKUP('Données projet'!$B$10,Paramètres!$A$1:$I$89,3,0)*0.475*44/12</f>
        <v>0.27318486288641536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2.577733093832844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69.220876363917256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-3.4106051316484809E-13</v>
      </c>
      <c r="BE187" s="14">
        <f>BD187*VLOOKUP('Données projet'!$B$11,Paramètres!$A$1:$I$89,3,0)*VLOOKUP('Données projet'!$B$11,Paramètres!$A$1:$I$89,5,0)</f>
        <v>-3.4583536034915599E-13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408.82357969905803</v>
      </c>
      <c r="BJ187" s="62">
        <f t="shared" si="146"/>
        <v>263.2013060831145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41.452946573573193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41.452946573573193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69.220876363917256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2.8421709430404007E-13</v>
      </c>
      <c r="BZ187" s="14">
        <f>BY187*VLOOKUP('Données projet'!$B$12,Paramètres!$A$1:$I$89,3,0)*VLOOKUP('Données projet'!$B$12,Paramètres!$A$1:$I$89,5,0)</f>
        <v>2.7046098693972454E-13</v>
      </c>
      <c r="CA187" s="14">
        <f t="shared" si="170"/>
        <v>3.6187594451142911E-12</v>
      </c>
      <c r="CB187" s="22">
        <f t="shared" si="171"/>
        <v>6.7737255858274096E-12</v>
      </c>
      <c r="CC187" s="62">
        <f t="shared" si="119"/>
        <v>290.47654666770336</v>
      </c>
      <c r="CD187" s="62">
        <f ca="1">AVERAGE(OFFSET($CC$3,0,0,'Données projet'!$E$12+1,1))-AVERAGE(OFFSET($H$3,0,0,'Données projet'!$E$12+1,1))</f>
        <v>451.95887041951761</v>
      </c>
      <c r="CE187" s="62">
        <f t="shared" si="148"/>
        <v>311.32964503257341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50.152628285566749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50.152628285566749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69.220876363917256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69.220876363917256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69.220876363917256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69.220876363917256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69.220876363917256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69.220876363917256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3.9000000000000004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26.320319999999899</v>
      </c>
      <c r="D188" s="12">
        <f t="shared" si="140"/>
        <v>8.289366437004297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54.757998687106948</v>
      </c>
      <c r="H188" s="70">
        <f t="shared" si="110"/>
        <v>259.74520387778233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69.234392417143795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-1.3596945791505279E-13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251.99201350544561</v>
      </c>
      <c r="T188" s="62">
        <f t="shared" si="142"/>
        <v>366.66533117979162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 t="e">
        <f>EXP(-LN(2)/35)*Z187+(1-EXP(-LN(2)/35))/(LN(2)/35)*V188*W188*VLOOKUP('Données projet'!$B$9,Paramètres!$A$1:$I$89,3,0)*0.475*44/12</f>
        <v>#VALUE!</v>
      </c>
      <c r="AA188" s="23" t="e">
        <f>EXP(-LN(2)/25)*AA187+(1-EXP(-LN(2)/25))/(LN(2)/25)*Calculateur!V188*Calculateur!X188*VLOOKUP('Données projet'!$B$9,Paramètres!$A$1:$I$89,3,0)*0.475*44/12</f>
        <v>#VALUE!</v>
      </c>
      <c r="AB188" s="23" t="e">
        <f>EXP(-LN(2)/2)*AB187+(1-EXP(-LN(2)/2))/(LN(2)/2)*V188*Y188*VLOOKUP('Données projet'!$B$9,Paramètres!$A$1:$I$89,3,0)*0.475*44/12</f>
        <v>#VALUE!</v>
      </c>
      <c r="AC188" s="24" t="e">
        <f t="shared" si="163"/>
        <v>#VALUE!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69.234392417143795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149.52545095126411</v>
      </c>
      <c r="AO188" s="62">
        <f t="shared" si="144"/>
        <v>457.9161829331029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2.2593574457731953</v>
      </c>
      <c r="AV188" s="23">
        <f>EXP(-LN(2)/25)*AV187+(1-EXP(-LN(2)/25))/(LN(2)/25)*Calculateur!AQ188*Calculateur!AS188*VLOOKUP('Données projet'!$B$10,Paramètres!$A$1:$I$89,3,0)*0.475*44/12</f>
        <v>0.26571460844461875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2.525072054217814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69.234392417143795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-3.4106051316484809E-13</v>
      </c>
      <c r="BE188" s="14">
        <f>BD188*VLOOKUP('Données projet'!$B$11,Paramètres!$A$1:$I$89,3,0)*VLOOKUP('Données projet'!$B$11,Paramètres!$A$1:$I$89,5,0)</f>
        <v>-3.4583536034915599E-13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408.82357969905803</v>
      </c>
      <c r="BJ188" s="62">
        <f t="shared" si="146"/>
        <v>263.2013060831145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40.640079575066267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40.640079575066267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69.234392417143795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2.8421709430404007E-13</v>
      </c>
      <c r="BZ188" s="14">
        <f>BY188*VLOOKUP('Données projet'!$B$12,Paramètres!$A$1:$I$89,3,0)*VLOOKUP('Données projet'!$B$12,Paramètres!$A$1:$I$89,5,0)</f>
        <v>2.7046098693972454E-13</v>
      </c>
      <c r="CA188" s="14">
        <f t="shared" si="170"/>
        <v>3.6187594451142911E-12</v>
      </c>
      <c r="CB188" s="22">
        <f t="shared" si="171"/>
        <v>6.7737255858274096E-12</v>
      </c>
      <c r="CC188" s="62">
        <f t="shared" si="119"/>
        <v>290.52610552953399</v>
      </c>
      <c r="CD188" s="62">
        <f ca="1">AVERAGE(OFFSET($CC$3,0,0,'Données projet'!$E$12+1,1))-AVERAGE(OFFSET($H$3,0,0,'Données projet'!$E$12+1,1))</f>
        <v>451.95887041951761</v>
      </c>
      <c r="CE188" s="62">
        <f t="shared" si="148"/>
        <v>311.32964503257341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49.169165834969519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49.169165834969519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69.234392417143795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69.234392417143795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69.234392417143795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69.234392417143795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69.234392417143795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69.234392417143795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3.9000000000000004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26.462591999999898</v>
      </c>
      <c r="D189" s="12">
        <f t="shared" si="140"/>
        <v>8.3289458130175422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54.982601088358386</v>
      </c>
      <c r="H189" s="70">
        <f t="shared" si="110"/>
        <v>260.06192835767206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69.247673997064211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-1.3596945791505279E-13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251.99201350544561</v>
      </c>
      <c r="T189" s="62">
        <f t="shared" si="142"/>
        <v>366.66533117979162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 t="e">
        <f>EXP(-LN(2)/35)*Z188+(1-EXP(-LN(2)/35))/(LN(2)/35)*V189*W189*VLOOKUP('Données projet'!$B$9,Paramètres!$A$1:$I$89,3,0)*0.475*44/12</f>
        <v>#VALUE!</v>
      </c>
      <c r="AA189" s="23" t="e">
        <f>EXP(-LN(2)/25)*AA188+(1-EXP(-LN(2)/25))/(LN(2)/25)*Calculateur!V189*Calculateur!X189*VLOOKUP('Données projet'!$B$9,Paramètres!$A$1:$I$89,3,0)*0.475*44/12</f>
        <v>#VALUE!</v>
      </c>
      <c r="AB189" s="23" t="e">
        <f>EXP(-LN(2)/2)*AB188+(1-EXP(-LN(2)/2))/(LN(2)/2)*V189*Y189*VLOOKUP('Données projet'!$B$9,Paramètres!$A$1:$I$89,3,0)*0.475*44/12</f>
        <v>#VALUE!</v>
      </c>
      <c r="AC189" s="24" t="e">
        <f t="shared" si="163"/>
        <v>#VALUE!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69.247673997064211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149.52545095126411</v>
      </c>
      <c r="AO189" s="62">
        <f t="shared" si="144"/>
        <v>457.9161829331029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2.2150528243335517</v>
      </c>
      <c r="AV189" s="23">
        <f>EXP(-LN(2)/25)*AV188+(1-EXP(-LN(2)/25))/(LN(2)/25)*Calculateur!AQ189*Calculateur!AS189*VLOOKUP('Données projet'!$B$10,Paramètres!$A$1:$I$89,3,0)*0.475*44/12</f>
        <v>0.25844862850337669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2.4735014528369286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69.247673997064211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-3.4106051316484809E-13</v>
      </c>
      <c r="BE189" s="14">
        <f>BD189*VLOOKUP('Données projet'!$B$11,Paramètres!$A$1:$I$89,3,0)*VLOOKUP('Données projet'!$B$11,Paramètres!$A$1:$I$89,5,0)</f>
        <v>-3.4583536034915599E-13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408.82357969905803</v>
      </c>
      <c r="BJ189" s="62">
        <f t="shared" si="146"/>
        <v>263.2013060831145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39.843152402600147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39.843152402600147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69.247673997064211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2.8421709430404007E-13</v>
      </c>
      <c r="BZ189" s="14">
        <f>BY189*VLOOKUP('Données projet'!$B$12,Paramètres!$A$1:$I$89,3,0)*VLOOKUP('Données projet'!$B$12,Paramètres!$A$1:$I$89,5,0)</f>
        <v>2.7046098693972454E-13</v>
      </c>
      <c r="CA189" s="14">
        <f t="shared" si="170"/>
        <v>3.6187594451142911E-12</v>
      </c>
      <c r="CB189" s="22">
        <f t="shared" si="171"/>
        <v>6.7737255858274096E-12</v>
      </c>
      <c r="CC189" s="62">
        <f t="shared" si="119"/>
        <v>290.57480465590891</v>
      </c>
      <c r="CD189" s="62">
        <f ca="1">AVERAGE(OFFSET($CC$3,0,0,'Données projet'!$E$12+1,1))-AVERAGE(OFFSET($H$3,0,0,'Données projet'!$E$12+1,1))</f>
        <v>451.95887041951761</v>
      </c>
      <c r="CE189" s="62">
        <f t="shared" si="148"/>
        <v>311.32964503257341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48.20498848317564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48.20498848317564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69.247673997064211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69.247673997064211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69.247673997064211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69.247673997064211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69.247673997064211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69.247673997064211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3.9000000000000004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26.604863999999896</v>
      </c>
      <c r="D190" s="12">
        <f t="shared" si="140"/>
        <v>8.368500427624431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55.207172907100926</v>
      </c>
      <c r="H190" s="70">
        <f t="shared" si="110"/>
        <v>260.37860971144573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69.260725171266188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-1.3596945791505279E-13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251.99201350544561</v>
      </c>
      <c r="T190" s="62">
        <f t="shared" si="142"/>
        <v>366.66533117979162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 t="e">
        <f>EXP(-LN(2)/35)*Z189+(1-EXP(-LN(2)/35))/(LN(2)/35)*V190*W190*VLOOKUP('Données projet'!$B$9,Paramètres!$A$1:$I$89,3,0)*0.475*44/12</f>
        <v>#VALUE!</v>
      </c>
      <c r="AA190" s="23" t="e">
        <f>EXP(-LN(2)/25)*AA189+(1-EXP(-LN(2)/25))/(LN(2)/25)*Calculateur!V190*Calculateur!X190*VLOOKUP('Données projet'!$B$9,Paramètres!$A$1:$I$89,3,0)*0.475*44/12</f>
        <v>#VALUE!</v>
      </c>
      <c r="AB190" s="23" t="e">
        <f>EXP(-LN(2)/2)*AB189+(1-EXP(-LN(2)/2))/(LN(2)/2)*V190*Y190*VLOOKUP('Données projet'!$B$9,Paramètres!$A$1:$I$89,3,0)*0.475*44/12</f>
        <v>#VALUE!</v>
      </c>
      <c r="AC190" s="24" t="e">
        <f t="shared" si="163"/>
        <v>#VALUE!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69.260725171266188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149.52545095126411</v>
      </c>
      <c r="AO190" s="62">
        <f t="shared" si="144"/>
        <v>457.9161829331029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2.1716169894971884</v>
      </c>
      <c r="AV190" s="23">
        <f>EXP(-LN(2)/25)*AV189+(1-EXP(-LN(2)/25))/(LN(2)/25)*Calculateur!AQ190*Calculateur!AS190*VLOOKUP('Données projet'!$B$10,Paramètres!$A$1:$I$89,3,0)*0.475*44/12</f>
        <v>0.25138133716572919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2.4229983266629178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69.260725171266188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-3.4106051316484809E-13</v>
      </c>
      <c r="BE190" s="14">
        <f>BD190*VLOOKUP('Données projet'!$B$11,Paramètres!$A$1:$I$89,3,0)*VLOOKUP('Données projet'!$B$11,Paramètres!$A$1:$I$89,5,0)</f>
        <v>-3.4583536034915599E-13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408.82357969905803</v>
      </c>
      <c r="BJ190" s="62">
        <f t="shared" si="146"/>
        <v>263.2013060831145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39.06185248590851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39.06185248590851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69.260725171266188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2.8421709430404007E-13</v>
      </c>
      <c r="BZ190" s="14">
        <f>BY190*VLOOKUP('Données projet'!$B$12,Paramètres!$A$1:$I$89,3,0)*VLOOKUP('Données projet'!$B$12,Paramètres!$A$1:$I$89,5,0)</f>
        <v>2.7046098693972454E-13</v>
      </c>
      <c r="CA190" s="14">
        <f t="shared" si="170"/>
        <v>3.6187594451142911E-12</v>
      </c>
      <c r="CB190" s="22">
        <f t="shared" si="171"/>
        <v>6.7737255858274096E-12</v>
      </c>
      <c r="CC190" s="62">
        <f t="shared" si="119"/>
        <v>290.62265896131612</v>
      </c>
      <c r="CD190" s="62">
        <f ca="1">AVERAGE(OFFSET($CC$3,0,0,'Données projet'!$E$12+1,1))-AVERAGE(OFFSET($H$3,0,0,'Données projet'!$E$12+1,1))</f>
        <v>451.95887041951761</v>
      </c>
      <c r="CE190" s="62">
        <f t="shared" si="148"/>
        <v>311.32964503257341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47.259718061160321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47.259718061160321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69.260725171266188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69.260725171266188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69.260725171266188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69.260725171266188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69.260725171266188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69.260725171266188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3.9000000000000004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26.747135999999895</v>
      </c>
      <c r="D191" s="12">
        <f t="shared" si="140"/>
        <v>8.4080304286072884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55.4317143258587</v>
      </c>
      <c r="H191" s="70">
        <f t="shared" si="110"/>
        <v>260.69524819649087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69.273549936773804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-1.3596945791505279E-13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251.99201350544561</v>
      </c>
      <c r="T191" s="62">
        <f t="shared" si="142"/>
        <v>366.66533117979162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 t="e">
        <f>EXP(-LN(2)/35)*Z190+(1-EXP(-LN(2)/35))/(LN(2)/35)*V191*W191*VLOOKUP('Données projet'!$B$9,Paramètres!$A$1:$I$89,3,0)*0.475*44/12</f>
        <v>#VALUE!</v>
      </c>
      <c r="AA191" s="23" t="e">
        <f>EXP(-LN(2)/25)*AA190+(1-EXP(-LN(2)/25))/(LN(2)/25)*Calculateur!V191*Calculateur!X191*VLOOKUP('Données projet'!$B$9,Paramètres!$A$1:$I$89,3,0)*0.475*44/12</f>
        <v>#VALUE!</v>
      </c>
      <c r="AB191" s="23" t="e">
        <f>EXP(-LN(2)/2)*AB190+(1-EXP(-LN(2)/2))/(LN(2)/2)*V191*Y191*VLOOKUP('Données projet'!$B$9,Paramètres!$A$1:$I$89,3,0)*0.475*44/12</f>
        <v>#VALUE!</v>
      </c>
      <c r="AC191" s="24" t="e">
        <f t="shared" si="163"/>
        <v>#VALUE!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69.273549936773804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149.52545095126411</v>
      </c>
      <c r="AO191" s="62">
        <f t="shared" si="144"/>
        <v>457.9161829331029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2.1290329048887231</v>
      </c>
      <c r="AV191" s="23">
        <f>EXP(-LN(2)/25)*AV190+(1-EXP(-LN(2)/25))/(LN(2)/25)*Calculateur!AQ191*Calculateur!AS191*VLOOKUP('Données projet'!$B$10,Paramètres!$A$1:$I$89,3,0)*0.475*44/12</f>
        <v>0.24450730128136233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2.3735402061700857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69.273549936773804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-3.4106051316484809E-13</v>
      </c>
      <c r="BE191" s="14">
        <f>BD191*VLOOKUP('Données projet'!$B$11,Paramètres!$A$1:$I$89,3,0)*VLOOKUP('Données projet'!$B$11,Paramètres!$A$1:$I$89,5,0)</f>
        <v>-3.4583536034915599E-13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408.82357969905803</v>
      </c>
      <c r="BJ191" s="62">
        <f t="shared" si="146"/>
        <v>263.2013060831145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38.2958733840373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38.2958733840373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69.273549936773804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2.8421709430404007E-13</v>
      </c>
      <c r="BZ191" s="14">
        <f>BY191*VLOOKUP('Données projet'!$B$12,Paramètres!$A$1:$I$89,3,0)*VLOOKUP('Données projet'!$B$12,Paramètres!$A$1:$I$89,5,0)</f>
        <v>2.7046098693972454E-13</v>
      </c>
      <c r="CA191" s="14">
        <f t="shared" si="170"/>
        <v>3.6187594451142911E-12</v>
      </c>
      <c r="CB191" s="22">
        <f t="shared" si="171"/>
        <v>6.7737255858274096E-12</v>
      </c>
      <c r="CC191" s="62">
        <f t="shared" si="119"/>
        <v>290.66968310151071</v>
      </c>
      <c r="CD191" s="62">
        <f ca="1">AVERAGE(OFFSET($CC$3,0,0,'Données projet'!$E$12+1,1))-AVERAGE(OFFSET($H$3,0,0,'Données projet'!$E$12+1,1))</f>
        <v>451.95887041951761</v>
      </c>
      <c r="CE191" s="62">
        <f t="shared" si="148"/>
        <v>311.32964503257341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46.332983815562692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46.332983815562692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69.273549936773804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69.273549936773804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69.273549936773804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69.273549936773804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69.273549936773804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69.273549936773804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3.9000000000000004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26.889407999999893</v>
      </c>
      <c r="D192" s="12">
        <f t="shared" si="140"/>
        <v>8.4475359620852934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55.656225525101711</v>
      </c>
      <c r="H192" s="70">
        <f t="shared" si="110"/>
        <v>261.0118440672984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69.286152221271735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-1.3596945791505279E-13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251.99201350544561</v>
      </c>
      <c r="T192" s="62">
        <f t="shared" si="142"/>
        <v>366.66533117979162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 t="e">
        <f>EXP(-LN(2)/35)*Z191+(1-EXP(-LN(2)/35))/(LN(2)/35)*V192*W192*VLOOKUP('Données projet'!$B$9,Paramètres!$A$1:$I$89,3,0)*0.475*44/12</f>
        <v>#VALUE!</v>
      </c>
      <c r="AA192" s="23" t="e">
        <f>EXP(-LN(2)/25)*AA191+(1-EXP(-LN(2)/25))/(LN(2)/25)*Calculateur!V192*Calculateur!X192*VLOOKUP('Données projet'!$B$9,Paramètres!$A$1:$I$89,3,0)*0.475*44/12</f>
        <v>#VALUE!</v>
      </c>
      <c r="AB192" s="23" t="e">
        <f>EXP(-LN(2)/2)*AB191+(1-EXP(-LN(2)/2))/(LN(2)/2)*V192*Y192*VLOOKUP('Données projet'!$B$9,Paramètres!$A$1:$I$89,3,0)*0.475*44/12</f>
        <v>#VALUE!</v>
      </c>
      <c r="AC192" s="24" t="e">
        <f t="shared" si="163"/>
        <v>#VALUE!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69.286152221271735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149.52545095126411</v>
      </c>
      <c r="AO192" s="62">
        <f t="shared" si="144"/>
        <v>457.9161829331029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2.0872838682057031</v>
      </c>
      <c r="AV192" s="23">
        <f>EXP(-LN(2)/25)*AV191+(1-EXP(-LN(2)/25))/(LN(2)/25)*Calculateur!AQ192*Calculateur!AS192*VLOOKUP('Données projet'!$B$10,Paramètres!$A$1:$I$89,3,0)*0.475*44/12</f>
        <v>0.23782123626974333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2.3251051044754463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69.286152221271735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-3.4106051316484809E-13</v>
      </c>
      <c r="BE192" s="14">
        <f>BD192*VLOOKUP('Données projet'!$B$11,Paramètres!$A$1:$I$89,3,0)*VLOOKUP('Données projet'!$B$11,Paramètres!$A$1:$I$89,5,0)</f>
        <v>-3.4583536034915599E-13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408.82357969905803</v>
      </c>
      <c r="BJ192" s="62">
        <f t="shared" si="146"/>
        <v>263.2013060831145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37.544914665152668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37.544914665152668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69.286152221271735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2.8421709430404007E-13</v>
      </c>
      <c r="BZ192" s="14">
        <f>BY192*VLOOKUP('Données projet'!$B$12,Paramètres!$A$1:$I$89,3,0)*VLOOKUP('Données projet'!$B$12,Paramètres!$A$1:$I$89,5,0)</f>
        <v>2.7046098693972454E-13</v>
      </c>
      <c r="CA192" s="14">
        <f t="shared" si="170"/>
        <v>3.6187594451142911E-12</v>
      </c>
      <c r="CB192" s="22">
        <f t="shared" si="171"/>
        <v>6.7737255858274096E-12</v>
      </c>
      <c r="CC192" s="62">
        <f t="shared" si="119"/>
        <v>290.71589147800313</v>
      </c>
      <c r="CD192" s="62">
        <f ca="1">AVERAGE(OFFSET($CC$3,0,0,'Données projet'!$E$12+1,1))-AVERAGE(OFFSET($H$3,0,0,'Données projet'!$E$12+1,1))</f>
        <v>451.95887041951761</v>
      </c>
      <c r="CE192" s="62">
        <f t="shared" si="148"/>
        <v>311.32964503257341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45.424422263269157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45.424422263269157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69.286152221271735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69.286152221271735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69.286152221271735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69.286152221271735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69.286152221271735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69.286152221271735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3.9000000000000004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27.031679999999891</v>
      </c>
      <c r="D193" s="12">
        <f t="shared" si="140"/>
        <v>8.4870171725418793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55.880706683279662</v>
      </c>
      <c r="H193" s="70">
        <f t="shared" si="110"/>
        <v>261.32839757551028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69.298535884308123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-1.3596945791505279E-13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251.99201350544561</v>
      </c>
      <c r="T193" s="62">
        <f t="shared" si="142"/>
        <v>366.66533117979162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 t="e">
        <f>EXP(-LN(2)/35)*Z192+(1-EXP(-LN(2)/35))/(LN(2)/35)*V193*W193*VLOOKUP('Données projet'!$B$9,Paramètres!$A$1:$I$89,3,0)*0.475*44/12</f>
        <v>#VALUE!</v>
      </c>
      <c r="AA193" s="23" t="e">
        <f>EXP(-LN(2)/25)*AA192+(1-EXP(-LN(2)/25))/(LN(2)/25)*Calculateur!V193*Calculateur!X193*VLOOKUP('Données projet'!$B$9,Paramètres!$A$1:$I$89,3,0)*0.475*44/12</f>
        <v>#VALUE!</v>
      </c>
      <c r="AB193" s="23" t="e">
        <f>EXP(-LN(2)/2)*AB192+(1-EXP(-LN(2)/2))/(LN(2)/2)*V193*Y193*VLOOKUP('Données projet'!$B$9,Paramètres!$A$1:$I$89,3,0)*0.475*44/12</f>
        <v>#VALUE!</v>
      </c>
      <c r="AC193" s="24" t="e">
        <f t="shared" si="163"/>
        <v>#VALUE!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69.298535884308123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149.52545095126411</v>
      </c>
      <c r="AO193" s="62">
        <f t="shared" si="144"/>
        <v>457.9161829331029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2.0463535046676391</v>
      </c>
      <c r="AV193" s="23">
        <f>EXP(-LN(2)/25)*AV192+(1-EXP(-LN(2)/25))/(LN(2)/25)*Calculateur!AQ193*Calculateur!AS193*VLOOKUP('Données projet'!$B$10,Paramètres!$A$1:$I$89,3,0)*0.475*44/12</f>
        <v>0.23131800205747194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2.277671506725111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69.298535884308123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-3.4106051316484809E-13</v>
      </c>
      <c r="BE193" s="14">
        <f>BD193*VLOOKUP('Données projet'!$B$11,Paramètres!$A$1:$I$89,3,0)*VLOOKUP('Données projet'!$B$11,Paramètres!$A$1:$I$89,5,0)</f>
        <v>-3.4583536034915599E-13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408.82357969905803</v>
      </c>
      <c r="BJ193" s="62">
        <f t="shared" si="146"/>
        <v>263.2013060831145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36.808681788705769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36.808681788705769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69.298535884308123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2.8421709430404007E-13</v>
      </c>
      <c r="BZ193" s="14">
        <f>BY193*VLOOKUP('Données projet'!$B$12,Paramètres!$A$1:$I$89,3,0)*VLOOKUP('Données projet'!$B$12,Paramètres!$A$1:$I$89,5,0)</f>
        <v>2.7046098693972454E-13</v>
      </c>
      <c r="CA193" s="14">
        <f t="shared" si="170"/>
        <v>3.6187594451142911E-12</v>
      </c>
      <c r="CB193" s="22">
        <f t="shared" si="171"/>
        <v>6.7737255858274096E-12</v>
      </c>
      <c r="CC193" s="62">
        <f t="shared" si="119"/>
        <v>290.76129824246988</v>
      </c>
      <c r="CD193" s="62">
        <f ca="1">AVERAGE(OFFSET($CC$3,0,0,'Données projet'!$E$12+1,1))-AVERAGE(OFFSET($H$3,0,0,'Données projet'!$E$12+1,1))</f>
        <v>451.95887041951761</v>
      </c>
      <c r="CE193" s="62">
        <f t="shared" si="148"/>
        <v>311.32964503257341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44.533677048848276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44.533677048848276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69.298535884308123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69.298535884308123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69.298535884308123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69.298535884308123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69.298535884308123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69.298535884308123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3.9000000000000004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27.17395199999989</v>
      </c>
      <c r="D194" s="12">
        <f t="shared" si="140"/>
        <v>8.5264742028515492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56.105157976855111</v>
      </c>
      <c r="H194" s="70">
        <f t="shared" si="110"/>
        <v>261.64490896996625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69.310704718476558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-1.3596945791505279E-13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251.99201350544561</v>
      </c>
      <c r="T194" s="62">
        <f t="shared" si="142"/>
        <v>366.66533117979162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 t="e">
        <f>EXP(-LN(2)/35)*Z193+(1-EXP(-LN(2)/35))/(LN(2)/35)*V194*W194*VLOOKUP('Données projet'!$B$9,Paramètres!$A$1:$I$89,3,0)*0.475*44/12</f>
        <v>#VALUE!</v>
      </c>
      <c r="AA194" s="23" t="e">
        <f>EXP(-LN(2)/25)*AA193+(1-EXP(-LN(2)/25))/(LN(2)/25)*Calculateur!V194*Calculateur!X194*VLOOKUP('Données projet'!$B$9,Paramètres!$A$1:$I$89,3,0)*0.475*44/12</f>
        <v>#VALUE!</v>
      </c>
      <c r="AB194" s="23" t="e">
        <f>EXP(-LN(2)/2)*AB193+(1-EXP(-LN(2)/2))/(LN(2)/2)*V194*Y194*VLOOKUP('Données projet'!$B$9,Paramètres!$A$1:$I$89,3,0)*0.475*44/12</f>
        <v>#VALUE!</v>
      </c>
      <c r="AC194" s="24" t="e">
        <f t="shared" si="163"/>
        <v>#VALUE!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69.310704718476558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149.52545095126411</v>
      </c>
      <c r="AO194" s="62">
        <f t="shared" si="144"/>
        <v>457.9161829331029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2.0062257605934999</v>
      </c>
      <c r="AV194" s="23">
        <f>EXP(-LN(2)/25)*AV193+(1-EXP(-LN(2)/25))/(LN(2)/25)*Calculateur!AQ194*Calculateur!AS194*VLOOKUP('Données projet'!$B$10,Paramètres!$A$1:$I$89,3,0)*0.475*44/12</f>
        <v>0.22499259912672531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2.2312183597202253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69.310704718476558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-3.4106051316484809E-13</v>
      </c>
      <c r="BE194" s="14">
        <f>BD194*VLOOKUP('Données projet'!$B$11,Paramètres!$A$1:$I$89,3,0)*VLOOKUP('Données projet'!$B$11,Paramètres!$A$1:$I$89,5,0)</f>
        <v>-3.4583536034915599E-13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408.82357969905803</v>
      </c>
      <c r="BJ194" s="62">
        <f t="shared" si="146"/>
        <v>263.2013060831145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36.086885989908282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36.086885989908282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69.310704718476558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2.8421709430404007E-13</v>
      </c>
      <c r="BZ194" s="14">
        <f>BY194*VLOOKUP('Données projet'!$B$12,Paramètres!$A$1:$I$89,3,0)*VLOOKUP('Données projet'!$B$12,Paramètres!$A$1:$I$89,5,0)</f>
        <v>2.7046098693972454E-13</v>
      </c>
      <c r="CA194" s="14">
        <f t="shared" si="170"/>
        <v>3.6187594451142911E-12</v>
      </c>
      <c r="CB194" s="22">
        <f t="shared" si="171"/>
        <v>6.7737255858274096E-12</v>
      </c>
      <c r="CC194" s="62">
        <f t="shared" si="119"/>
        <v>290.80591730108745</v>
      </c>
      <c r="CD194" s="62">
        <f ca="1">AVERAGE(OFFSET($CC$3,0,0,'Données projet'!$E$12+1,1))-AVERAGE(OFFSET($H$3,0,0,'Données projet'!$E$12+1,1))</f>
        <v>451.95887041951761</v>
      </c>
      <c r="CE194" s="62">
        <f t="shared" si="148"/>
        <v>311.32964503257341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43.660398804781252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43.660398804781252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69.310704718476558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69.310704718476558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69.310704718476558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69.310704718476558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69.310704718476558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69.310704718476558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3.9000000000000004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27.316223999999888</v>
      </c>
      <c r="D195" s="12">
        <f t="shared" si="140"/>
        <v>8.5659071943061278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56.329579580335839</v>
      </c>
      <c r="H195" s="70">
        <f t="shared" si="110"/>
        <v>261.9613784967496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69.32266245057761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-1.3596945791505279E-13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251.99201350544561</v>
      </c>
      <c r="T195" s="62">
        <f t="shared" si="142"/>
        <v>366.66533117979162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 t="e">
        <f>EXP(-LN(2)/35)*Z194+(1-EXP(-LN(2)/35))/(LN(2)/35)*V195*W195*VLOOKUP('Données projet'!$B$9,Paramètres!$A$1:$I$89,3,0)*0.475*44/12</f>
        <v>#VALUE!</v>
      </c>
      <c r="AA195" s="23" t="e">
        <f>EXP(-LN(2)/25)*AA194+(1-EXP(-LN(2)/25))/(LN(2)/25)*Calculateur!V195*Calculateur!X195*VLOOKUP('Données projet'!$B$9,Paramètres!$A$1:$I$89,3,0)*0.475*44/12</f>
        <v>#VALUE!</v>
      </c>
      <c r="AB195" s="23" t="e">
        <f>EXP(-LN(2)/2)*AB194+(1-EXP(-LN(2)/2))/(LN(2)/2)*V195*Y195*VLOOKUP('Données projet'!$B$9,Paramètres!$A$1:$I$89,3,0)*0.475*44/12</f>
        <v>#VALUE!</v>
      </c>
      <c r="AC195" s="24" t="e">
        <f t="shared" si="163"/>
        <v>#VALUE!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69.32266245057761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149.52545095126411</v>
      </c>
      <c r="AO195" s="62">
        <f t="shared" si="144"/>
        <v>457.9161829331029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1.9668848971051474</v>
      </c>
      <c r="AV195" s="23">
        <f>EXP(-LN(2)/25)*AV194+(1-EXP(-LN(2)/25))/(LN(2)/25)*Calculateur!AQ195*Calculateur!AS195*VLOOKUP('Données projet'!$B$10,Paramètres!$A$1:$I$89,3,0)*0.475*44/12</f>
        <v>0.21884016467175846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2.185725061776906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69.32266245057761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-3.4106051316484809E-13</v>
      </c>
      <c r="BE195" s="14">
        <f>BD195*VLOOKUP('Données projet'!$B$11,Paramètres!$A$1:$I$89,3,0)*VLOOKUP('Données projet'!$B$11,Paramètres!$A$1:$I$89,5,0)</f>
        <v>-3.4583536034915599E-13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408.82357969905803</v>
      </c>
      <c r="BJ195" s="62">
        <f t="shared" si="146"/>
        <v>263.2013060831145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35.379244166473249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35.379244166473249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69.32266245057761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2.8421709430404007E-13</v>
      </c>
      <c r="BZ195" s="14">
        <f>BY195*VLOOKUP('Données projet'!$B$12,Paramètres!$A$1:$I$89,3,0)*VLOOKUP('Données projet'!$B$12,Paramètres!$A$1:$I$89,5,0)</f>
        <v>2.7046098693972454E-13</v>
      </c>
      <c r="CA195" s="14">
        <f t="shared" si="170"/>
        <v>3.6187594451142911E-12</v>
      </c>
      <c r="CB195" s="22">
        <f t="shared" si="171"/>
        <v>6.7737255858274096E-12</v>
      </c>
      <c r="CC195" s="62">
        <f t="shared" si="119"/>
        <v>290.84976231879136</v>
      </c>
      <c r="CD195" s="62">
        <f ca="1">AVERAGE(OFFSET($CC$3,0,0,'Données projet'!$E$12+1,1))-AVERAGE(OFFSET($H$3,0,0,'Données projet'!$E$12+1,1))</f>
        <v>451.95887041951761</v>
      </c>
      <c r="CE195" s="62">
        <f t="shared" si="148"/>
        <v>311.32964503257341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42.804245014433249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42.804245014433249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69.32266245057761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69.32266245057761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69.32266245057761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69.32266245057761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69.32266245057761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69.32266245057761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3.9000000000000004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27.458495999999887</v>
      </c>
      <c r="D196" s="12">
        <f t="shared" si="140"/>
        <v>8.6053162866404485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56.553971666306659</v>
      </c>
      <c r="H196" s="70">
        <f t="shared" ref="H196:H203" si="192">(B196+E196+F196)*44/12+(C196+D196)*0.475*44/12</f>
        <v>262.27780639923191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69.334412742760179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-1.3596945791505279E-13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251.99201350544561</v>
      </c>
      <c r="T196" s="62">
        <f t="shared" si="142"/>
        <v>366.66533117979162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 t="e">
        <f>EXP(-LN(2)/35)*Z195+(1-EXP(-LN(2)/35))/(LN(2)/35)*V196*W196*VLOOKUP('Données projet'!$B$9,Paramètres!$A$1:$I$89,3,0)*0.475*44/12</f>
        <v>#VALUE!</v>
      </c>
      <c r="AA196" s="23" t="e">
        <f>EXP(-LN(2)/25)*AA195+(1-EXP(-LN(2)/25))/(LN(2)/25)*Calculateur!V196*Calculateur!X196*VLOOKUP('Données projet'!$B$9,Paramètres!$A$1:$I$89,3,0)*0.475*44/12</f>
        <v>#VALUE!</v>
      </c>
      <c r="AB196" s="23" t="e">
        <f>EXP(-LN(2)/2)*AB195+(1-EXP(-LN(2)/2))/(LN(2)/2)*V196*Y196*VLOOKUP('Données projet'!$B$9,Paramètres!$A$1:$I$89,3,0)*0.475*44/12</f>
        <v>#VALUE!</v>
      </c>
      <c r="AC196" s="24" t="e">
        <f t="shared" si="163"/>
        <v>#VALUE!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69.334412742760179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149.52545095126411</v>
      </c>
      <c r="AO196" s="62">
        <f t="shared" si="144"/>
        <v>457.9161829331029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1.928315483954244</v>
      </c>
      <c r="AV196" s="23">
        <f>EXP(-LN(2)/25)*AV195+(1-EXP(-LN(2)/25))/(LN(2)/25)*Calculateur!AQ196*Calculateur!AS196*VLOOKUP('Données projet'!$B$10,Paramètres!$A$1:$I$89,3,0)*0.475*44/12</f>
        <v>0.21285596886050512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2.1411714528147492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69.334412742760179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-3.4106051316484809E-13</v>
      </c>
      <c r="BE196" s="14">
        <f>BD196*VLOOKUP('Données projet'!$B$11,Paramètres!$A$1:$I$89,3,0)*VLOOKUP('Données projet'!$B$11,Paramètres!$A$1:$I$89,5,0)</f>
        <v>-3.4583536034915599E-13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408.82357969905803</v>
      </c>
      <c r="BJ196" s="62">
        <f t="shared" si="146"/>
        <v>263.2013060831145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34.685478767576882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34.685478767576882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69.334412742760179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2.8421709430404007E-13</v>
      </c>
      <c r="BZ196" s="14">
        <f>BY196*VLOOKUP('Données projet'!$B$12,Paramètres!$A$1:$I$89,3,0)*VLOOKUP('Données projet'!$B$12,Paramètres!$A$1:$I$89,5,0)</f>
        <v>2.7046098693972454E-13</v>
      </c>
      <c r="CA196" s="14">
        <f t="shared" si="170"/>
        <v>3.6187594451142911E-12</v>
      </c>
      <c r="CB196" s="22">
        <f t="shared" si="171"/>
        <v>6.7737255858274096E-12</v>
      </c>
      <c r="CC196" s="62">
        <f t="shared" ref="CC196:CC203" si="195">CB196+(BT196+BU196)*44/12</f>
        <v>290.89284672346076</v>
      </c>
      <c r="CD196" s="62">
        <f ca="1">AVERAGE(OFFSET($CC$3,0,0,'Données projet'!$E$12+1,1))-AVERAGE(OFFSET($H$3,0,0,'Données projet'!$E$12+1,1))</f>
        <v>451.95887041951761</v>
      </c>
      <c r="CE196" s="62">
        <f t="shared" si="148"/>
        <v>311.32964503257341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41.964879877711716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41.964879877711716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69.334412742760179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69.334412742760179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69.334412742760179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69.334412742760179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69.334412742760179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69.334412742760179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3.9000000000000004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27.600767999999885</v>
      </c>
      <c r="D197" s="12">
        <f t="shared" ref="D197:D203" si="202">IFERROR(EXP(-1.0587+0.8836*LN(C197)+0.284),0)</f>
        <v>8.6447016180574821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56.778334405460328</v>
      </c>
      <c r="H197" s="70">
        <f t="shared" si="192"/>
        <v>262.59419291811662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69.345959193643111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-1.3596945791505279E-13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251.99201350544561</v>
      </c>
      <c r="T197" s="62">
        <f t="shared" ref="T197:T203" si="204">$T$3</f>
        <v>366.66533117979162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 t="e">
        <f>EXP(-LN(2)/35)*Z196+(1-EXP(-LN(2)/35))/(LN(2)/35)*V197*W197*VLOOKUP('Données projet'!$B$9,Paramètres!$A$1:$I$89,3,0)*0.475*44/12</f>
        <v>#VALUE!</v>
      </c>
      <c r="AA197" s="23" t="e">
        <f>EXP(-LN(2)/25)*AA196+(1-EXP(-LN(2)/25))/(LN(2)/25)*Calculateur!V197*Calculateur!X197*VLOOKUP('Données projet'!$B$9,Paramètres!$A$1:$I$89,3,0)*0.475*44/12</f>
        <v>#VALUE!</v>
      </c>
      <c r="AB197" s="23" t="e">
        <f>EXP(-LN(2)/2)*AB196+(1-EXP(-LN(2)/2))/(LN(2)/2)*V197*Y197*VLOOKUP('Données projet'!$B$9,Paramètres!$A$1:$I$89,3,0)*0.475*44/12</f>
        <v>#VALUE!</v>
      </c>
      <c r="AC197" s="24" t="e">
        <f t="shared" si="163"/>
        <v>#VALUE!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69.345959193643111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149.52545095126411</v>
      </c>
      <c r="AO197" s="62">
        <f t="shared" ref="AO197:AO203" si="205">$AO$3</f>
        <v>457.9161829331029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1.8905023934702108</v>
      </c>
      <c r="AV197" s="23">
        <f>EXP(-LN(2)/25)*AV196+(1-EXP(-LN(2)/25))/(LN(2)/25)*Calculateur!AQ197*Calculateur!AS197*VLOOKUP('Données projet'!$B$10,Paramètres!$A$1:$I$89,3,0)*0.475*44/12</f>
        <v>0.20703541119840568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2.0975378046686166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69.345959193643111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-3.4106051316484809E-13</v>
      </c>
      <c r="BE197" s="14">
        <f>BD197*VLOOKUP('Données projet'!$B$11,Paramètres!$A$1:$I$89,3,0)*VLOOKUP('Données projet'!$B$11,Paramètres!$A$1:$I$89,5,0)</f>
        <v>-3.4583536034915599E-13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408.82357969905803</v>
      </c>
      <c r="BJ197" s="62">
        <f t="shared" ref="BJ197:BJ203" si="206">$BJ$3</f>
        <v>263.2013060831145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34.005317684997763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34.005317684997763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69.345959193643111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2.8421709430404007E-13</v>
      </c>
      <c r="BZ197" s="14">
        <f>BY197*VLOOKUP('Données projet'!$B$12,Paramètres!$A$1:$I$89,3,0)*VLOOKUP('Données projet'!$B$12,Paramètres!$A$1:$I$89,5,0)</f>
        <v>2.7046098693972454E-13</v>
      </c>
      <c r="CA197" s="14">
        <f t="shared" si="170"/>
        <v>3.6187594451142911E-12</v>
      </c>
      <c r="CB197" s="22">
        <f t="shared" si="171"/>
        <v>6.7737255858274096E-12</v>
      </c>
      <c r="CC197" s="62">
        <f t="shared" si="195"/>
        <v>290.93518371003154</v>
      </c>
      <c r="CD197" s="62">
        <f ca="1">AVERAGE(OFFSET($CC$3,0,0,'Données projet'!$E$12+1,1))-AVERAGE(OFFSET($H$3,0,0,'Données projet'!$E$12+1,1))</f>
        <v>451.95887041951761</v>
      </c>
      <c r="CE197" s="62">
        <f t="shared" ref="CE197:CE203" si="207">$CE$3</f>
        <v>311.32964503257341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41.141974179359117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41.141974179359117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69.345959193643111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69.345959193643111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69.345959193643111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69.345959193643111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69.345959193643111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69.345959193643111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3.9000000000000004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27.743039999999883</v>
      </c>
      <c r="D198" s="12">
        <f t="shared" si="202"/>
        <v>8.6840633252529358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57.002667966628046</v>
      </c>
      <c r="H198" s="70">
        <f t="shared" si="192"/>
        <v>262.910538291482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69.357305339417209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-1.3596945791505279E-13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251.99201350544561</v>
      </c>
      <c r="T198" s="62">
        <f t="shared" si="204"/>
        <v>366.66533117979162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 t="e">
        <f>EXP(-LN(2)/35)*Z197+(1-EXP(-LN(2)/35))/(LN(2)/35)*V198*W198*VLOOKUP('Données projet'!$B$9,Paramètres!$A$1:$I$89,3,0)*0.475*44/12</f>
        <v>#VALUE!</v>
      </c>
      <c r="AA198" s="23" t="e">
        <f>EXP(-LN(2)/25)*AA197+(1-EXP(-LN(2)/25))/(LN(2)/25)*Calculateur!V198*Calculateur!X198*VLOOKUP('Données projet'!$B$9,Paramètres!$A$1:$I$89,3,0)*0.475*44/12</f>
        <v>#VALUE!</v>
      </c>
      <c r="AB198" s="23" t="e">
        <f>EXP(-LN(2)/2)*AB197+(1-EXP(-LN(2)/2))/(LN(2)/2)*V198*Y198*VLOOKUP('Données projet'!$B$9,Paramètres!$A$1:$I$89,3,0)*0.475*44/12</f>
        <v>#VALUE!</v>
      </c>
      <c r="AC198" s="24" t="e">
        <f t="shared" si="163"/>
        <v>#VALUE!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69.357305339417209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149.52545095126411</v>
      </c>
      <c r="AO198" s="62">
        <f t="shared" si="205"/>
        <v>457.9161829331029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1.8534307946268616</v>
      </c>
      <c r="AV198" s="23">
        <f>EXP(-LN(2)/25)*AV197+(1-EXP(-LN(2)/25))/(LN(2)/25)*Calculateur!AQ198*Calculateur!AS198*VLOOKUP('Données projet'!$B$10,Paramètres!$A$1:$I$89,3,0)*0.475*44/12</f>
        <v>0.20137401699166618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2.0548048116185278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69.357305339417209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-3.4106051316484809E-13</v>
      </c>
      <c r="BE198" s="14">
        <f>BD198*VLOOKUP('Données projet'!$B$11,Paramètres!$A$1:$I$89,3,0)*VLOOKUP('Données projet'!$B$11,Paramètres!$A$1:$I$89,5,0)</f>
        <v>-3.4583536034915599E-13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408.82357969905803</v>
      </c>
      <c r="BJ198" s="62">
        <f t="shared" si="206"/>
        <v>263.2013060831145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33.338494146390723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33.338494146390723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69.357305339417209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2.8421709430404007E-13</v>
      </c>
      <c r="BZ198" s="14">
        <f>BY198*VLOOKUP('Données projet'!$B$12,Paramètres!$A$1:$I$89,3,0)*VLOOKUP('Données projet'!$B$12,Paramètres!$A$1:$I$89,5,0)</f>
        <v>2.7046098693972454E-13</v>
      </c>
      <c r="CA198" s="14">
        <f t="shared" si="170"/>
        <v>3.6187594451142911E-12</v>
      </c>
      <c r="CB198" s="22">
        <f t="shared" si="171"/>
        <v>6.7737255858274096E-12</v>
      </c>
      <c r="CC198" s="62">
        <f t="shared" si="195"/>
        <v>290.97678624453653</v>
      </c>
      <c r="CD198" s="62">
        <f ca="1">AVERAGE(OFFSET($CC$3,0,0,'Données projet'!$E$12+1,1))-AVERAGE(OFFSET($H$3,0,0,'Données projet'!$E$12+1,1))</f>
        <v>451.95887041951761</v>
      </c>
      <c r="CE198" s="62">
        <f t="shared" si="207"/>
        <v>311.32964503257341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40.335205159828298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40.335205159828298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69.357305339417209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69.357305339417209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69.357305339417209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69.357305339417209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69.357305339417209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69.357305339417209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3.9000000000000004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27.885311999999882</v>
      </c>
      <c r="D199" s="12">
        <f t="shared" si="202"/>
        <v>8.7234015434393317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57.226972516809134</v>
      </c>
      <c r="H199" s="70">
        <f t="shared" si="192"/>
        <v>263.22684275482328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69.368454654928314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-1.3596945791505279E-13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251.99201350544561</v>
      </c>
      <c r="T199" s="62">
        <f t="shared" si="204"/>
        <v>366.66533117979162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 t="e">
        <f>EXP(-LN(2)/35)*Z198+(1-EXP(-LN(2)/35))/(LN(2)/35)*V199*W199*VLOOKUP('Données projet'!$B$9,Paramètres!$A$1:$I$89,3,0)*0.475*44/12</f>
        <v>#VALUE!</v>
      </c>
      <c r="AA199" s="23" t="e">
        <f>EXP(-LN(2)/25)*AA198+(1-EXP(-LN(2)/25))/(LN(2)/25)*Calculateur!V199*Calculateur!X199*VLOOKUP('Données projet'!$B$9,Paramètres!$A$1:$I$89,3,0)*0.475*44/12</f>
        <v>#VALUE!</v>
      </c>
      <c r="AB199" s="23" t="e">
        <f>EXP(-LN(2)/2)*AB198+(1-EXP(-LN(2)/2))/(LN(2)/2)*V199*Y199*VLOOKUP('Données projet'!$B$9,Paramètres!$A$1:$I$89,3,0)*0.475*44/12</f>
        <v>#VALUE!</v>
      </c>
      <c r="AC199" s="24" t="e">
        <f t="shared" si="163"/>
        <v>#VALUE!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69.368454654928314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149.52545095126411</v>
      </c>
      <c r="AO199" s="62">
        <f t="shared" si="205"/>
        <v>457.9161829331029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1.8170861472253879</v>
      </c>
      <c r="AV199" s="23">
        <f>EXP(-LN(2)/25)*AV198+(1-EXP(-LN(2)/25))/(LN(2)/25)*Calculateur!AQ199*Calculateur!AS199*VLOOKUP('Données projet'!$B$10,Paramètres!$A$1:$I$89,3,0)*0.475*44/12</f>
        <v>0.19586743390722977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2.0129535811326176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69.368454654928314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-3.4106051316484809E-13</v>
      </c>
      <c r="BE199" s="14">
        <f>BD199*VLOOKUP('Données projet'!$B$11,Paramètres!$A$1:$I$89,3,0)*VLOOKUP('Données projet'!$B$11,Paramètres!$A$1:$I$89,5,0)</f>
        <v>-3.4583536034915599E-13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408.82357969905803</v>
      </c>
      <c r="BJ199" s="62">
        <f t="shared" si="206"/>
        <v>263.2013060831145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32.684746610653569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32.684746610653569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69.368454654928314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2.8421709430404007E-13</v>
      </c>
      <c r="BZ199" s="14">
        <f>BY199*VLOOKUP('Données projet'!$B$12,Paramètres!$A$1:$I$89,3,0)*VLOOKUP('Données projet'!$B$12,Paramètres!$A$1:$I$89,5,0)</f>
        <v>2.7046098693972454E-13</v>
      </c>
      <c r="CA199" s="14">
        <f t="shared" si="170"/>
        <v>3.6187594451142911E-12</v>
      </c>
      <c r="CB199" s="22">
        <f t="shared" si="171"/>
        <v>6.7737255858274096E-12</v>
      </c>
      <c r="CC199" s="62">
        <f t="shared" si="195"/>
        <v>291.01766706807723</v>
      </c>
      <c r="CD199" s="62">
        <f ca="1">AVERAGE(OFFSET($CC$3,0,0,'Données projet'!$E$12+1,1))-AVERAGE(OFFSET($H$3,0,0,'Données projet'!$E$12+1,1))</f>
        <v>451.95887041951761</v>
      </c>
      <c r="CE199" s="62">
        <f t="shared" si="207"/>
        <v>311.32964503257341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39.544256388689959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39.544256388689959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69.368454654928314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69.368454654928314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69.368454654928314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69.368454654928314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69.368454654928314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69.368454654928314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3.9000000000000004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28.02758399999988</v>
      </c>
      <c r="D200" s="12">
        <f t="shared" si="202"/>
        <v>8.762716406369595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57.451248221200196</v>
      </c>
      <c r="H200" s="70">
        <f t="shared" si="192"/>
        <v>263.54310654109349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69.379410554741426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-1.3596945791505279E-13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251.99201350544561</v>
      </c>
      <c r="T200" s="62">
        <f t="shared" si="204"/>
        <v>366.66533117979162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 t="e">
        <f>EXP(-LN(2)/35)*Z199+(1-EXP(-LN(2)/35))/(LN(2)/35)*V200*W200*VLOOKUP('Données projet'!$B$9,Paramètres!$A$1:$I$89,3,0)*0.475*44/12</f>
        <v>#VALUE!</v>
      </c>
      <c r="AA200" s="23" t="e">
        <f>EXP(-LN(2)/25)*AA199+(1-EXP(-LN(2)/25))/(LN(2)/25)*Calculateur!V200*Calculateur!X200*VLOOKUP('Données projet'!$B$9,Paramètres!$A$1:$I$89,3,0)*0.475*44/12</f>
        <v>#VALUE!</v>
      </c>
      <c r="AB200" s="23" t="e">
        <f>EXP(-LN(2)/2)*AB199+(1-EXP(-LN(2)/2))/(LN(2)/2)*V200*Y200*VLOOKUP('Données projet'!$B$9,Paramètres!$A$1:$I$89,3,0)*0.475*44/12</f>
        <v>#VALUE!</v>
      </c>
      <c r="AC200" s="24" t="e">
        <f t="shared" si="163"/>
        <v>#VALUE!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69.379410554741426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149.52545095126411</v>
      </c>
      <c r="AO200" s="62">
        <f t="shared" si="205"/>
        <v>457.9161829331029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1.781454196191411</v>
      </c>
      <c r="AV200" s="23">
        <f>EXP(-LN(2)/25)*AV199+(1-EXP(-LN(2)/25))/(LN(2)/25)*Calculateur!AQ200*Calculateur!AS200*VLOOKUP('Données projet'!$B$10,Paramètres!$A$1:$I$89,3,0)*0.475*44/12</f>
        <v>0.19051142862681589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1.9719656248182269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69.379410554741426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-3.4106051316484809E-13</v>
      </c>
      <c r="BE200" s="14">
        <f>BD200*VLOOKUP('Données projet'!$B$11,Paramètres!$A$1:$I$89,3,0)*VLOOKUP('Données projet'!$B$11,Paramètres!$A$1:$I$89,5,0)</f>
        <v>-3.4583536034915599E-13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408.82357969905803</v>
      </c>
      <c r="BJ200" s="62">
        <f t="shared" si="206"/>
        <v>263.2013060831145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32.043818665345597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32.043818665345597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69.379410554741426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2.8421709430404007E-13</v>
      </c>
      <c r="BZ200" s="14">
        <f>BY200*VLOOKUP('Données projet'!$B$12,Paramètres!$A$1:$I$89,3,0)*VLOOKUP('Données projet'!$B$12,Paramètres!$A$1:$I$89,5,0)</f>
        <v>2.7046098693972454E-13</v>
      </c>
      <c r="CA200" s="14">
        <f t="shared" si="170"/>
        <v>3.6187594451142911E-12</v>
      </c>
      <c r="CB200" s="22">
        <f t="shared" si="171"/>
        <v>6.7737255858274096E-12</v>
      </c>
      <c r="CC200" s="62">
        <f t="shared" si="195"/>
        <v>291.05783870072531</v>
      </c>
      <c r="CD200" s="62">
        <f ca="1">AVERAGE(OFFSET($CC$3,0,0,'Données projet'!$E$12+1,1))-AVERAGE(OFFSET($H$3,0,0,'Données projet'!$E$12+1,1))</f>
        <v>451.95887041951761</v>
      </c>
      <c r="CE200" s="62">
        <f t="shared" si="207"/>
        <v>311.32964503257341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38.768817640522535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38.768817640522535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69.379410554741426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69.379410554741426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69.379410554741426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69.379410554741426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69.379410554741426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69.379410554741426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3.9000000000000004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28.169855999999879</v>
      </c>
      <c r="D201" s="12">
        <f t="shared" si="202"/>
        <v>8.8020080463601253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57.675495243223587</v>
      </c>
      <c r="H201" s="70">
        <f t="shared" si="192"/>
        <v>263.85932988074364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69.39017639418654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-1.3596945791505279E-13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251.99201350544561</v>
      </c>
      <c r="T201" s="62">
        <f t="shared" si="204"/>
        <v>366.66533117979162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 t="e">
        <f>EXP(-LN(2)/35)*Z200+(1-EXP(-LN(2)/35))/(LN(2)/35)*V201*W201*VLOOKUP('Données projet'!$B$9,Paramètres!$A$1:$I$89,3,0)*0.475*44/12</f>
        <v>#VALUE!</v>
      </c>
      <c r="AA201" s="23" t="e">
        <f>EXP(-LN(2)/25)*AA200+(1-EXP(-LN(2)/25))/(LN(2)/25)*Calculateur!V201*Calculateur!X201*VLOOKUP('Données projet'!$B$9,Paramètres!$A$1:$I$89,3,0)*0.475*44/12</f>
        <v>#VALUE!</v>
      </c>
      <c r="AB201" s="23" t="e">
        <f>EXP(-LN(2)/2)*AB200+(1-EXP(-LN(2)/2))/(LN(2)/2)*V201*Y201*VLOOKUP('Données projet'!$B$9,Paramètres!$A$1:$I$89,3,0)*0.475*44/12</f>
        <v>#VALUE!</v>
      </c>
      <c r="AC201" s="24" t="e">
        <f t="shared" si="163"/>
        <v>#VALUE!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69.39017639418654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149.52545095126411</v>
      </c>
      <c r="AO201" s="62">
        <f t="shared" si="205"/>
        <v>457.9161829331029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1.7465209659838663</v>
      </c>
      <c r="AV201" s="23">
        <f>EXP(-LN(2)/25)*AV200+(1-EXP(-LN(2)/25))/(LN(2)/25)*Calculateur!AQ201*Calculateur!AS201*VLOOKUP('Données projet'!$B$10,Paramètres!$A$1:$I$89,3,0)*0.475*44/12</f>
        <v>0.185301883592455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1.9318228495763212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69.39017639418654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-3.4106051316484809E-13</v>
      </c>
      <c r="BE201" s="14">
        <f>BD201*VLOOKUP('Données projet'!$B$11,Paramètres!$A$1:$I$89,3,0)*VLOOKUP('Données projet'!$B$11,Paramètres!$A$1:$I$89,5,0)</f>
        <v>-3.4583536034915599E-13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408.82357969905803</v>
      </c>
      <c r="BJ201" s="62">
        <f t="shared" si="206"/>
        <v>263.2013060831145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31.415458926117669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31.415458926117669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69.39017639418654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2.8421709430404007E-13</v>
      </c>
      <c r="BZ201" s="14">
        <f>BY201*VLOOKUP('Données projet'!$B$12,Paramètres!$A$1:$I$89,3,0)*VLOOKUP('Données projet'!$B$12,Paramètres!$A$1:$I$89,5,0)</f>
        <v>2.7046098693972454E-13</v>
      </c>
      <c r="CA201" s="14">
        <f t="shared" si="170"/>
        <v>3.6187594451142911E-12</v>
      </c>
      <c r="CB201" s="22">
        <f t="shared" si="171"/>
        <v>6.7737255858274096E-12</v>
      </c>
      <c r="CC201" s="62">
        <f t="shared" si="195"/>
        <v>291.09731344535743</v>
      </c>
      <c r="CD201" s="62">
        <f ca="1">AVERAGE(OFFSET($CC$3,0,0,'Données projet'!$E$12+1,1))-AVERAGE(OFFSET($H$3,0,0,'Données projet'!$E$12+1,1))</f>
        <v>451.95887041951761</v>
      </c>
      <c r="CE201" s="62">
        <f t="shared" si="207"/>
        <v>311.32964503257341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38.008584773235739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38.008584773235739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69.39017639418654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69.39017639418654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69.39017639418654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69.39017639418654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69.39017639418654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69.39017639418654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3.9000000000000004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28.312127999999877</v>
      </c>
      <c r="D202" s="12">
        <f t="shared" si="202"/>
        <v>8.8412765943133973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57.899713744555335</v>
      </c>
      <c r="H202" s="70">
        <f t="shared" si="192"/>
        <v>264.17551300176228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69.400755470386059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-1.3596945791505279E-13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251.99201350544561</v>
      </c>
      <c r="T202" s="62">
        <f t="shared" si="204"/>
        <v>366.66533117979162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 t="e">
        <f>EXP(-LN(2)/35)*Z201+(1-EXP(-LN(2)/35))/(LN(2)/35)*V202*W202*VLOOKUP('Données projet'!$B$9,Paramètres!$A$1:$I$89,3,0)*0.475*44/12</f>
        <v>#VALUE!</v>
      </c>
      <c r="AA202" s="23" t="e">
        <f>EXP(-LN(2)/25)*AA201+(1-EXP(-LN(2)/25))/(LN(2)/25)*Calculateur!V202*Calculateur!X202*VLOOKUP('Données projet'!$B$9,Paramètres!$A$1:$I$89,3,0)*0.475*44/12</f>
        <v>#VALUE!</v>
      </c>
      <c r="AB202" s="23" t="e">
        <f>EXP(-LN(2)/2)*AB201+(1-EXP(-LN(2)/2))/(LN(2)/2)*V202*Y202*VLOOKUP('Données projet'!$B$9,Paramètres!$A$1:$I$89,3,0)*0.475*44/12</f>
        <v>#VALUE!</v>
      </c>
      <c r="AC202" s="24" t="e">
        <f t="shared" si="163"/>
        <v>#VALUE!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69.400755470386059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149.52545095126411</v>
      </c>
      <c r="AO202" s="62">
        <f t="shared" si="205"/>
        <v>457.9161829331029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1.7122727551135251</v>
      </c>
      <c r="AV202" s="23">
        <f>EXP(-LN(2)/25)*AV201+(1-EXP(-LN(2)/25))/(LN(2)/25)*Calculateur!AQ202*Calculateur!AS202*VLOOKUP('Données projet'!$B$10,Paramètres!$A$1:$I$89,3,0)*0.475*44/12</f>
        <v>0.18023479384101679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1.8925075489545418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69.400755470386059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-3.4106051316484809E-13</v>
      </c>
      <c r="BE202" s="14">
        <f>BD202*VLOOKUP('Données projet'!$B$11,Paramètres!$A$1:$I$89,3,0)*VLOOKUP('Données projet'!$B$11,Paramètres!$A$1:$I$89,5,0)</f>
        <v>-3.4583536034915599E-13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408.82357969905803</v>
      </c>
      <c r="BJ202" s="62">
        <f t="shared" si="206"/>
        <v>263.2013060831145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30.799420938114402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30.799420938114402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69.400755470386059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2.8421709430404007E-13</v>
      </c>
      <c r="BZ202" s="14">
        <f>BY202*VLOOKUP('Données projet'!$B$12,Paramètres!$A$1:$I$89,3,0)*VLOOKUP('Données projet'!$B$12,Paramètres!$A$1:$I$89,5,0)</f>
        <v>2.7046098693972454E-13</v>
      </c>
      <c r="CA202" s="14">
        <f t="shared" si="170"/>
        <v>3.6187594451142911E-12</v>
      </c>
      <c r="CB202" s="22">
        <f t="shared" si="171"/>
        <v>6.7737255858274096E-12</v>
      </c>
      <c r="CC202" s="62">
        <f t="shared" si="195"/>
        <v>291.13610339142235</v>
      </c>
      <c r="CD202" s="62">
        <f ca="1">AVERAGE(OFFSET($CC$3,0,0,'Données projet'!$E$12+1,1))-AVERAGE(OFFSET($H$3,0,0,'Données projet'!$E$12+1,1))</f>
        <v>451.95887041951761</v>
      </c>
      <c r="CE202" s="62">
        <f t="shared" si="207"/>
        <v>311.32964503257341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37.263259608780174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37.263259608780174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69.400755470386059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69.400755470386059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69.400755470386059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69.400755470386059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69.400755470386059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69.400755470386059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3.9000000000000004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28.454399999999875</v>
      </c>
      <c r="D203" s="12">
        <f t="shared" si="202"/>
        <v>8.8805221797401259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50.5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58.123903885152572</v>
      </c>
      <c r="H203" s="70">
        <f t="shared" si="192"/>
        <v>264.49165612971387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69.411151023264793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-1.3596945791505279E-13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251.99201350544561</v>
      </c>
      <c r="T203" s="62">
        <f t="shared" si="204"/>
        <v>366.66533117979162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 t="e">
        <f>EXP(-LN(2)/35)*Z202+(1-EXP(-LN(2)/35))/(LN(2)/35)*V203*W203*VLOOKUP('Données projet'!$B$9,Paramètres!$A$1:$I$89,3,0)*0.475*44/12</f>
        <v>#VALUE!</v>
      </c>
      <c r="AA203" s="23" t="e">
        <f>EXP(-LN(2)/25)*AA202+(1-EXP(-LN(2)/25))/(LN(2)/25)*Calculateur!V203*Calculateur!X203*VLOOKUP('Données projet'!$B$9,Paramètres!$A$1:$I$89,3,0)*0.475*44/12</f>
        <v>#VALUE!</v>
      </c>
      <c r="AB203" s="23" t="e">
        <f>EXP(-LN(2)/2)*AB202+(1-EXP(-LN(2)/2))/(LN(2)/2)*V203*Y203*VLOOKUP('Données projet'!$B$9,Paramètres!$A$1:$I$89,3,0)*0.475*44/12</f>
        <v>#VALUE!</v>
      </c>
      <c r="AC203" s="24" t="e">
        <f t="shared" si="163"/>
        <v>#VALUE!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69.411151023264793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149.52545095126411</v>
      </c>
      <c r="AO203" s="62">
        <f t="shared" si="205"/>
        <v>457.9161829331029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1.6786961307690051</v>
      </c>
      <c r="AV203" s="23">
        <f>EXP(-LN(2)/25)*AV202+(1-EXP(-LN(2)/25))/(LN(2)/25)*Calculateur!AQ203*Calculateur!AS203*VLOOKUP('Données projet'!$B$10,Paramètres!$A$1:$I$89,3,0)*0.475*44/12</f>
        <v>0.1753062639252983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1.8540023946943034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69.411151023264793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-3.4106051316484809E-13</v>
      </c>
      <c r="BE203" s="14">
        <f>BD203*VLOOKUP('Données projet'!$B$11,Paramètres!$A$1:$I$89,3,0)*VLOOKUP('Données projet'!$B$11,Paramètres!$A$1:$I$89,5,0)</f>
        <v>-3.4583536034915599E-13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408.82357969905803</v>
      </c>
      <c r="BJ203" s="62">
        <f t="shared" si="206"/>
        <v>263.2013060831145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30.195463079309807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30.195463079309807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69.411151023264793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2.8421709430404007E-13</v>
      </c>
      <c r="BZ203" s="14">
        <f>BY203*VLOOKUP('Données projet'!$B$12,Paramètres!$A$1:$I$89,3,0)*VLOOKUP('Données projet'!$B$12,Paramètres!$A$1:$I$89,5,0)</f>
        <v>2.7046098693972454E-13</v>
      </c>
      <c r="CA203" s="14">
        <f t="shared" si="170"/>
        <v>3.6187594451142911E-12</v>
      </c>
      <c r="CB203" s="22">
        <f t="shared" si="171"/>
        <v>6.7737255858274096E-12</v>
      </c>
      <c r="CC203" s="62">
        <f t="shared" si="195"/>
        <v>291.17422041864432</v>
      </c>
      <c r="CD203" s="62">
        <f ca="1">AVERAGE(OFFSET($CC$3,0,0,'Données projet'!$E$12+1,1))-AVERAGE(OFFSET($H$3,0,0,'Données projet'!$E$12+1,1))</f>
        <v>451.95887041951761</v>
      </c>
      <c r="CE203" s="62">
        <f t="shared" si="207"/>
        <v>311.32964503257341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36.532549816196116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36.532549816196116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69.411151023264793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69.411151023264793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69.411151023264793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69.411151023264793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69.411151023264793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69.411151023264793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1.4338352942213981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1.3076604860118306</v>
      </c>
      <c r="BA205" s="88">
        <f>EXP(LN('Données projet'!B88)/'Données projet'!A88)</f>
        <v>1.2516796742016716</v>
      </c>
      <c r="BV205" s="88">
        <f>EXP(LN('Données projet'!B114)/'Données projet'!A114)</f>
        <v>1.1794938141711815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Pin taeda</v>
      </c>
      <c r="B6" s="155">
        <f>'Données projet'!D9</f>
        <v>2.5</v>
      </c>
      <c r="C6" s="156">
        <f ca="1">IF(OR('Données projet'!B9="",'Données projet'!C9="",'Données projet'!C9=0%),0,Calculateur!S3)</f>
        <v>251.99201350544561</v>
      </c>
      <c r="D6" s="156">
        <f>IF(OR('Données projet'!B9="",'Données projet'!C9="",'Données projet'!C9=0%),0,Calculateur!T3)</f>
        <v>366.66533117979162</v>
      </c>
      <c r="E6" s="156">
        <f ca="1">MIN(C6,D6)</f>
        <v>251.99201350544561</v>
      </c>
      <c r="F6" s="156">
        <f ca="1">E6*B6</f>
        <v>629.98003376361407</v>
      </c>
      <c r="G6" s="156">
        <f ca="1">F6*(100%-'Données projet'!$C$24)*(100%-'Données projet'!$C$25)*(100%-'Données projet'!$C$26)*(100%-'Données projet'!$C$27)</f>
        <v>430.90634309431204</v>
      </c>
      <c r="H6" s="157">
        <f>IF(OR('Données projet'!B9="",'Données projet'!C9="",'Données projet'!C9=0%),0,AVERAGE(Calculateur!$AC$3:$AC$33)*B6)</f>
        <v>20.246142690567392</v>
      </c>
      <c r="I6" s="158">
        <f>H6*(100%-'Données projet'!$C$24)*(100%-'Données projet'!$C$25)*(100%-'Données projet'!$C$26)*(100%-'Données projet'!$C$27)</f>
        <v>13.848361600348095</v>
      </c>
      <c r="J6" s="159">
        <f>IF(OR('Données projet'!B9="",'Données projet'!C9="",'Données projet'!C9=0%),0,SUM(Calculateur!$V$3:$V$33)*VLOOKUP('Données projet'!$B$9,Paramètres!$A$1:$I$89,9,0)*B6)</f>
        <v>154.56019230769232</v>
      </c>
      <c r="K6" s="160">
        <f>J6*(100%-'Données projet'!$C$24)*(100%-'Données projet'!$C$25)*(100%-'Données projet'!$C$26)*(100%-'Données projet'!$C$27)</f>
        <v>105.71917153846155</v>
      </c>
      <c r="L6" s="161">
        <f ca="1">G6+I6+K6</f>
        <v>550.4738762331217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Peuplier Koster</v>
      </c>
      <c r="B7" s="163">
        <f>'Données projet'!D10</f>
        <v>2</v>
      </c>
      <c r="C7" s="156">
        <f ca="1">IF(OR('Données projet'!B10="",'Données projet'!C10="",'Données projet'!C10=0%),0,Calculateur!AN3)</f>
        <v>149.52545095126411</v>
      </c>
      <c r="D7" s="156">
        <f>IF(OR('Données projet'!B10="",'Données projet'!C10="",'Données projet'!C10=0%),0,Calculateur!AO3)</f>
        <v>457.9161829331029</v>
      </c>
      <c r="E7" s="156">
        <f t="shared" ref="E7:E15" ca="1" si="0">MIN(C7,D7)</f>
        <v>149.52545095126411</v>
      </c>
      <c r="F7" s="156">
        <f t="shared" ref="F7:F15" ca="1" si="1">E7*B7</f>
        <v>299.05090190252821</v>
      </c>
      <c r="G7" s="156">
        <f ca="1">F7*(100%-'Données projet'!$C$24)*(100%-'Données projet'!$C$25)*(100%-'Données projet'!$C$26)*(100%-'Données projet'!$C$27)</f>
        <v>204.55081690132928</v>
      </c>
      <c r="H7" s="164">
        <f>IF(OR('Données projet'!B10="",'Données projet'!C10="",'Données projet'!C10=0%),0,AVERAGE(Calculateur!$AX$3:$AX$33)*B7)</f>
        <v>71.4026866812073</v>
      </c>
      <c r="I7" s="158">
        <f>H7*(100%-'Données projet'!$C$24)*(100%-'Données projet'!$C$25)*(100%-'Données projet'!$C$26)*(100%-'Données projet'!$C$27)</f>
        <v>48.83943768994579</v>
      </c>
      <c r="J7" s="159">
        <f>IF(OR('Données projet'!B10="",'Données projet'!C10="",'Données projet'!C10=0%),0,SUM(Calculateur!$AQ$3:$AQ$33)*VLOOKUP('Données projet'!$B$10,Paramètres!$A$1:$I$89,9,0)*B7)</f>
        <v>817.82</v>
      </c>
      <c r="K7" s="160">
        <f>J7*(100%-'Données projet'!$C$24)*(100%-'Données projet'!$C$25)*(100%-'Données projet'!$C$26)*(100%-'Données projet'!$C$27)</f>
        <v>559.38887999999997</v>
      </c>
      <c r="L7" s="161">
        <f t="shared" ref="L7:L15" ca="1" si="2">G7+I7+K7</f>
        <v>812.77913459127501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Chêne pubescent</v>
      </c>
      <c r="B8" s="163">
        <f>'Données projet'!D11</f>
        <v>0.25</v>
      </c>
      <c r="C8" s="156">
        <f ca="1">IF(OR('Données projet'!B11="",'Données projet'!C11="",'Données projet'!C11=0%),0,Calculateur!BI3)</f>
        <v>408.82357969905803</v>
      </c>
      <c r="D8" s="156">
        <f>IF(OR('Données projet'!B11="",'Données projet'!C11="",'Données projet'!C11=0%),0,Calculateur!BJ3)</f>
        <v>263.2013060831145</v>
      </c>
      <c r="E8" s="156">
        <f t="shared" ca="1" si="0"/>
        <v>263.2013060831145</v>
      </c>
      <c r="F8" s="156">
        <f t="shared" ca="1" si="1"/>
        <v>65.800326520778626</v>
      </c>
      <c r="G8" s="156">
        <f ca="1">F8*(100%-'Données projet'!$C$24)*(100%-'Données projet'!$C$25)*(100%-'Données projet'!$C$26)*(100%-'Données projet'!$C$27)</f>
        <v>45.007423340212583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2.6875</v>
      </c>
      <c r="K8" s="160">
        <f>J8*(100%-'Données projet'!$C$24)*(100%-'Données projet'!$C$25)*(100%-'Données projet'!$C$26)*(100%-'Données projet'!$C$27)</f>
        <v>1.8382499999999999</v>
      </c>
      <c r="L8" s="161">
        <f t="shared" ca="1" si="2"/>
        <v>46.845673340212585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Charme</v>
      </c>
      <c r="B9" s="163">
        <f>'Données projet'!D12</f>
        <v>0.25</v>
      </c>
      <c r="C9" s="156">
        <f ca="1">IF(OR('Données projet'!B12="",'Données projet'!C12="",'Données projet'!C12=0%),0,Calculateur!CD3)</f>
        <v>451.95887041951761</v>
      </c>
      <c r="D9" s="156">
        <f>IF(OR('Données projet'!B12="",'Données projet'!C12="",'Données projet'!C12=0%),0,Calculateur!CE3)</f>
        <v>311.32964503257341</v>
      </c>
      <c r="E9" s="156">
        <f t="shared" ca="1" si="0"/>
        <v>311.32964503257341</v>
      </c>
      <c r="F9" s="156">
        <f t="shared" ca="1" si="1"/>
        <v>77.832411258143352</v>
      </c>
      <c r="G9" s="156">
        <f ca="1">F9*(100%-'Données projet'!$C$24)*(100%-'Données projet'!$C$25)*(100%-'Données projet'!$C$26)*(100%-'Données projet'!$C$27)</f>
        <v>53.237369300570052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1.5625</v>
      </c>
      <c r="K9" s="160">
        <f>J9*(100%-'Données projet'!$C$24)*(100%-'Données projet'!$C$25)*(100%-'Données projet'!$C$26)*(100%-'Données projet'!$C$27)</f>
        <v>1.0687499999999999</v>
      </c>
      <c r="L9" s="161">
        <f t="shared" ca="1" si="2"/>
        <v>54.306119300570053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1072.6636734450644</v>
      </c>
      <c r="G16" s="175">
        <f t="shared" ca="1" si="3"/>
        <v>733.70195263642393</v>
      </c>
      <c r="H16" s="176">
        <f t="shared" si="3"/>
        <v>91.648829371774696</v>
      </c>
      <c r="I16" s="176">
        <f t="shared" si="3"/>
        <v>62.687799290293881</v>
      </c>
      <c r="J16" s="177">
        <f t="shared" si="3"/>
        <v>976.63019230769237</v>
      </c>
      <c r="K16" s="177">
        <f t="shared" si="3"/>
        <v>668.01505153846153</v>
      </c>
      <c r="L16" s="178">
        <f t="shared" ca="1" si="3"/>
        <v>1464.4048034651796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Charme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1" zoomScale="80" zoomScaleNormal="80" workbookViewId="0">
      <selection activeCell="U33" sqref="U3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Peuplier Koster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Chêne pubescent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0.25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Charme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0.25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12</v>
      </c>
      <c r="B23" s="193">
        <f>'Données projet'!D36</f>
        <v>0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14</v>
      </c>
      <c r="B24" s="193">
        <f>'Données projet'!D37</f>
        <v>35.969230769230769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19</v>
      </c>
      <c r="B25" s="193">
        <f>'Données projet'!D38</f>
        <v>54.907692307692301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5">
        <f ca="1">T23-T24</f>
        <v>0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25</v>
      </c>
      <c r="B26" s="193">
        <f>'Données projet'!D39</f>
        <v>52.9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n'est pas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29</v>
      </c>
      <c r="B27" s="193">
        <f>'Données projet'!D40</f>
        <v>0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32</v>
      </c>
      <c r="B28" s="193">
        <f>'Données projet'!D41</f>
        <v>63.899999999999991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38</v>
      </c>
      <c r="B29" s="193">
        <f>'Données projet'!D42</f>
        <v>0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45</v>
      </c>
      <c r="B30" s="193">
        <f>'Données projet'!D43</f>
        <v>412.49230769230769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 t="str">
        <f>IF(O50+1&lt;=MIN('Données projet'!$E$9:$E$18),O50+1,"STOP")</f>
        <v>STOP</v>
      </c>
      <c r="P51" s="197" t="e">
        <f t="shared" si="3"/>
        <v>#VALUE!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6</v>
      </c>
      <c r="B54" s="193">
        <f>'Données projet'!D62</f>
        <v>0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7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8</v>
      </c>
      <c r="B56" s="193">
        <f>'Données projet'!D64</f>
        <v>0</v>
      </c>
      <c r="C56" s="204"/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9</v>
      </c>
      <c r="B57" s="193">
        <f>'Données projet'!D65</f>
        <v>0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10</v>
      </c>
      <c r="B58" s="193">
        <f>'Données projet'!D66</f>
        <v>0</v>
      </c>
      <c r="C58" s="204"/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11</v>
      </c>
      <c r="B59" s="193">
        <f>'Données projet'!D67</f>
        <v>0</v>
      </c>
      <c r="C59" s="204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12</v>
      </c>
      <c r="B60" s="193">
        <f>'Données projet'!D68</f>
        <v>0</v>
      </c>
      <c r="C60" s="204"/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13</v>
      </c>
      <c r="B61" s="193">
        <f>'Données projet'!D69</f>
        <v>0</v>
      </c>
      <c r="C61" s="204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14</v>
      </c>
      <c r="B62" s="193">
        <f>'Données projet'!D70</f>
        <v>0</v>
      </c>
      <c r="C62" s="204"/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15</v>
      </c>
      <c r="B63" s="193">
        <f>'Données projet'!D71</f>
        <v>0</v>
      </c>
      <c r="C63" s="204"/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16</v>
      </c>
      <c r="B64" s="193">
        <f>'Données projet'!D72</f>
        <v>0</v>
      </c>
      <c r="C64" s="204"/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17</v>
      </c>
      <c r="B65" s="193">
        <f>'Données projet'!D73</f>
        <v>397</v>
      </c>
      <c r="C65" s="204"/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20</v>
      </c>
      <c r="B86" s="193">
        <f>'Données projet'!D89</f>
        <v>11</v>
      </c>
      <c r="C86" s="204"/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25</v>
      </c>
      <c r="B87" s="193">
        <f>'Données projet'!D90</f>
        <v>15</v>
      </c>
      <c r="C87" s="204"/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30</v>
      </c>
      <c r="B88" s="193">
        <f>'Données projet'!D91</f>
        <v>17</v>
      </c>
      <c r="C88" s="204"/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35</v>
      </c>
      <c r="B89" s="193">
        <f>'Données projet'!D92</f>
        <v>19</v>
      </c>
      <c r="C89" s="204"/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40</v>
      </c>
      <c r="B90" s="193">
        <f>'Données projet'!D93</f>
        <v>20</v>
      </c>
      <c r="C90" s="204"/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45</v>
      </c>
      <c r="B91" s="193">
        <f>'Données projet'!D94</f>
        <v>21</v>
      </c>
      <c r="C91" s="204"/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50</v>
      </c>
      <c r="B92" s="193">
        <f>'Données projet'!D95</f>
        <v>22</v>
      </c>
      <c r="C92" s="204"/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55</v>
      </c>
      <c r="B93" s="193">
        <f>'Données projet'!D96</f>
        <v>22</v>
      </c>
      <c r="C93" s="204"/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60</v>
      </c>
      <c r="B94" s="193">
        <f>'Données projet'!D97</f>
        <v>22</v>
      </c>
      <c r="C94" s="204"/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65</v>
      </c>
      <c r="B95" s="193">
        <f>'Données projet'!D98</f>
        <v>22</v>
      </c>
      <c r="C95" s="204"/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70</v>
      </c>
      <c r="B96" s="193">
        <f>'Données projet'!D99</f>
        <v>22</v>
      </c>
      <c r="C96" s="204"/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75</v>
      </c>
      <c r="B97" s="193">
        <f>'Données projet'!D100</f>
        <v>22</v>
      </c>
      <c r="C97" s="204"/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80</v>
      </c>
      <c r="B98" s="193">
        <f>'Données projet'!D101</f>
        <v>21</v>
      </c>
      <c r="C98" s="204"/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85</v>
      </c>
      <c r="B99" s="193">
        <f>'Données projet'!D102</f>
        <v>20</v>
      </c>
      <c r="C99" s="204"/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90</v>
      </c>
      <c r="B100" s="193">
        <f>'Données projet'!D103</f>
        <v>20</v>
      </c>
      <c r="C100" s="204"/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95</v>
      </c>
      <c r="B101" s="193">
        <f>'Données projet'!D104</f>
        <v>19</v>
      </c>
      <c r="C101" s="204"/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100</v>
      </c>
      <c r="B102" s="193">
        <f>'Données projet'!D105</f>
        <v>18</v>
      </c>
      <c r="C102" s="204"/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110</v>
      </c>
      <c r="B103" s="193">
        <f>'Données projet'!D106</f>
        <v>17</v>
      </c>
      <c r="C103" s="204"/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120</v>
      </c>
      <c r="B104" s="193">
        <f>'Données projet'!D107</f>
        <v>290</v>
      </c>
      <c r="C104" s="204"/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Charme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25</v>
      </c>
      <c r="B116" s="193">
        <f>'Données projet'!D114</f>
        <v>8</v>
      </c>
      <c r="C116" s="204"/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30</v>
      </c>
      <c r="B117" s="193">
        <f>'Données projet'!D115</f>
        <v>17</v>
      </c>
      <c r="C117" s="204"/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35</v>
      </c>
      <c r="B118" s="193">
        <f>'Données projet'!D116</f>
        <v>22</v>
      </c>
      <c r="C118" s="204"/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40</v>
      </c>
      <c r="B119" s="193">
        <f>'Données projet'!D117</f>
        <v>26</v>
      </c>
      <c r="C119" s="204"/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45</v>
      </c>
      <c r="B120" s="193">
        <f>'Données projet'!D118</f>
        <v>28</v>
      </c>
      <c r="C120" s="204"/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50</v>
      </c>
      <c r="B121" s="193">
        <f>'Données projet'!D119</f>
        <v>30</v>
      </c>
      <c r="C121" s="204"/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55</v>
      </c>
      <c r="B122" s="193">
        <f>'Données projet'!D120</f>
        <v>30</v>
      </c>
      <c r="C122" s="204"/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60</v>
      </c>
      <c r="B123" s="193">
        <f>'Données projet'!D121</f>
        <v>31</v>
      </c>
      <c r="C123" s="204"/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65</v>
      </c>
      <c r="B124" s="193">
        <f>'Données projet'!D122</f>
        <v>31</v>
      </c>
      <c r="C124" s="204"/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70</v>
      </c>
      <c r="B125" s="193">
        <f>'Données projet'!D123</f>
        <v>31</v>
      </c>
      <c r="C125" s="204"/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75</v>
      </c>
      <c r="B126" s="193">
        <f>'Données projet'!D124</f>
        <v>31</v>
      </c>
      <c r="C126" s="204"/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80</v>
      </c>
      <c r="B127" s="193">
        <f>'Données projet'!D125</f>
        <v>31</v>
      </c>
      <c r="C127" s="204"/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85</v>
      </c>
      <c r="B128" s="193">
        <f>'Données projet'!D126</f>
        <v>30</v>
      </c>
      <c r="C128" s="204"/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90</v>
      </c>
      <c r="B129" s="193">
        <f>'Données projet'!D127</f>
        <v>30</v>
      </c>
      <c r="C129" s="204"/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95</v>
      </c>
      <c r="B130" s="193">
        <f>'Données projet'!D128</f>
        <v>29</v>
      </c>
      <c r="C130" s="204"/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100</v>
      </c>
      <c r="B131" s="193">
        <f>'Données projet'!D129</f>
        <v>29</v>
      </c>
      <c r="C131" s="204"/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105</v>
      </c>
      <c r="B132" s="193">
        <f>'Données projet'!D130</f>
        <v>28</v>
      </c>
      <c r="C132" s="204"/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110</v>
      </c>
      <c r="B133" s="193">
        <f>'Données projet'!D131</f>
        <v>27</v>
      </c>
      <c r="C133" s="204"/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115</v>
      </c>
      <c r="B134" s="193">
        <f>'Données projet'!D132</f>
        <v>26</v>
      </c>
      <c r="C134" s="204"/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120</v>
      </c>
      <c r="B135" s="193">
        <f>'Données projet'!D133</f>
        <v>312</v>
      </c>
      <c r="C135" s="204"/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2025-04-10T16:32:18Z</dcterms:modified>
</cp:coreProperties>
</file>