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PUGNAC-DUFOUR-ROUX\"/>
    </mc:Choice>
  </mc:AlternateContent>
  <xr:revisionPtr revIDLastSave="0" documentId="13_ncr:1_{2C027CAA-4E24-4308-80CF-555B32C4744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BC68" i="2" a="1"/>
  <c r="BC68" i="2" s="1"/>
  <c r="BC58" i="2" a="1"/>
  <c r="BC58" i="2" s="1"/>
  <c r="BC185" i="2" a="1"/>
  <c r="BC185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<sst xmlns="http://schemas.openxmlformats.org/spreadsheetml/2006/main" count="1171" uniqueCount="324">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</sst>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90" zoomScaleNormal="90" workbookViewId="0">
      <selection activeCell="C12" sqref="C1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8.3000000000000007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0.45</v>
      </c>
      <c r="D9" s="36">
        <f t="shared" ref="D9:D18" si="0">C9*$C$5</f>
        <v>3.7350000000000003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0.18</v>
      </c>
      <c r="D10" s="36">
        <f t="shared" si="0"/>
        <v>1.494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0.37</v>
      </c>
      <c r="D11" s="36">
        <f t="shared" si="0"/>
        <v>3.0710000000000002</v>
      </c>
      <c r="E11" s="37">
        <v>34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8.3000000000000007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4</v>
      </c>
      <c r="E36" s="54"/>
      <c r="F36" s="54"/>
      <c r="G36" s="54">
        <v>1</v>
      </c>
      <c r="H36" s="54"/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79</v>
      </c>
      <c r="C37" s="63">
        <v>2</v>
      </c>
      <c r="D37" s="63">
        <v>21</v>
      </c>
      <c r="E37" s="54">
        <v>0.2</v>
      </c>
      <c r="F37" s="54">
        <v>0.8</v>
      </c>
      <c r="G37" s="54"/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113</v>
      </c>
      <c r="C38" s="63">
        <v>3</v>
      </c>
      <c r="D38" s="63">
        <v>17</v>
      </c>
      <c r="E38" s="54">
        <v>0.4</v>
      </c>
      <c r="F38" s="54">
        <v>0.6</v>
      </c>
      <c r="G38" s="54"/>
      <c r="H38" s="54"/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145</v>
      </c>
      <c r="C39" s="63">
        <v>4</v>
      </c>
      <c r="D39" s="63">
        <v>14</v>
      </c>
      <c r="E39" s="54">
        <v>0.5</v>
      </c>
      <c r="F39" s="54">
        <v>0.5</v>
      </c>
      <c r="G39" s="54"/>
      <c r="H39" s="54"/>
      <c r="I39" s="52">
        <f t="shared" si="1"/>
        <v>9.8000000000000007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173</v>
      </c>
      <c r="C40" s="63">
        <v>5</v>
      </c>
      <c r="D40" s="63">
        <v>11</v>
      </c>
      <c r="E40" s="54">
        <v>0.6</v>
      </c>
      <c r="F40" s="54">
        <v>0.4</v>
      </c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196</v>
      </c>
      <c r="C41" s="63">
        <v>6</v>
      </c>
      <c r="D41" s="63">
        <v>9</v>
      </c>
      <c r="E41" s="54">
        <v>0.8</v>
      </c>
      <c r="F41" s="54">
        <v>0.2</v>
      </c>
      <c r="G41" s="54"/>
      <c r="H41" s="54"/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233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4.8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252</v>
      </c>
      <c r="C44" s="63">
        <v>9</v>
      </c>
      <c r="D44" s="63">
        <v>252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73</v>
      </c>
      <c r="C62" s="53">
        <v>1</v>
      </c>
      <c r="D62" s="5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103</v>
      </c>
      <c r="C63" s="53">
        <v>2</v>
      </c>
      <c r="D63" s="5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121</v>
      </c>
      <c r="C64" s="53">
        <v>3</v>
      </c>
      <c r="D64" s="5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147</v>
      </c>
      <c r="C65" s="53">
        <v>4</v>
      </c>
      <c r="D65" s="5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175</v>
      </c>
      <c r="C66" s="53">
        <v>5</v>
      </c>
      <c r="D66" s="5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204</v>
      </c>
      <c r="C67" s="53">
        <v>6</v>
      </c>
      <c r="D67" s="5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231</v>
      </c>
      <c r="C68" s="53">
        <v>7</v>
      </c>
      <c r="D68" s="5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3">
        <v>101</v>
      </c>
      <c r="C88" s="63">
        <v>1</v>
      </c>
      <c r="D88" s="63">
        <v>28</v>
      </c>
      <c r="E88" s="54"/>
      <c r="F88" s="54"/>
      <c r="G88" s="54">
        <v>1</v>
      </c>
      <c r="H88" s="93"/>
      <c r="I88" s="56">
        <f>IFERROR(B88/A88,"")</f>
        <v>7.7692307692307692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18</v>
      </c>
      <c r="B89" s="63">
        <v>166</v>
      </c>
      <c r="C89" s="63">
        <v>2</v>
      </c>
      <c r="D89" s="63">
        <v>40</v>
      </c>
      <c r="E89" s="54">
        <v>0.25</v>
      </c>
      <c r="F89" s="54"/>
      <c r="G89" s="54">
        <v>0.75</v>
      </c>
      <c r="H89" s="93"/>
      <c r="I89" s="56">
        <f t="shared" ref="I89:I107" si="3">IF(A89&lt;&gt;0,(B89-(B88-D88))/(A89-A88),"")</f>
        <v>18.600000000000001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23</v>
      </c>
      <c r="B90" s="63">
        <v>215</v>
      </c>
      <c r="C90" s="63">
        <v>3</v>
      </c>
      <c r="D90" s="63">
        <v>52</v>
      </c>
      <c r="E90" s="54">
        <v>0.5</v>
      </c>
      <c r="F90" s="54"/>
      <c r="G90" s="54">
        <v>0.5</v>
      </c>
      <c r="H90" s="93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269</v>
      </c>
      <c r="C91" s="63">
        <v>4</v>
      </c>
      <c r="D91" s="63">
        <v>0</v>
      </c>
      <c r="E91" s="54"/>
      <c r="F91" s="54"/>
      <c r="G91" s="54"/>
      <c r="H91" s="93"/>
      <c r="I91" s="56">
        <f t="shared" si="3"/>
        <v>15.142857142857142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34</v>
      </c>
      <c r="B92" s="63">
        <v>325</v>
      </c>
      <c r="C92" s="63">
        <v>5</v>
      </c>
      <c r="D92" s="63">
        <v>325</v>
      </c>
      <c r="E92" s="54">
        <v>0.7</v>
      </c>
      <c r="F92" s="54"/>
      <c r="G92" s="54">
        <v>0.3</v>
      </c>
      <c r="H92" s="93"/>
      <c r="I92" s="56">
        <f t="shared" si="3"/>
        <v>14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C28" sqref="C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Robinier faux-acacia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Pin maritime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327.07074355218322</v>
      </c>
      <c r="T3" s="62">
        <f>IF('Données projet'!E9&gt;30,$R$33-$H$33,LOOKUP('Données projet'!$E$9,$A$3:$A$203,R3:R203)-LOOKUP('Données projet'!$E$9,$A$3:$A$203,$H$3:$H$203))</f>
        <v>462.01668587029087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499.92116338695428</v>
      </c>
      <c r="AO3" s="62">
        <f>IF('Données projet'!E10&gt;30,$AM$33-$H$33,LOOKUP('Données projet'!$E$10,$A$3:$A$203,AM3:AM203)-LOOKUP('Données projet'!$E$10,$A$3:$A$203,$H$3:$H$203))</f>
        <v>316.79403154855652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211.70619219850786</v>
      </c>
      <c r="BJ3" s="62">
        <f>IF('Données projet'!E11&gt;30,$BH$33-$H$33,LOOKUP('Données projet'!$E$11,$A$3:$A$203,BH3:BH203)-LOOKUP('Données projet'!$E$11,$A$3:$A$203,$H$3:$H$203))</f>
        <v>426.883837098247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125.36528201601993</v>
      </c>
      <c r="S4" s="62">
        <f ca="1">AVERAGE(OFFSET($R$3,0,0,'Données projet'!$E$9+1,1))-AVERAGE(OFFSET($H$3,0,0,'Données projet'!$E$9+1,1))</f>
        <v>327.07074355218322</v>
      </c>
      <c r="T4" s="62">
        <f>$T$3</f>
        <v>462.01668587029087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123.81366715839503</v>
      </c>
      <c r="AN4" s="62">
        <f ca="1">AVERAGE(OFFSET($AM$3,0,0,'Données projet'!$E$10+1,1))-AVERAGE(OFFSET($H$3,0,0,'Données projet'!$E$10+1,1))</f>
        <v>499.92116338695428</v>
      </c>
      <c r="AO4" s="62">
        <f>$AO$3</f>
        <v>316.79403154855652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7.7692307692307692</v>
      </c>
      <c r="BD4" s="13">
        <f>IF('Données projet'!$A$88&gt;35,BD3+BC4-BL3,IF(A4&lt;'Données projet'!$A$88,$BA$205^A4,IF(A4='Données projet'!$A$88,'Données projet'!$B$88,BD3+BC4-BL3)))</f>
        <v>1.4261938757879591</v>
      </c>
      <c r="BE4" s="14">
        <f>BD4*VLOOKUP('Données projet'!$B$11,Paramètres!$A$1:$I$89,3,0)*VLOOKUP('Données projet'!$B$11,Paramètres!$A$1:$I$89,5,0)</f>
        <v>0.85286393772119951</v>
      </c>
      <c r="BF4" s="14">
        <f>EXP(-1.0587+0.8836*LN(BE4)+0.284)</f>
        <v>0.40038464441801103</v>
      </c>
      <c r="BG4" s="22">
        <f t="shared" ref="BG4:BG67" si="7">(BE4+BF4)*0.475*44/12</f>
        <v>2.1827412805591249</v>
      </c>
      <c r="BH4" s="62">
        <f t="shared" ref="BH4:BH67" si="8">BG4+(AY4+AZ4)*44/12</f>
        <v>123.15541866678116</v>
      </c>
      <c r="BI4" s="62">
        <f ca="1">AVERAGE(OFFSET($BH$3,0,0,'Données projet'!$E$11+1,1))-AVERAGE(OFFSET($H$3,0,0,'Données projet'!$E$11+1,1))</f>
        <v>211.70619219850786</v>
      </c>
      <c r="BJ4" s="62">
        <f>$BJ$3</f>
        <v>426.883837098247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132.93135127591088</v>
      </c>
      <c r="S5" s="62">
        <f ca="1">AVERAGE(OFFSET($R$3,0,0,'Données projet'!$E$9+1,1))-AVERAGE(OFFSET($H$3,0,0,'Données projet'!$E$9+1,1))</f>
        <v>327.07074355218322</v>
      </c>
      <c r="T5" s="62">
        <f t="shared" ref="T5:T68" si="34">$T$3</f>
        <v>462.01668587029087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128.06370355598918</v>
      </c>
      <c r="AN5" s="62">
        <f ca="1">AVERAGE(OFFSET($AM$3,0,0,'Données projet'!$E$10+1,1))-AVERAGE(OFFSET($H$3,0,0,'Données projet'!$E$10+1,1))</f>
        <v>499.92116338695428</v>
      </c>
      <c r="AO5" s="62">
        <f t="shared" ref="AO5:AO68" si="36">$AO$3</f>
        <v>316.79403154855652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7.7692307692307692</v>
      </c>
      <c r="BD5" s="13">
        <f>IF('Données projet'!$A$88&gt;35,BD4+BC5-BL4,IF(A5&lt;'Données projet'!$A$88,$BA$205^A5,IF(A5='Données projet'!$A$88,'Données projet'!$B$88,BD4+BC5-BL4)))</f>
        <v>2.0340289713350805</v>
      </c>
      <c r="BE5" s="14">
        <f>BD5*VLOOKUP('Données projet'!$B$11,Paramètres!$A$1:$I$89,3,0)*VLOOKUP('Données projet'!$B$11,Paramètres!$A$1:$I$89,5,0)</f>
        <v>1.2163493248583781</v>
      </c>
      <c r="BF5" s="14">
        <f t="shared" ref="BF5:BF68" si="37">EXP(-1.0587+0.8836*LN(BE5)+0.284)</f>
        <v>0.54791046443869817</v>
      </c>
      <c r="BG5" s="22">
        <f t="shared" si="7"/>
        <v>3.072752466359074</v>
      </c>
      <c r="BH5" s="62">
        <f t="shared" si="8"/>
        <v>127.6428422455826</v>
      </c>
      <c r="BI5" s="62">
        <f ca="1">AVERAGE(OFFSET($BH$3,0,0,'Données projet'!$E$11+1,1))-AVERAGE(OFFSET($H$3,0,0,'Données projet'!$E$11+1,1))</f>
        <v>211.70619219850786</v>
      </c>
      <c r="BJ5" s="62">
        <f t="shared" ref="BJ5:BJ68" si="38">$BJ$3</f>
        <v>426.883837098247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144.0613819138251</v>
      </c>
      <c r="S6" s="62">
        <f ca="1">AVERAGE(OFFSET($R$3,0,0,'Données projet'!$E$9+1,1))-AVERAGE(OFFSET($H$3,0,0,'Données projet'!$E$9+1,1))</f>
        <v>327.07074355218322</v>
      </c>
      <c r="T6" s="62">
        <f t="shared" si="34"/>
        <v>462.01668587029087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132.42302482389755</v>
      </c>
      <c r="AN6" s="62">
        <f ca="1">AVERAGE(OFFSET($AM$3,0,0,'Données projet'!$E$10+1,1))-AVERAGE(OFFSET($H$3,0,0,'Données projet'!$E$10+1,1))</f>
        <v>499.92116338695428</v>
      </c>
      <c r="AO6" s="62">
        <f t="shared" si="36"/>
        <v>316.79403154855652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7.7692307692307692</v>
      </c>
      <c r="BD6" s="13">
        <f>IF('Données projet'!$A$88&gt;35,BD5+BC6-BL5,IF(A6&lt;'Données projet'!$A$88,$BA$205^A6,IF(A6='Données projet'!$A$88,'Données projet'!$B$88,BD5+BC6-BL5)))</f>
        <v>2.9009196620933739</v>
      </c>
      <c r="BE6" s="14">
        <f>BD6*VLOOKUP('Données projet'!$B$11,Paramètres!$A$1:$I$89,3,0)*VLOOKUP('Données projet'!$B$11,Paramètres!$A$1:$I$89,5,0)</f>
        <v>1.7347499579318377</v>
      </c>
      <c r="BF6" s="14">
        <f t="shared" si="37"/>
        <v>0.74979368271678282</v>
      </c>
      <c r="BG6" s="22">
        <f t="shared" si="7"/>
        <v>4.3272468407963478</v>
      </c>
      <c r="BH6" s="62">
        <f t="shared" si="8"/>
        <v>132.45354477368804</v>
      </c>
      <c r="BI6" s="62">
        <f ca="1">AVERAGE(OFFSET($BH$3,0,0,'Données projet'!$E$11+1,1))-AVERAGE(OFFSET($H$3,0,0,'Données projet'!$E$11+1,1))</f>
        <v>211.70619219850786</v>
      </c>
      <c r="BJ6" s="62">
        <f t="shared" si="38"/>
        <v>426.883837098247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162.04748496343905</v>
      </c>
      <c r="S7" s="62">
        <f ca="1">AVERAGE(OFFSET($R$3,0,0,'Données projet'!$E$9+1,1))-AVERAGE(OFFSET($H$3,0,0,'Données projet'!$E$9+1,1))</f>
        <v>327.07074355218322</v>
      </c>
      <c r="T7" s="62">
        <f t="shared" si="34"/>
        <v>462.01668587029087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136.92717112661157</v>
      </c>
      <c r="AN7" s="62">
        <f ca="1">AVERAGE(OFFSET($AM$3,0,0,'Données projet'!$E$10+1,1))-AVERAGE(OFFSET($H$3,0,0,'Données projet'!$E$10+1,1))</f>
        <v>499.92116338695428</v>
      </c>
      <c r="AO7" s="62">
        <f t="shared" si="36"/>
        <v>316.79403154855652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7.7692307692307692</v>
      </c>
      <c r="BD7" s="13">
        <f>IF('Données projet'!$A$88&gt;35,BD6+BC7-BL6,IF(A7&lt;'Données projet'!$A$88,$BA$205^A7,IF(A7='Données projet'!$A$88,'Données projet'!$B$88,BD6+BC7-BL6)))</f>
        <v>4.1372738562304461</v>
      </c>
      <c r="BE7" s="14">
        <f>BD7*VLOOKUP('Données projet'!$B$11,Paramètres!$A$1:$I$89,3,0)*VLOOKUP('Données projet'!$B$11,Paramètres!$A$1:$I$89,5,0)</f>
        <v>2.474089766025807</v>
      </c>
      <c r="BF7" s="14">
        <f t="shared" si="37"/>
        <v>1.0260628389675426</v>
      </c>
      <c r="BG7" s="22">
        <f t="shared" si="7"/>
        <v>6.0960991203634167</v>
      </c>
      <c r="BH7" s="62">
        <f t="shared" si="8"/>
        <v>137.73811576902352</v>
      </c>
      <c r="BI7" s="62">
        <f ca="1">AVERAGE(OFFSET($BH$3,0,0,'Données projet'!$E$11+1,1))-AVERAGE(OFFSET($H$3,0,0,'Données projet'!$E$11+1,1))</f>
        <v>211.70619219850786</v>
      </c>
      <c r="BJ7" s="62">
        <f t="shared" si="38"/>
        <v>426.883837098247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193.20043385856056</v>
      </c>
      <c r="S8" s="62">
        <f ca="1">AVERAGE(OFFSET($R$3,0,0,'Données projet'!$E$9+1,1))-AVERAGE(OFFSET($H$3,0,0,'Données projet'!$E$9+1,1))</f>
        <v>327.07074355218322</v>
      </c>
      <c r="T8" s="62">
        <f t="shared" si="34"/>
        <v>462.01668587029087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3.4148126093398208</v>
      </c>
      <c r="AC8" s="24">
        <f t="shared" si="3"/>
        <v>3.4148126093398208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141.61975616682096</v>
      </c>
      <c r="AN8" s="62">
        <f ca="1">AVERAGE(OFFSET($AM$3,0,0,'Données projet'!$E$10+1,1))-AVERAGE(OFFSET($H$3,0,0,'Données projet'!$E$10+1,1))</f>
        <v>499.92116338695428</v>
      </c>
      <c r="AO8" s="62">
        <f t="shared" si="36"/>
        <v>316.79403154855652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7.7692307692307692</v>
      </c>
      <c r="BD8" s="13">
        <f>IF('Données projet'!$A$88&gt;35,BD7+BC8-BL7,IF(A8&lt;'Données projet'!$A$88,$BA$205^A8,IF(A8='Données projet'!$A$88,'Données projet'!$B$88,BD7+BC8-BL7)))</f>
        <v>5.9005546362134957</v>
      </c>
      <c r="BE8" s="14">
        <f>BD8*VLOOKUP('Données projet'!$B$11,Paramètres!$A$1:$I$89,3,0)*VLOOKUP('Données projet'!$B$11,Paramètres!$A$1:$I$89,5,0)</f>
        <v>3.5285316724556708</v>
      </c>
      <c r="BF8" s="14">
        <f t="shared" si="37"/>
        <v>1.404126193348852</v>
      </c>
      <c r="BG8" s="22">
        <f t="shared" si="7"/>
        <v>8.5910457829428761</v>
      </c>
      <c r="BH8" s="62">
        <f t="shared" si="8"/>
        <v>143.70899411069837</v>
      </c>
      <c r="BI8" s="62">
        <f ca="1">AVERAGE(OFFSET($BH$3,0,0,'Données projet'!$E$11+1,1))-AVERAGE(OFFSET($H$3,0,0,'Données projet'!$E$11+1,1))</f>
        <v>211.70619219850786</v>
      </c>
      <c r="BJ8" s="62">
        <f t="shared" si="38"/>
        <v>426.883837098247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210.7105321176831</v>
      </c>
      <c r="S9" s="62">
        <f ca="1">AVERAGE(OFFSET($R$3,0,0,'Données projet'!$E$9+1,1))-AVERAGE(OFFSET($H$3,0,0,'Données projet'!$E$9+1,1))</f>
        <v>327.07074355218322</v>
      </c>
      <c r="T9" s="62">
        <f t="shared" si="34"/>
        <v>462.01668587029087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2.4146371525455161</v>
      </c>
      <c r="AC9" s="24">
        <f t="shared" si="3"/>
        <v>2.4146371525455161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146.55435062961644</v>
      </c>
      <c r="AN9" s="62">
        <f ca="1">AVERAGE(OFFSET($AM$3,0,0,'Données projet'!$E$10+1,1))-AVERAGE(OFFSET($H$3,0,0,'Données projet'!$E$10+1,1))</f>
        <v>499.92116338695428</v>
      </c>
      <c r="AO9" s="62">
        <f t="shared" si="36"/>
        <v>316.79403154855652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7.7692307692307692</v>
      </c>
      <c r="BD9" s="13">
        <f>IF('Données projet'!$A$88&gt;35,BD8+BC9-BL8,IF(A9&lt;'Données projet'!$A$88,$BA$205^A9,IF(A9='Données projet'!$A$88,'Données projet'!$B$88,BD8+BC9-BL8)))</f>
        <v>8.4153348859199362</v>
      </c>
      <c r="BE9" s="14">
        <f>BD9*VLOOKUP('Données projet'!$B$11,Paramètres!$A$1:$I$89,3,0)*VLOOKUP('Données projet'!$B$11,Paramètres!$A$1:$I$89,5,0)</f>
        <v>5.0323702617801223</v>
      </c>
      <c r="BF9" s="14">
        <f t="shared" si="37"/>
        <v>1.9214908599868947</v>
      </c>
      <c r="BG9" s="22">
        <f t="shared" si="7"/>
        <v>12.111308120410888</v>
      </c>
      <c r="BH9" s="62">
        <f t="shared" si="8"/>
        <v>150.66609130672455</v>
      </c>
      <c r="BI9" s="62">
        <f ca="1">AVERAGE(OFFSET($BH$3,0,0,'Données projet'!$E$11+1,1))-AVERAGE(OFFSET($H$3,0,0,'Données projet'!$E$11+1,1))</f>
        <v>211.70619219850786</v>
      </c>
      <c r="BJ9" s="62">
        <f t="shared" si="38"/>
        <v>426.883837098247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236.08687259562384</v>
      </c>
      <c r="S10" s="62">
        <f ca="1">AVERAGE(OFFSET($R$3,0,0,'Données projet'!$E$9+1,1))-AVERAGE(OFFSET($H$3,0,0,'Données projet'!$E$9+1,1))</f>
        <v>327.07074355218322</v>
      </c>
      <c r="T10" s="62">
        <f t="shared" si="34"/>
        <v>462.01668587029087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1.7074063046699106</v>
      </c>
      <c r="AC10" s="24">
        <f t="shared" si="3"/>
        <v>1.7074063046699106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151.79680547618636</v>
      </c>
      <c r="AN10" s="62">
        <f ca="1">AVERAGE(OFFSET($AM$3,0,0,'Données projet'!$E$10+1,1))-AVERAGE(OFFSET($H$3,0,0,'Données projet'!$E$10+1,1))</f>
        <v>499.92116338695428</v>
      </c>
      <c r="AO10" s="62">
        <f t="shared" si="36"/>
        <v>316.79403154855652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7.7692307692307692</v>
      </c>
      <c r="BD10" s="13">
        <f>IF('Données projet'!$A$88&gt;35,BD9+BC10-BL9,IF(A10&lt;'Données projet'!$A$88,$BA$205^A10,IF(A10='Données projet'!$A$88,'Données projet'!$B$88,BD9+BC10-BL9)))</f>
        <v>12.001899077003776</v>
      </c>
      <c r="BE10" s="14">
        <f>BD10*VLOOKUP('Données projet'!$B$11,Paramètres!$A$1:$I$89,3,0)*VLOOKUP('Données projet'!$B$11,Paramètres!$A$1:$I$89,5,0)</f>
        <v>7.1771356480482584</v>
      </c>
      <c r="BF10" s="14">
        <f t="shared" si="37"/>
        <v>2.6294838330787229</v>
      </c>
      <c r="BG10" s="22">
        <f t="shared" si="7"/>
        <v>17.079862262962827</v>
      </c>
      <c r="BH10" s="62">
        <f t="shared" si="8"/>
        <v>159.03306172972634</v>
      </c>
      <c r="BI10" s="62">
        <f ca="1">AVERAGE(OFFSET($BH$3,0,0,'Données projet'!$E$11+1,1))-AVERAGE(OFFSET($H$3,0,0,'Données projet'!$E$11+1,1))</f>
        <v>211.70619219850786</v>
      </c>
      <c r="BJ10" s="62">
        <f t="shared" si="38"/>
        <v>426.883837098247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261.29669449910699</v>
      </c>
      <c r="S11" s="62">
        <f ca="1">AVERAGE(OFFSET($R$3,0,0,'Données projet'!$E$9+1,1))-AVERAGE(OFFSET($H$3,0,0,'Données projet'!$E$9+1,1))</f>
        <v>327.07074355218322</v>
      </c>
      <c r="T11" s="62">
        <f t="shared" si="34"/>
        <v>462.01668587029087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1.2073185762727583</v>
      </c>
      <c r="AC11" s="24">
        <f t="shared" si="3"/>
        <v>1.2073185762727583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157.42811808779004</v>
      </c>
      <c r="AN11" s="62">
        <f ca="1">AVERAGE(OFFSET($AM$3,0,0,'Données projet'!$E$10+1,1))-AVERAGE(OFFSET($H$3,0,0,'Données projet'!$E$10+1,1))</f>
        <v>499.92116338695428</v>
      </c>
      <c r="AO11" s="62">
        <f t="shared" si="36"/>
        <v>316.79403154855652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7.7692307692307692</v>
      </c>
      <c r="BD11" s="13">
        <f>IF('Données projet'!$A$88&gt;35,BD10+BC11-BL10,IF(A11&lt;'Données projet'!$A$88,$BA$205^A11,IF(A11='Données projet'!$A$88,'Données projet'!$B$88,BD10+BC11-BL10)))</f>
        <v>17.117034961447946</v>
      </c>
      <c r="BE11" s="14">
        <f>BD11*VLOOKUP('Données projet'!$B$11,Paramètres!$A$1:$I$89,3,0)*VLOOKUP('Données projet'!$B$11,Paramètres!$A$1:$I$89,5,0)</f>
        <v>10.235986906945872</v>
      </c>
      <c r="BF11" s="14">
        <f t="shared" si="37"/>
        <v>3.5983440631455994</v>
      </c>
      <c r="BG11" s="22">
        <f t="shared" si="7"/>
        <v>24.094793106242644</v>
      </c>
      <c r="BH11" s="62">
        <f t="shared" si="8"/>
        <v>169.40865675178679</v>
      </c>
      <c r="BI11" s="62">
        <f ca="1">AVERAGE(OFFSET($BH$3,0,0,'Données projet'!$E$11+1,1))-AVERAGE(OFFSET($H$3,0,0,'Données projet'!$E$11+1,1))</f>
        <v>211.70619219850786</v>
      </c>
      <c r="BJ11" s="62">
        <f t="shared" si="38"/>
        <v>426.883837098247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286.36847376464544</v>
      </c>
      <c r="S12" s="62">
        <f ca="1">AVERAGE(OFFSET($R$3,0,0,'Données projet'!$E$9+1,1))-AVERAGE(OFFSET($H$3,0,0,'Données projet'!$E$9+1,1))</f>
        <v>327.07074355218322</v>
      </c>
      <c r="T12" s="62">
        <f t="shared" si="34"/>
        <v>462.01668587029087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0.85370315233495542</v>
      </c>
      <c r="AC12" s="24">
        <f t="shared" si="3"/>
        <v>0.85370315233495542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163.54796843765274</v>
      </c>
      <c r="AN12" s="62">
        <f ca="1">AVERAGE(OFFSET($AM$3,0,0,'Données projet'!$E$10+1,1))-AVERAGE(OFFSET($H$3,0,0,'Données projet'!$E$10+1,1))</f>
        <v>499.92116338695428</v>
      </c>
      <c r="AO12" s="62">
        <f t="shared" si="36"/>
        <v>316.79403154855652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7.7692307692307692</v>
      </c>
      <c r="BD12" s="13">
        <f>IF('Données projet'!$A$88&gt;35,BD11+BC12-BL11,IF(A12&lt;'Données projet'!$A$88,$BA$205^A12,IF(A12='Données projet'!$A$88,'Données projet'!$B$88,BD11+BC12-BL11)))</f>
        <v>24.412210433665443</v>
      </c>
      <c r="BE12" s="14">
        <f>BD12*VLOOKUP('Données projet'!$B$11,Paramètres!$A$1:$I$89,3,0)*VLOOKUP('Données projet'!$B$11,Paramètres!$A$1:$I$89,5,0)</f>
        <v>14.598501839331936</v>
      </c>
      <c r="BF12" s="14">
        <f t="shared" si="37"/>
        <v>4.9241907608973428</v>
      </c>
      <c r="BG12" s="22">
        <f t="shared" si="7"/>
        <v>34.002022945399325</v>
      </c>
      <c r="BH12" s="62">
        <f t="shared" si="8"/>
        <v>182.63945358261782</v>
      </c>
      <c r="BI12" s="62">
        <f ca="1">AVERAGE(OFFSET($BH$3,0,0,'Données projet'!$E$11+1,1))-AVERAGE(OFFSET($H$3,0,0,'Données projet'!$E$11+1,1))</f>
        <v>211.70619219850786</v>
      </c>
      <c r="BJ12" s="62">
        <f t="shared" si="38"/>
        <v>426.883837098247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311.32108802005678</v>
      </c>
      <c r="S13" s="62">
        <f ca="1">AVERAGE(OFFSET($R$3,0,0,'Données projet'!$E$9+1,1))-AVERAGE(OFFSET($H$3,0,0,'Données projet'!$E$9+1,1))</f>
        <v>327.07074355218322</v>
      </c>
      <c r="T13" s="62">
        <f t="shared" si="34"/>
        <v>462.01668587029087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0.06</v>
      </c>
      <c r="X13" s="17">
        <f>IF(ISNA(VLOOKUP(A13,'Données projet'!$A$35:$I$55,6,0)),0%,VLOOKUP(A13,'Données projet'!$A$35:$I$55,6,0)*VLOOKUP('Données projet'!$B$9,Paramètres!$A$1:$I$89,7,0))</f>
        <v>0.24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1.2602892952457807</v>
      </c>
      <c r="AA13" s="23">
        <f>EXP(-LN(2)/25)*AA12+(1-EXP(-LN(2)/25))/(LN(2)/25)*Calculateur!V13*Calculateur!X13*VLOOKUP('Données projet'!$B$9,Paramètres!$A$1:$I$89,3,0)*0.475*44/12</f>
        <v>5.0213082243301157</v>
      </c>
      <c r="AB13" s="23">
        <f>EXP(-LN(2)/2)*AB12+(1-EXP(-LN(2)/2))/(LN(2)/2)*V13*Y13*VLOOKUP('Données projet'!$B$9,Paramètres!$A$1:$I$89,3,0)*0.475*44/12</f>
        <v>0.60365928813637926</v>
      </c>
      <c r="AC13" s="24">
        <f t="shared" si="3"/>
        <v>6.8852568077122758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170.27908233238728</v>
      </c>
      <c r="AN13" s="62">
        <f ca="1">AVERAGE(OFFSET($AM$3,0,0,'Données projet'!$E$10+1,1))-AVERAGE(OFFSET($H$3,0,0,'Données projet'!$E$10+1,1))</f>
        <v>499.92116338695428</v>
      </c>
      <c r="AO13" s="62">
        <f t="shared" si="36"/>
        <v>316.79403154855652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7.7692307692307692</v>
      </c>
      <c r="BD13" s="13">
        <f>IF('Données projet'!$A$88&gt;35,BD12+BC13-BL12,IF(A13&lt;'Données projet'!$A$88,$BA$205^A13,IF(A13='Données projet'!$A$88,'Données projet'!$B$88,BD12+BC13-BL12)))</f>
        <v>34.816545014940573</v>
      </c>
      <c r="BE13" s="14">
        <f>BD13*VLOOKUP('Données projet'!$B$11,Paramètres!$A$1:$I$89,3,0)*VLOOKUP('Données projet'!$B$11,Paramètres!$A$1:$I$89,5,0)</f>
        <v>20.820293918934464</v>
      </c>
      <c r="BF13" s="14">
        <f t="shared" si="37"/>
        <v>6.7385592439734481</v>
      </c>
      <c r="BG13" s="22">
        <f t="shared" si="7"/>
        <v>47.998335925397946</v>
      </c>
      <c r="BH13" s="62">
        <f t="shared" si="8"/>
        <v>199.92287992044396</v>
      </c>
      <c r="BI13" s="62">
        <f ca="1">AVERAGE(OFFSET($BH$3,0,0,'Données projet'!$E$11+1,1))-AVERAGE(OFFSET($H$3,0,0,'Données projet'!$E$11+1,1))</f>
        <v>211.70619219850786</v>
      </c>
      <c r="BJ13" s="62">
        <f t="shared" si="38"/>
        <v>426.883837098247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69</v>
      </c>
      <c r="O14" s="14">
        <f>N14*VLOOKUP('Données projet'!$B$9,Paramètres!$A$1:$I$89,3,0)*VLOOKUP('Données projet'!$B$9,Paramètres!$A$1:$I$89,5,0)</f>
        <v>62.431199999999997</v>
      </c>
      <c r="P14" s="14">
        <f t="shared" si="33"/>
        <v>17.781524466058684</v>
      </c>
      <c r="Q14" s="22">
        <f t="shared" si="2"/>
        <v>139.70382844505221</v>
      </c>
      <c r="R14" s="62">
        <f t="shared" si="0"/>
        <v>294.8796645531279</v>
      </c>
      <c r="S14" s="62">
        <f ca="1">AVERAGE(OFFSET($R$3,0,0,'Données projet'!$E$9+1,1))-AVERAGE(OFFSET($H$3,0,0,'Données projet'!$E$9+1,1))</f>
        <v>327.07074355218322</v>
      </c>
      <c r="T14" s="62">
        <f t="shared" si="34"/>
        <v>462.01668587029087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1.2355757908665781</v>
      </c>
      <c r="AA14" s="23">
        <f>EXP(-LN(2)/25)*AA13+(1-EXP(-LN(2)/25))/(LN(2)/25)*Calculateur!V14*Calculateur!X14*VLOOKUP('Données projet'!$B$9,Paramètres!$A$1:$I$89,3,0)*0.475*44/12</f>
        <v>4.8840002868766854</v>
      </c>
      <c r="AB14" s="23">
        <f>EXP(-LN(2)/2)*AB13+(1-EXP(-LN(2)/2))/(LN(2)/2)*V14*Y14*VLOOKUP('Données projet'!$B$9,Paramètres!$A$1:$I$89,3,0)*0.475*44/12</f>
        <v>0.42685157616747782</v>
      </c>
      <c r="AC14" s="24">
        <f t="shared" si="3"/>
        <v>6.546427653910742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177.77261565596979</v>
      </c>
      <c r="AN14" s="62">
        <f ca="1">AVERAGE(OFFSET($AM$3,0,0,'Données projet'!$E$10+1,1))-AVERAGE(OFFSET($H$3,0,0,'Données projet'!$E$10+1,1))</f>
        <v>499.92116338695428</v>
      </c>
      <c r="AO14" s="62">
        <f t="shared" si="36"/>
        <v>316.79403154855652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7.7692307692307692</v>
      </c>
      <c r="BD14" s="13">
        <f>IF('Données projet'!$A$88&gt;35,BD13+BC14-BL13,IF(A14&lt;'Données projet'!$A$88,$BA$205^A14,IF(A14='Données projet'!$A$88,'Données projet'!$B$88,BD13+BC14-BL13)))</f>
        <v>49.65514327640404</v>
      </c>
      <c r="BE14" s="14">
        <f>BD14*VLOOKUP('Données projet'!$B$11,Paramètres!$A$1:$I$89,3,0)*VLOOKUP('Données projet'!$B$11,Paramètres!$A$1:$I$89,5,0)</f>
        <v>29.693775679289619</v>
      </c>
      <c r="BF14" s="14">
        <f t="shared" si="37"/>
        <v>9.2214503640117265</v>
      </c>
      <c r="BG14" s="22">
        <f t="shared" si="7"/>
        <v>67.777352025416505</v>
      </c>
      <c r="BH14" s="62">
        <f t="shared" si="8"/>
        <v>222.95318813349218</v>
      </c>
      <c r="BI14" s="62">
        <f ca="1">AVERAGE(OFFSET($BH$3,0,0,'Données projet'!$E$11+1,1))-AVERAGE(OFFSET($H$3,0,0,'Données projet'!$E$11+1,1))</f>
        <v>211.70619219850786</v>
      </c>
      <c r="BJ14" s="62">
        <f t="shared" si="38"/>
        <v>426.883837098247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80</v>
      </c>
      <c r="O15" s="14">
        <f>N15*VLOOKUP('Données projet'!$B$9,Paramètres!$A$1:$I$89,3,0)*VLOOKUP('Données projet'!$B$9,Paramètres!$A$1:$I$89,5,0)</f>
        <v>72.384</v>
      </c>
      <c r="P15" s="14">
        <f t="shared" si="33"/>
        <v>20.264329923804397</v>
      </c>
      <c r="Q15" s="22">
        <f t="shared" si="2"/>
        <v>161.362507950626</v>
      </c>
      <c r="R15" s="62">
        <f t="shared" si="0"/>
        <v>319.75443634544661</v>
      </c>
      <c r="S15" s="62">
        <f ca="1">AVERAGE(OFFSET($R$3,0,0,'Données projet'!$E$9+1,1))-AVERAGE(OFFSET($H$3,0,0,'Données projet'!$E$9+1,1))</f>
        <v>327.07074355218322</v>
      </c>
      <c r="T15" s="62">
        <f t="shared" si="34"/>
        <v>462.01668587029087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1.2113469032345026</v>
      </c>
      <c r="AA15" s="23">
        <f>EXP(-LN(2)/25)*AA14+(1-EXP(-LN(2)/25))/(LN(2)/25)*Calculateur!V15*Calculateur!X15*VLOOKUP('Données projet'!$B$9,Paramètres!$A$1:$I$89,3,0)*0.475*44/12</f>
        <v>4.7504470421936302</v>
      </c>
      <c r="AB15" s="23">
        <f>EXP(-LN(2)/2)*AB14+(1-EXP(-LN(2)/2))/(LN(2)/2)*V15*Y15*VLOOKUP('Données projet'!$B$9,Paramètres!$A$1:$I$89,3,0)*0.475*44/12</f>
        <v>0.30182964406818968</v>
      </c>
      <c r="AC15" s="24">
        <f t="shared" si="3"/>
        <v>6.2636235894963219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186.21479912499538</v>
      </c>
      <c r="AN15" s="62">
        <f ca="1">AVERAGE(OFFSET($AM$3,0,0,'Données projet'!$E$10+1,1))-AVERAGE(OFFSET($H$3,0,0,'Données projet'!$E$10+1,1))</f>
        <v>499.92116338695428</v>
      </c>
      <c r="AO15" s="62">
        <f t="shared" si="36"/>
        <v>316.79403154855652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7.7692307692307692</v>
      </c>
      <c r="BD15" s="13">
        <f>IF('Données projet'!$A$88&gt;35,BD14+BC15-BL14,IF(A15&lt;'Données projet'!$A$88,$BA$205^A15,IF(A15='Données projet'!$A$88,'Données projet'!$B$88,BD14+BC15-BL14)))</f>
        <v>70.81786124218111</v>
      </c>
      <c r="BE15" s="14">
        <f>BD15*VLOOKUP('Données projet'!$B$11,Paramètres!$A$1:$I$89,3,0)*VLOOKUP('Données projet'!$B$11,Paramètres!$A$1:$I$89,5,0)</f>
        <v>42.349081022824308</v>
      </c>
      <c r="BF15" s="14">
        <f t="shared" si="37"/>
        <v>12.61918812867636</v>
      </c>
      <c r="BG15" s="22">
        <f t="shared" si="7"/>
        <v>95.736402105530317</v>
      </c>
      <c r="BH15" s="62">
        <f t="shared" si="8"/>
        <v>254.12833050035093</v>
      </c>
      <c r="BI15" s="62">
        <f ca="1">AVERAGE(OFFSET($BH$3,0,0,'Données projet'!$E$11+1,1))-AVERAGE(OFFSET($H$3,0,0,'Données projet'!$E$11+1,1))</f>
        <v>211.70619219850786</v>
      </c>
      <c r="BJ15" s="62">
        <f t="shared" si="38"/>
        <v>426.883837098247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82.336799999999997</v>
      </c>
      <c r="P16" s="14">
        <f t="shared" si="33"/>
        <v>22.707582950885364</v>
      </c>
      <c r="Q16" s="22">
        <f t="shared" si="2"/>
        <v>182.95230030612535</v>
      </c>
      <c r="R16" s="62">
        <f t="shared" si="0"/>
        <v>344.52573179969704</v>
      </c>
      <c r="S16" s="62">
        <f ca="1">AVERAGE(OFFSET($R$3,0,0,'Données projet'!$E$9+1,1))-AVERAGE(OFFSET($H$3,0,0,'Données projet'!$E$9+1,1))</f>
        <v>327.07074355218322</v>
      </c>
      <c r="T16" s="62">
        <f t="shared" si="34"/>
        <v>462.01668587029087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1.1875931293107298</v>
      </c>
      <c r="AA16" s="23">
        <f>EXP(-LN(2)/25)*AA15+(1-EXP(-LN(2)/25))/(LN(2)/25)*Calculateur!V16*Calculateur!X16*VLOOKUP('Données projet'!$B$9,Paramètres!$A$1:$I$89,3,0)*0.475*44/12</f>
        <v>4.6205458180096928</v>
      </c>
      <c r="AB16" s="23">
        <f>EXP(-LN(2)/2)*AB15+(1-EXP(-LN(2)/2))/(LN(2)/2)*V16*Y16*VLOOKUP('Données projet'!$B$9,Paramètres!$A$1:$I$89,3,0)*0.475*44/12</f>
        <v>0.21342578808373894</v>
      </c>
      <c r="AC16" s="24">
        <f t="shared" si="3"/>
        <v>6.0215647354041613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195.83513937200854</v>
      </c>
      <c r="AN16" s="62">
        <f ca="1">AVERAGE(OFFSET($AM$3,0,0,'Données projet'!$E$10+1,1))-AVERAGE(OFFSET($H$3,0,0,'Données projet'!$E$10+1,1))</f>
        <v>499.92116338695428</v>
      </c>
      <c r="AO16" s="62">
        <f t="shared" si="36"/>
        <v>316.79403154855652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101</v>
      </c>
      <c r="BB16" s="13">
        <f>VLOOKUP(A16,'Données projet'!$A$87:$I$107,9,0)</f>
        <v>7.7692307692307692</v>
      </c>
      <c r="BC16" s="13">
        <f t="array" ref="BC16">INDEX(BB:BB,MIN(IF(ISNUMBER(BB16:BB212),ROW(BB16:BB212),"")))</f>
        <v>7.7692307692307692</v>
      </c>
      <c r="BD16" s="13">
        <f>IF('Données projet'!$A$88&gt;35,BD15+BC16-BL15,IF(A16&lt;'Données projet'!$A$88,$BA$205^A16,IF(A16='Données projet'!$A$88,'Données projet'!$B$88,BD15+BC16-BL15)))</f>
        <v>101</v>
      </c>
      <c r="BE16" s="14">
        <f>BD16*VLOOKUP('Données projet'!$B$11,Paramètres!$A$1:$I$89,3,0)*VLOOKUP('Données projet'!$B$11,Paramètres!$A$1:$I$89,5,0)</f>
        <v>60.398000000000003</v>
      </c>
      <c r="BF16" s="14">
        <f t="shared" si="37"/>
        <v>17.26885714728807</v>
      </c>
      <c r="BG16" s="22">
        <f t="shared" si="7"/>
        <v>135.26977619819337</v>
      </c>
      <c r="BH16" s="62">
        <f t="shared" si="8"/>
        <v>296.84320769176509</v>
      </c>
      <c r="BI16" s="62">
        <f ca="1">AVERAGE(OFFSET($BH$3,0,0,'Données projet'!$E$11+1,1))-AVERAGE(OFFSET($H$3,0,0,'Données projet'!$E$11+1,1))</f>
        <v>211.70619219850786</v>
      </c>
      <c r="BJ16" s="62">
        <f t="shared" si="38"/>
        <v>426.883837098247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28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18.958097589783147</v>
      </c>
      <c r="BS16" s="24">
        <f t="shared" si="9"/>
        <v>18.958097589783147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projet'!$B$9,Paramètres!$A$1:$I$89,3,0)*VLOOKUP('Données projet'!$B$9,Paramètres!$A$1:$I$89,5,0)</f>
        <v>92.289599999999993</v>
      </c>
      <c r="P17" s="14">
        <f t="shared" si="33"/>
        <v>25.116611431659546</v>
      </c>
      <c r="Q17" s="22">
        <f t="shared" si="2"/>
        <v>204.48248491014036</v>
      </c>
      <c r="R17" s="62">
        <f t="shared" si="0"/>
        <v>369.20343035955113</v>
      </c>
      <c r="S17" s="62">
        <f ca="1">AVERAGE(OFFSET($R$3,0,0,'Données projet'!$E$9+1,1))-AVERAGE(OFFSET($H$3,0,0,'Données projet'!$E$9+1,1))</f>
        <v>327.07074355218322</v>
      </c>
      <c r="T17" s="62">
        <f t="shared" si="34"/>
        <v>462.01668587029087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1.1643051524052306</v>
      </c>
      <c r="AA17" s="23">
        <f>EXP(-LN(2)/25)*AA16+(1-EXP(-LN(2)/25))/(LN(2)/25)*Calculateur!V17*Calculateur!X17*VLOOKUP('Données projet'!$B$9,Paramètres!$A$1:$I$89,3,0)*0.475*44/12</f>
        <v>4.4941967496322732</v>
      </c>
      <c r="AB17" s="23">
        <f>EXP(-LN(2)/2)*AB16+(1-EXP(-LN(2)/2))/(LN(2)/2)*V17*Y17*VLOOKUP('Données projet'!$B$9,Paramètres!$A$1:$I$89,3,0)*0.475*44/12</f>
        <v>0.15091482203409487</v>
      </c>
      <c r="AC17" s="24">
        <f t="shared" si="3"/>
        <v>5.8094167240715988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206.9165417460791</v>
      </c>
      <c r="AN17" s="62">
        <f ca="1">AVERAGE(OFFSET($AM$3,0,0,'Données projet'!$E$10+1,1))-AVERAGE(OFFSET($H$3,0,0,'Données projet'!$E$10+1,1))</f>
        <v>499.92116338695428</v>
      </c>
      <c r="AO17" s="62">
        <f t="shared" si="36"/>
        <v>316.79403154855652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18.600000000000001</v>
      </c>
      <c r="BD17" s="13">
        <f>IF('Données projet'!$A$88&gt;35,BD16+BC17-BL16,IF(A17&lt;'Données projet'!$A$88,$BA$205^A17,IF(A17='Données projet'!$A$88,'Données projet'!$B$88,BD16+BC17-BL16)))</f>
        <v>91.6</v>
      </c>
      <c r="BE17" s="14">
        <f>BD17*VLOOKUP('Données projet'!$B$11,Paramètres!$A$1:$I$89,3,0)*VLOOKUP('Données projet'!$B$11,Paramètres!$A$1:$I$89,5,0)</f>
        <v>54.776799999999994</v>
      </c>
      <c r="BF17" s="14">
        <f t="shared" si="37"/>
        <v>15.840762095818524</v>
      </c>
      <c r="BG17" s="22">
        <f t="shared" si="7"/>
        <v>122.99225398355058</v>
      </c>
      <c r="BH17" s="62">
        <f t="shared" si="8"/>
        <v>287.7131994329614</v>
      </c>
      <c r="BI17" s="62">
        <f ca="1">AVERAGE(OFFSET($BH$3,0,0,'Données projet'!$E$11+1,1))-AVERAGE(OFFSET($H$3,0,0,'Données projet'!$E$11+1,1))</f>
        <v>211.70619219850786</v>
      </c>
      <c r="BJ17" s="62">
        <f t="shared" si="38"/>
        <v>426.883837098247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13.405399364132007</v>
      </c>
      <c r="BS17" s="24">
        <f t="shared" si="9"/>
        <v>13.405399364132007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113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113</v>
      </c>
      <c r="O18" s="14">
        <f>N18*VLOOKUP('Données projet'!$B$9,Paramètres!$A$1:$I$89,3,0)*VLOOKUP('Données projet'!$B$9,Paramètres!$A$1:$I$89,5,0)</f>
        <v>102.24239999999999</v>
      </c>
      <c r="P18" s="14">
        <f t="shared" si="33"/>
        <v>27.495526976991481</v>
      </c>
      <c r="Q18" s="22">
        <f t="shared" si="2"/>
        <v>225.96022281826015</v>
      </c>
      <c r="R18" s="62">
        <f t="shared" si="0"/>
        <v>393.79528271623929</v>
      </c>
      <c r="S18" s="62">
        <f ca="1">AVERAGE(OFFSET($R$3,0,0,'Données projet'!$E$9+1,1))-AVERAGE(OFFSET($H$3,0,0,'Données projet'!$E$9+1,1))</f>
        <v>327.07074355218322</v>
      </c>
      <c r="T18" s="62">
        <f t="shared" si="34"/>
        <v>462.01668587029087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0.12</v>
      </c>
      <c r="X18" s="17">
        <f>IF(ISNA(VLOOKUP(A18,'Données projet'!$A$35:$I$55,6,0)),0%,VLOOKUP(A18,'Données projet'!$A$35:$I$55,6,0)*VLOOKUP('Données projet'!$B$9,Paramètres!$A$1:$I$89,7,0))</f>
        <v>0.18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3.1819422213014681</v>
      </c>
      <c r="AA18" s="23">
        <f>EXP(-LN(2)/25)*AA17+(1-EXP(-LN(2)/25))/(LN(2)/25)*Calculateur!V18*Calculateur!X18*VLOOKUP('Données projet'!$B$9,Paramètres!$A$1:$I$89,3,0)*0.475*44/12</f>
        <v>7.419954125088756</v>
      </c>
      <c r="AB18" s="23">
        <f>EXP(-LN(2)/2)*AB17+(1-EXP(-LN(2)/2))/(LN(2)/2)*V18*Y18*VLOOKUP('Données projet'!$B$9,Paramètres!$A$1:$I$89,3,0)*0.475*44/12</f>
        <v>0.10671289404186948</v>
      </c>
      <c r="AC18" s="24">
        <f t="shared" si="3"/>
        <v>10.708609240432093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219.80780618669371</v>
      </c>
      <c r="AN18" s="62">
        <f ca="1">AVERAGE(OFFSET($AM$3,0,0,'Données projet'!$E$10+1,1))-AVERAGE(OFFSET($H$3,0,0,'Données projet'!$E$10+1,1))</f>
        <v>499.92116338695428</v>
      </c>
      <c r="AO18" s="62">
        <f t="shared" si="36"/>
        <v>316.79403154855652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18.600000000000001</v>
      </c>
      <c r="BD18" s="13">
        <f>IF('Données projet'!$A$88&gt;35,BD17+BC18-BL17,IF(A18&lt;'Données projet'!$A$88,$BA$205^A18,IF(A18='Données projet'!$A$88,'Données projet'!$B$88,BD17+BC18-BL17)))</f>
        <v>110.19999999999999</v>
      </c>
      <c r="BE18" s="14">
        <f>BD18*VLOOKUP('Données projet'!$B$11,Paramètres!$A$1:$I$89,3,0)*VLOOKUP('Données projet'!$B$11,Paramètres!$A$1:$I$89,5,0)</f>
        <v>65.899600000000007</v>
      </c>
      <c r="BF18" s="14">
        <f t="shared" si="37"/>
        <v>18.651634138580526</v>
      </c>
      <c r="BG18" s="22">
        <f t="shared" si="7"/>
        <v>147.26006612469442</v>
      </c>
      <c r="BH18" s="62">
        <f t="shared" si="8"/>
        <v>315.09512602267358</v>
      </c>
      <c r="BI18" s="62">
        <f ca="1">AVERAGE(OFFSET($BH$3,0,0,'Données projet'!$E$11+1,1))-AVERAGE(OFFSET($H$3,0,0,'Données projet'!$E$11+1,1))</f>
        <v>211.70619219850786</v>
      </c>
      <c r="BJ18" s="62">
        <f t="shared" si="38"/>
        <v>426.883837098247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9.4790487948915754</v>
      </c>
      <c r="BS18" s="24">
        <f t="shared" si="9"/>
        <v>9.4790487948915754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9.8000000000000007</v>
      </c>
      <c r="N19" s="14">
        <f>IF('Données projet'!$A$36&gt;35,N18+M19-V18,IF(A19&lt;'Données projet'!$A$36,$K$205^A19,IF(A19='Données projet'!$A$36,'Données projet'!$B$36,N18+M19-V18)))</f>
        <v>105.8</v>
      </c>
      <c r="O19" s="14">
        <f>N19*VLOOKUP('Données projet'!$B$9,Paramètres!$A$1:$I$89,3,0)*VLOOKUP('Données projet'!$B$9,Paramètres!$A$1:$I$89,5,0)</f>
        <v>95.72784</v>
      </c>
      <c r="P19" s="14">
        <f t="shared" si="33"/>
        <v>25.941642560384413</v>
      </c>
      <c r="Q19" s="22">
        <f t="shared" si="2"/>
        <v>211.90768212600287</v>
      </c>
      <c r="R19" s="62">
        <f t="shared" si="0"/>
        <v>382.82403637206068</v>
      </c>
      <c r="S19" s="62">
        <f ca="1">AVERAGE(OFFSET($R$3,0,0,'Données projet'!$E$9+1,1))-AVERAGE(OFFSET($H$3,0,0,'Données projet'!$E$9+1,1))</f>
        <v>327.07074355218322</v>
      </c>
      <c r="T19" s="62">
        <f t="shared" si="34"/>
        <v>462.01668587029087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3.1195462751348639</v>
      </c>
      <c r="AA19" s="23">
        <f>EXP(-LN(2)/25)*AA18+(1-EXP(-LN(2)/25))/(LN(2)/25)*Calculateur!V19*Calculateur!X19*VLOOKUP('Données projet'!$B$9,Paramètres!$A$1:$I$89,3,0)*0.475*44/12</f>
        <v>7.2170550893397749</v>
      </c>
      <c r="AB19" s="23">
        <f>EXP(-LN(2)/2)*AB18+(1-EXP(-LN(2)/2))/(LN(2)/2)*V19*Y19*VLOOKUP('Données projet'!$B$9,Paramètres!$A$1:$I$89,3,0)*0.475*44/12</f>
        <v>7.5457411017047435E-2</v>
      </c>
      <c r="AC19" s="24">
        <f t="shared" si="3"/>
        <v>10.412058775491687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234.93905375858239</v>
      </c>
      <c r="AN19" s="62">
        <f ca="1">AVERAGE(OFFSET($AM$3,0,0,'Données projet'!$E$10+1,1))-AVERAGE(OFFSET($H$3,0,0,'Données projet'!$E$10+1,1))</f>
        <v>499.92116338695428</v>
      </c>
      <c r="AO19" s="62">
        <f t="shared" si="36"/>
        <v>316.79403154855652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18.600000000000001</v>
      </c>
      <c r="BD19" s="13">
        <f>IF('Données projet'!$A$88&gt;35,BD18+BC19-BL18,IF(A19&lt;'Données projet'!$A$88,$BA$205^A19,IF(A19='Données projet'!$A$88,'Données projet'!$B$88,BD18+BC19-BL18)))</f>
        <v>128.79999999999998</v>
      </c>
      <c r="BE19" s="14">
        <f>BD19*VLOOKUP('Données projet'!$B$11,Paramètres!$A$1:$I$89,3,0)*VLOOKUP('Données projet'!$B$11,Paramètres!$A$1:$I$89,5,0)</f>
        <v>77.022400000000005</v>
      </c>
      <c r="BF19" s="14">
        <f t="shared" si="37"/>
        <v>21.407546084466961</v>
      </c>
      <c r="BG19" s="22">
        <f t="shared" si="7"/>
        <v>171.43215609711328</v>
      </c>
      <c r="BH19" s="62">
        <f t="shared" si="8"/>
        <v>342.34851034317109</v>
      </c>
      <c r="BI19" s="62">
        <f ca="1">AVERAGE(OFFSET($BH$3,0,0,'Données projet'!$E$11+1,1))-AVERAGE(OFFSET($H$3,0,0,'Données projet'!$E$11+1,1))</f>
        <v>211.70619219850786</v>
      </c>
      <c r="BJ19" s="62">
        <f t="shared" si="38"/>
        <v>426.883837098247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6.7026996820660045</v>
      </c>
      <c r="BS19" s="24">
        <f t="shared" si="9"/>
        <v>6.7026996820660045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9.8000000000000007</v>
      </c>
      <c r="N20" s="14">
        <f>IF('Données projet'!$A$36&gt;35,N19+M20-V19,IF(A20&lt;'Données projet'!$A$36,$K$205^A20,IF(A20='Données projet'!$A$36,'Données projet'!$B$36,N19+M20-V19)))</f>
        <v>115.6</v>
      </c>
      <c r="O20" s="14">
        <f>N20*VLOOKUP('Données projet'!$B$9,Paramètres!$A$1:$I$89,3,0)*VLOOKUP('Données projet'!$B$9,Paramètres!$A$1:$I$89,5,0)</f>
        <v>104.59487999999999</v>
      </c>
      <c r="P20" s="14">
        <f t="shared" si="33"/>
        <v>28.053785838854211</v>
      </c>
      <c r="Q20" s="22">
        <f t="shared" si="2"/>
        <v>231.02975966933766</v>
      </c>
      <c r="R20" s="62">
        <f t="shared" si="0"/>
        <v>404.9951575183531</v>
      </c>
      <c r="S20" s="62">
        <f ca="1">AVERAGE(OFFSET($R$3,0,0,'Données projet'!$E$9+1,1))-AVERAGE(OFFSET($H$3,0,0,'Données projet'!$E$9+1,1))</f>
        <v>327.07074355218322</v>
      </c>
      <c r="T20" s="62">
        <f t="shared" si="34"/>
        <v>462.01668587029087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3.0583738754148175</v>
      </c>
      <c r="AA20" s="23">
        <f>EXP(-LN(2)/25)*AA19+(1-EXP(-LN(2)/25))/(LN(2)/25)*Calculateur!V20*Calculateur!X20*VLOOKUP('Données projet'!$B$9,Paramètres!$A$1:$I$89,3,0)*0.475*44/12</f>
        <v>7.0197043383933462</v>
      </c>
      <c r="AB20" s="23">
        <f>EXP(-LN(2)/2)*AB19+(1-EXP(-LN(2)/2))/(LN(2)/2)*V20*Y20*VLOOKUP('Données projet'!$B$9,Paramètres!$A$1:$I$89,3,0)*0.475*44/12</f>
        <v>5.3356447020934741E-2</v>
      </c>
      <c r="AC20" s="24">
        <f t="shared" si="3"/>
        <v>10.131434660829099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252.84077271642914</v>
      </c>
      <c r="AN20" s="62">
        <f ca="1">AVERAGE(OFFSET($AM$3,0,0,'Données projet'!$E$10+1,1))-AVERAGE(OFFSET($H$3,0,0,'Données projet'!$E$10+1,1))</f>
        <v>499.92116338695428</v>
      </c>
      <c r="AO20" s="62">
        <f t="shared" si="36"/>
        <v>316.79403154855652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18.600000000000001</v>
      </c>
      <c r="BD20" s="13">
        <f>IF('Données projet'!$A$88&gt;35,BD19+BC20-BL19,IF(A20&lt;'Données projet'!$A$88,$BA$205^A20,IF(A20='Données projet'!$A$88,'Données projet'!$B$88,BD19+BC20-BL19)))</f>
        <v>147.39999999999998</v>
      </c>
      <c r="BE20" s="14">
        <f>BD20*VLOOKUP('Données projet'!$B$11,Paramètres!$A$1:$I$89,3,0)*VLOOKUP('Données projet'!$B$11,Paramètres!$A$1:$I$89,5,0)</f>
        <v>88.145199999999988</v>
      </c>
      <c r="BF20" s="14">
        <f t="shared" si="37"/>
        <v>24.117351189004136</v>
      </c>
      <c r="BG20" s="22">
        <f t="shared" si="7"/>
        <v>195.52394332084884</v>
      </c>
      <c r="BH20" s="62">
        <f t="shared" si="8"/>
        <v>369.48934116986425</v>
      </c>
      <c r="BI20" s="62">
        <f ca="1">AVERAGE(OFFSET($BH$3,0,0,'Données projet'!$E$11+1,1))-AVERAGE(OFFSET($H$3,0,0,'Données projet'!$E$11+1,1))</f>
        <v>211.70619219850786</v>
      </c>
      <c r="BJ20" s="62">
        <f t="shared" si="38"/>
        <v>426.883837098247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4.7395243974457886</v>
      </c>
      <c r="BS20" s="24">
        <f t="shared" si="9"/>
        <v>4.7395243974457886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9.8000000000000007</v>
      </c>
      <c r="N21" s="14">
        <f>IF('Données projet'!$A$36&gt;35,N20+M21-V20,IF(A21&lt;'Données projet'!$A$36,$K$205^A21,IF(A21='Données projet'!$A$36,'Données projet'!$B$36,N20+M21-V20)))</f>
        <v>125.39999999999999</v>
      </c>
      <c r="O21" s="14">
        <f>N21*VLOOKUP('Données projet'!$B$9,Paramètres!$A$1:$I$89,3,0)*VLOOKUP('Données projet'!$B$9,Paramètres!$A$1:$I$89,5,0)</f>
        <v>113.46191999999998</v>
      </c>
      <c r="P21" s="14">
        <f t="shared" si="33"/>
        <v>30.145163126535493</v>
      </c>
      <c r="Q21" s="22">
        <f t="shared" si="2"/>
        <v>250.11566977871595</v>
      </c>
      <c r="R21" s="62">
        <f t="shared" si="0"/>
        <v>427.09841996389406</v>
      </c>
      <c r="S21" s="62">
        <f ca="1">AVERAGE(OFFSET($R$3,0,0,'Données projet'!$E$9+1,1))-AVERAGE(OFFSET($H$3,0,0,'Données projet'!$E$9+1,1))</f>
        <v>327.07074355218322</v>
      </c>
      <c r="T21" s="62">
        <f t="shared" si="34"/>
        <v>462.01668587029087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2.9984010291418017</v>
      </c>
      <c r="AA21" s="23">
        <f>EXP(-LN(2)/25)*AA20+(1-EXP(-LN(2)/25))/(LN(2)/25)*Calculateur!V21*Calculateur!X21*VLOOKUP('Données projet'!$B$9,Paramètres!$A$1:$I$89,3,0)*0.475*44/12</f>
        <v>6.8277501541097729</v>
      </c>
      <c r="AB21" s="23">
        <f>EXP(-LN(2)/2)*AB20+(1-EXP(-LN(2)/2))/(LN(2)/2)*V21*Y21*VLOOKUP('Données projet'!$B$9,Paramètres!$A$1:$I$89,3,0)*0.475*44/12</f>
        <v>3.7728705508523717E-2</v>
      </c>
      <c r="AC21" s="24">
        <f t="shared" si="3"/>
        <v>9.8638798887600991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274.16733521633716</v>
      </c>
      <c r="AN21" s="62">
        <f ca="1">AVERAGE(OFFSET($AM$3,0,0,'Données projet'!$E$10+1,1))-AVERAGE(OFFSET($H$3,0,0,'Données projet'!$E$10+1,1))</f>
        <v>499.92116338695428</v>
      </c>
      <c r="AO21" s="62">
        <f t="shared" si="36"/>
        <v>316.79403154855652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166</v>
      </c>
      <c r="BB21" s="13">
        <f>VLOOKUP(A21,'Données projet'!$A$87:$I$107,9,0)</f>
        <v>18.600000000000001</v>
      </c>
      <c r="BC21" s="13">
        <f t="array" ref="BC21">INDEX(BB:BB,MIN(IF(ISNUMBER(BB21:BB217),ROW(BB21:BB217),"")))</f>
        <v>18.600000000000001</v>
      </c>
      <c r="BD21" s="13">
        <f>IF('Données projet'!$A$88&gt;35,BD20+BC21-BL20,IF(A21&lt;'Données projet'!$A$88,$BA$205^A21,IF(A21='Données projet'!$A$88,'Données projet'!$B$88,BD20+BC21-BL20)))</f>
        <v>165.99999999999997</v>
      </c>
      <c r="BE21" s="14">
        <f>BD21*VLOOKUP('Données projet'!$B$11,Paramètres!$A$1:$I$89,3,0)*VLOOKUP('Données projet'!$B$11,Paramètres!$A$1:$I$89,5,0)</f>
        <v>99.267999999999986</v>
      </c>
      <c r="BF21" s="14">
        <f t="shared" si="37"/>
        <v>26.78753414535981</v>
      </c>
      <c r="BG21" s="22">
        <f t="shared" si="7"/>
        <v>219.54672196983498</v>
      </c>
      <c r="BH21" s="62">
        <f t="shared" si="8"/>
        <v>396.52947215501308</v>
      </c>
      <c r="BI21" s="62">
        <f ca="1">AVERAGE(OFFSET($BH$3,0,0,'Données projet'!$E$11+1,1))-AVERAGE(OFFSET($H$3,0,0,'Données projet'!$E$11+1,1))</f>
        <v>211.70619219850786</v>
      </c>
      <c r="BJ21" s="62">
        <f t="shared" si="38"/>
        <v>426.883837098247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40</v>
      </c>
      <c r="BM21" s="17">
        <f>IF(ISNA(VLOOKUP(A21,'Données projet'!$A$87:$I$107,5,0)),0%,VLOOKUP(A21,'Données projet'!$A$87:$I$107,5,0)*VLOOKUP('Données projet'!$B$11,Paramètres!$A$1:$I$89,7,0))</f>
        <v>0.1125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0.75</v>
      </c>
      <c r="BP21" s="23">
        <f>EXP(-LN(2)/35)*BP20+(1-EXP(-LN(2)/35))/(LN(2)/35)*BL21*BM21*VLOOKUP('Données projet'!$B$11,Paramètres!$A$1:$I$89,3,0)*0.475*44/12</f>
        <v>3.5697849495878025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23.663597258657802</v>
      </c>
      <c r="BS21" s="24">
        <f t="shared" si="9"/>
        <v>27.233382208245605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9.8000000000000007</v>
      </c>
      <c r="N22" s="14">
        <f>IF('Données projet'!$A$36&gt;35,N21+M22-V21,IF(A22&lt;'Données projet'!$A$36,$K$205^A22,IF(A22='Données projet'!$A$36,'Données projet'!$B$36,N21+M22-V21)))</f>
        <v>135.19999999999999</v>
      </c>
      <c r="O22" s="14">
        <f>N22*VLOOKUP('Données projet'!$B$9,Paramètres!$A$1:$I$89,3,0)*VLOOKUP('Données projet'!$B$9,Paramètres!$A$1:$I$89,5,0)</f>
        <v>122.32895999999998</v>
      </c>
      <c r="P22" s="14">
        <f t="shared" si="33"/>
        <v>32.217581794883031</v>
      </c>
      <c r="Q22" s="22">
        <f t="shared" si="2"/>
        <v>269.16856029275453</v>
      </c>
      <c r="R22" s="62">
        <f t="shared" si="0"/>
        <v>449.13752131992811</v>
      </c>
      <c r="S22" s="62">
        <f ca="1">AVERAGE(OFFSET($R$3,0,0,'Données projet'!$E$9+1,1))-AVERAGE(OFFSET($H$3,0,0,'Données projet'!$E$9+1,1))</f>
        <v>327.07074355218322</v>
      </c>
      <c r="T22" s="62">
        <f t="shared" si="34"/>
        <v>462.01668587029087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2.9396042138043756</v>
      </c>
      <c r="AA22" s="23">
        <f>EXP(-LN(2)/25)*AA21+(1-EXP(-LN(2)/25))/(LN(2)/25)*Calculateur!V22*Calculateur!X22*VLOOKUP('Données projet'!$B$9,Paramètres!$A$1:$I$89,3,0)*0.475*44/12</f>
        <v>6.6410449670898659</v>
      </c>
      <c r="AB22" s="23">
        <f>EXP(-LN(2)/2)*AB21+(1-EXP(-LN(2)/2))/(LN(2)/2)*V22*Y22*VLOOKUP('Données projet'!$B$9,Paramètres!$A$1:$I$89,3,0)*0.475*44/12</f>
        <v>2.6678223510467371E-2</v>
      </c>
      <c r="AC22" s="24">
        <f t="shared" si="3"/>
        <v>9.6073274044047086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299.72603632191687</v>
      </c>
      <c r="AN22" s="62">
        <f ca="1">AVERAGE(OFFSET($AM$3,0,0,'Données projet'!$E$10+1,1))-AVERAGE(OFFSET($H$3,0,0,'Données projet'!$E$10+1,1))</f>
        <v>499.92116338695428</v>
      </c>
      <c r="AO22" s="62">
        <f t="shared" si="36"/>
        <v>316.79403154855652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17.8</v>
      </c>
      <c r="BD22" s="13">
        <f>IF('Données projet'!$A$88&gt;35,BD21+BC22-BL21,IF(A22&lt;'Données projet'!$A$88,$BA$205^A22,IF(A22='Données projet'!$A$88,'Données projet'!$B$88,BD21+BC22-BL21)))</f>
        <v>143.79999999999998</v>
      </c>
      <c r="BE22" s="14">
        <f>BD22*VLOOKUP('Données projet'!$B$11,Paramètres!$A$1:$I$89,3,0)*VLOOKUP('Données projet'!$B$11,Paramètres!$A$1:$I$89,5,0)</f>
        <v>85.992400000000004</v>
      </c>
      <c r="BF22" s="14">
        <f t="shared" si="37"/>
        <v>23.596141005324462</v>
      </c>
      <c r="BG22" s="22">
        <f t="shared" si="7"/>
        <v>190.86670891760676</v>
      </c>
      <c r="BH22" s="62">
        <f t="shared" si="8"/>
        <v>370.83566994478031</v>
      </c>
      <c r="BI22" s="62">
        <f ca="1">AVERAGE(OFFSET($BH$3,0,0,'Données projet'!$E$11+1,1))-AVERAGE(OFFSET($H$3,0,0,'Données projet'!$E$11+1,1))</f>
        <v>211.70619219850786</v>
      </c>
      <c r="BJ22" s="62">
        <f t="shared" si="38"/>
        <v>426.883837098247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3.499783644080209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16.732690088864331</v>
      </c>
      <c r="BS22" s="24">
        <f t="shared" si="9"/>
        <v>20.232473732944541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145</v>
      </c>
      <c r="L23" s="13">
        <f>VLOOKUP(A23,'Données projet'!$A$35:$I$55,9,0)</f>
        <v>9.8000000000000007</v>
      </c>
      <c r="M23" s="13">
        <f t="array" ref="M23">INDEX(L:L,MIN(IF(ISNUMBER(L23:L219),ROW(L23:L219),"")))</f>
        <v>9.8000000000000007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471.11566744734222</v>
      </c>
      <c r="S23" s="62">
        <f ca="1">AVERAGE(OFFSET($R$3,0,0,'Données projet'!$E$9+1,1))-AVERAGE(OFFSET($H$3,0,0,'Données projet'!$E$9+1,1))</f>
        <v>327.07074355218322</v>
      </c>
      <c r="T23" s="62">
        <f t="shared" si="34"/>
        <v>462.01668587029087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0.15</v>
      </c>
      <c r="X23" s="78">
        <f>IF(ISNA(VLOOKUP(A23,'Données projet'!$A$35:$I$55,6,0)),0%,VLOOKUP(A23,'Données projet'!$A$35:$I$55,6,0)*VLOOKUP('Données projet'!$B$9,Paramètres!$A$1:$I$89,7,0))</f>
        <v>0.15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4.9824425268961683</v>
      </c>
      <c r="AA23" s="23">
        <f>EXP(-LN(2)/25)*AA22+(1-EXP(-LN(2)/25))/(LN(2)/25)*Calculateur!V23*Calculateur!X23*VLOOKUP('Données projet'!$B$9,Paramètres!$A$1:$I$89,3,0)*0.475*44/12</f>
        <v>8.5516570033649657</v>
      </c>
      <c r="AB23" s="23">
        <f>EXP(-LN(2)/2)*AB22+(1-EXP(-LN(2)/2))/(LN(2)/2)*V23*Y23*VLOOKUP('Données projet'!$B$9,Paramètres!$A$1:$I$89,3,0)*0.475*44/12</f>
        <v>1.8864352754261859E-2</v>
      </c>
      <c r="AC23" s="24">
        <f t="shared" si="3"/>
        <v>13.552963883015396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330.51295481465081</v>
      </c>
      <c r="AN23" s="62">
        <f ca="1">AVERAGE(OFFSET($AM$3,0,0,'Données projet'!$E$10+1,1))-AVERAGE(OFFSET($H$3,0,0,'Données projet'!$E$10+1,1))</f>
        <v>499.92116338695428</v>
      </c>
      <c r="AO23" s="62">
        <f t="shared" si="36"/>
        <v>316.79403154855652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17.8</v>
      </c>
      <c r="BD23" s="13">
        <f>IF('Données projet'!$A$88&gt;35,BD22+BC23-BL22,IF(A23&lt;'Données projet'!$A$88,$BA$205^A23,IF(A23='Données projet'!$A$88,'Données projet'!$B$88,BD22+BC23-BL22)))</f>
        <v>161.6</v>
      </c>
      <c r="BE23" s="14">
        <f>BD23*VLOOKUP('Données projet'!$B$11,Paramètres!$A$1:$I$89,3,0)*VLOOKUP('Données projet'!$B$11,Paramètres!$A$1:$I$89,5,0)</f>
        <v>96.636800000000008</v>
      </c>
      <c r="BF23" s="14">
        <f t="shared" si="37"/>
        <v>26.159173215164081</v>
      </c>
      <c r="BG23" s="22">
        <f t="shared" si="7"/>
        <v>213.86965334974411</v>
      </c>
      <c r="BH23" s="62">
        <f t="shared" si="8"/>
        <v>396.79422396004782</v>
      </c>
      <c r="BI23" s="62">
        <f ca="1">AVERAGE(OFFSET($BH$3,0,0,'Données projet'!$E$11+1,1))-AVERAGE(OFFSET($H$3,0,0,'Données projet'!$E$11+1,1))</f>
        <v>211.70619219850786</v>
      </c>
      <c r="BJ23" s="62">
        <f t="shared" si="38"/>
        <v>426.883837098247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3.4311550214770392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11.831798629328903</v>
      </c>
      <c r="BS23" s="24">
        <f t="shared" si="9"/>
        <v>15.262953650805942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463.17476155170721</v>
      </c>
      <c r="S24" s="62">
        <f ca="1">AVERAGE(OFFSET($R$3,0,0,'Données projet'!$E$9+1,1))-AVERAGE(OFFSET($H$3,0,0,'Données projet'!$E$9+1,1))</f>
        <v>327.07074355218322</v>
      </c>
      <c r="T24" s="62">
        <f t="shared" si="34"/>
        <v>462.01668587029087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4.8847398679336003</v>
      </c>
      <c r="AA24" s="23">
        <f>EXP(-LN(2)/25)*AA23+(1-EXP(-LN(2)/25))/(LN(2)/25)*Calculateur!V24*Calculateur!X24*VLOOKUP('Données projet'!$B$9,Paramètres!$A$1:$I$89,3,0)*0.475*44/12</f>
        <v>8.3178114928958546</v>
      </c>
      <c r="AB24" s="23">
        <f>EXP(-LN(2)/2)*AB23+(1-EXP(-LN(2)/2))/(LN(2)/2)*V24*Y24*VLOOKUP('Données projet'!$B$9,Paramètres!$A$1:$I$89,3,0)*0.475*44/12</f>
        <v>1.3339111755233685E-2</v>
      </c>
      <c r="AC24" s="24">
        <f t="shared" si="3"/>
        <v>13.215890472584688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67.136160000000004</v>
      </c>
      <c r="AK24" s="14">
        <f t="shared" si="35"/>
        <v>18.960545405756019</v>
      </c>
      <c r="AL24" s="22">
        <f t="shared" si="4"/>
        <v>149.95176191502506</v>
      </c>
      <c r="AM24" s="62">
        <f t="shared" si="5"/>
        <v>335.80187171302077</v>
      </c>
      <c r="AN24" s="62">
        <f ca="1">AVERAGE(OFFSET($AM$3,0,0,'Données projet'!$E$10+1,1))-AVERAGE(OFFSET($H$3,0,0,'Données projet'!$E$10+1,1))</f>
        <v>499.92116338695428</v>
      </c>
      <c r="AO24" s="62">
        <f t="shared" si="36"/>
        <v>316.79403154855652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179.4</v>
      </c>
      <c r="BE24" s="14">
        <f>BD24*VLOOKUP('Données projet'!$B$11,Paramètres!$A$1:$I$89,3,0)*VLOOKUP('Données projet'!$B$11,Paramètres!$A$1:$I$89,5,0)</f>
        <v>107.2812</v>
      </c>
      <c r="BF24" s="14">
        <f t="shared" si="37"/>
        <v>28.68948404302737</v>
      </c>
      <c r="BG24" s="22">
        <f t="shared" si="7"/>
        <v>236.81560804160597</v>
      </c>
      <c r="BH24" s="62">
        <f t="shared" si="8"/>
        <v>422.66571783960171</v>
      </c>
      <c r="BI24" s="62">
        <f ca="1">AVERAGE(OFFSET($BH$3,0,0,'Données projet'!$E$11+1,1))-AVERAGE(OFFSET($H$3,0,0,'Données projet'!$E$11+1,1))</f>
        <v>211.70619219850786</v>
      </c>
      <c r="BJ24" s="62">
        <f t="shared" si="38"/>
        <v>426.883837098247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3.3638721643037908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8.3663450444321654</v>
      </c>
      <c r="BS24" s="24">
        <f t="shared" si="9"/>
        <v>11.730217208735956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482.36696024233771</v>
      </c>
      <c r="S25" s="62">
        <f ca="1">AVERAGE(OFFSET($R$3,0,0,'Données projet'!$E$9+1,1))-AVERAGE(OFFSET($H$3,0,0,'Données projet'!$E$9+1,1))</f>
        <v>327.07074355218322</v>
      </c>
      <c r="T25" s="62">
        <f t="shared" si="34"/>
        <v>462.01668587029087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4.7889530985205511</v>
      </c>
      <c r="AA25" s="23">
        <f>EXP(-LN(2)/25)*AA24+(1-EXP(-LN(2)/25))/(LN(2)/25)*Calculateur!V25*Calculateur!X25*VLOOKUP('Données projet'!$B$9,Paramètres!$A$1:$I$89,3,0)*0.475*44/12</f>
        <v>8.0903605002079217</v>
      </c>
      <c r="AB25" s="23">
        <f>EXP(-LN(2)/2)*AB24+(1-EXP(-LN(2)/2))/(LN(2)/2)*V25*Y25*VLOOKUP('Données projet'!$B$9,Paramètres!$A$1:$I$89,3,0)*0.475*44/12</f>
        <v>9.4321763771309294E-3</v>
      </c>
      <c r="AC25" s="24">
        <f t="shared" si="3"/>
        <v>12.888745775105603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73.650720000000007</v>
      </c>
      <c r="AK25" s="14">
        <f t="shared" si="35"/>
        <v>20.577360172493922</v>
      </c>
      <c r="AL25" s="22">
        <f t="shared" si="4"/>
        <v>164.11390630042692</v>
      </c>
      <c r="AM25" s="62">
        <f t="shared" si="5"/>
        <v>352.86000654480995</v>
      </c>
      <c r="AN25" s="62">
        <f ca="1">AVERAGE(OFFSET($AM$3,0,0,'Données projet'!$E$10+1,1))-AVERAGE(OFFSET($H$3,0,0,'Données projet'!$E$10+1,1))</f>
        <v>499.92116338695428</v>
      </c>
      <c r="AO25" s="62">
        <f t="shared" si="36"/>
        <v>316.79403154855652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197.20000000000002</v>
      </c>
      <c r="BE25" s="14">
        <f>BD25*VLOOKUP('Données projet'!$B$11,Paramètres!$A$1:$I$89,3,0)*VLOOKUP('Données projet'!$B$11,Paramètres!$A$1:$I$89,5,0)</f>
        <v>117.92560000000003</v>
      </c>
      <c r="BF25" s="14">
        <f t="shared" si="37"/>
        <v>31.190689636070587</v>
      </c>
      <c r="BG25" s="22">
        <f t="shared" si="7"/>
        <v>259.71087111615634</v>
      </c>
      <c r="BH25" s="62">
        <f t="shared" si="8"/>
        <v>448.45697136053934</v>
      </c>
      <c r="BI25" s="62">
        <f ca="1">AVERAGE(OFFSET($BH$3,0,0,'Données projet'!$E$11+1,1))-AVERAGE(OFFSET($H$3,0,0,'Données projet'!$E$11+1,1))</f>
        <v>211.70619219850786</v>
      </c>
      <c r="BJ25" s="62">
        <f t="shared" si="38"/>
        <v>426.883837098247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3.2979086829212192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5.9158993146644514</v>
      </c>
      <c r="BS25" s="24">
        <f t="shared" si="9"/>
        <v>9.2138079975856702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501.50994163303835</v>
      </c>
      <c r="S26" s="62">
        <f ca="1">AVERAGE(OFFSET($R$3,0,0,'Données projet'!$E$9+1,1))-AVERAGE(OFFSET($H$3,0,0,'Données projet'!$E$9+1,1))</f>
        <v>327.07074355218322</v>
      </c>
      <c r="T26" s="62">
        <f t="shared" si="34"/>
        <v>462.01668587029087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4.695044649231531</v>
      </c>
      <c r="AA26" s="23">
        <f>EXP(-LN(2)/25)*AA25+(1-EXP(-LN(2)/25))/(LN(2)/25)*Calculateur!V26*Calculateur!X26*VLOOKUP('Données projet'!$B$9,Paramètres!$A$1:$I$89,3,0)*0.475*44/12</f>
        <v>7.869129166876168</v>
      </c>
      <c r="AB26" s="23">
        <f>EXP(-LN(2)/2)*AB25+(1-EXP(-LN(2)/2))/(LN(2)/2)*V26*Y26*VLOOKUP('Données projet'!$B$9,Paramètres!$A$1:$I$89,3,0)*0.475*44/12</f>
        <v>6.6695558776168427E-3</v>
      </c>
      <c r="AC26" s="24">
        <f t="shared" si="3"/>
        <v>12.570843371985315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80.165279999999996</v>
      </c>
      <c r="AK26" s="14">
        <f t="shared" si="35"/>
        <v>22.177591092468788</v>
      </c>
      <c r="AL26" s="22">
        <f t="shared" si="4"/>
        <v>178.24716715271646</v>
      </c>
      <c r="AM26" s="62">
        <f t="shared" si="5"/>
        <v>369.86022170678268</v>
      </c>
      <c r="AN26" s="62">
        <f ca="1">AVERAGE(OFFSET($AM$3,0,0,'Données projet'!$E$10+1,1))-AVERAGE(OFFSET($H$3,0,0,'Données projet'!$E$10+1,1))</f>
        <v>499.92116338695428</v>
      </c>
      <c r="AO26" s="62">
        <f t="shared" si="36"/>
        <v>316.79403154855652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215</v>
      </c>
      <c r="BB26" s="13">
        <f>VLOOKUP(A26,'Données projet'!$A$87:$I$107,9,0)</f>
        <v>17.8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215.00000000000003</v>
      </c>
      <c r="BE26" s="14">
        <f>BD26*VLOOKUP('Données projet'!$B$11,Paramètres!$A$1:$I$89,3,0)*VLOOKUP('Données projet'!$B$11,Paramètres!$A$1:$I$89,5,0)</f>
        <v>128.57000000000002</v>
      </c>
      <c r="BF26" s="14">
        <f t="shared" si="37"/>
        <v>33.665715905233277</v>
      </c>
      <c r="BG26" s="22">
        <f t="shared" si="7"/>
        <v>282.56053853494797</v>
      </c>
      <c r="BH26" s="62">
        <f t="shared" si="8"/>
        <v>474.17359308901416</v>
      </c>
      <c r="BI26" s="62">
        <f ca="1">AVERAGE(OFFSET($BH$3,0,0,'Données projet'!$E$11+1,1))-AVERAGE(OFFSET($H$3,0,0,'Données projet'!$E$11+1,1))</f>
        <v>211.70619219850786</v>
      </c>
      <c r="BJ26" s="62">
        <f t="shared" si="38"/>
        <v>426.883837098247</v>
      </c>
      <c r="BK26" s="16">
        <f>IF(ISNA(VLOOKUP(A26,'Données projet'!$A$87:$I$107,3,0)),0,VLOOKUP(A26,'Données projet'!$A$87:$I$107,3,0))</f>
        <v>3</v>
      </c>
      <c r="BL26" s="16">
        <f>IF(ISNA(VLOOKUP(A26,'Données projet'!$A$87:$I$107,4,0)),0,VLOOKUP(A26,'Données projet'!$A$87:$I$107,4,0))</f>
        <v>52</v>
      </c>
      <c r="BM26" s="17">
        <f>IF(ISNA(VLOOKUP(A26,'Données projet'!$A$87:$I$107,5,0)),0%,VLOOKUP(A26,'Données projet'!$A$87:$I$107,5,0)*VLOOKUP('Données projet'!$B$11,Paramètres!$A$1:$I$89,7,0))</f>
        <v>0.22500000000000001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12.514679574103097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21.787120284157577</v>
      </c>
      <c r="BS26" s="24">
        <f t="shared" si="9"/>
        <v>34.301799858260672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520.60541846151852</v>
      </c>
      <c r="S27" s="62">
        <f ca="1">AVERAGE(OFFSET($R$3,0,0,'Données projet'!$E$9+1,1))-AVERAGE(OFFSET($H$3,0,0,'Données projet'!$E$9+1,1))</f>
        <v>327.07074355218322</v>
      </c>
      <c r="T27" s="62">
        <f t="shared" si="34"/>
        <v>462.01668587029087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4.6029776873545707</v>
      </c>
      <c r="AA27" s="23">
        <f>EXP(-LN(2)/25)*AA26+(1-EXP(-LN(2)/25))/(LN(2)/25)*Calculateur!V27*Calculateur!X27*VLOOKUP('Données projet'!$B$9,Paramètres!$A$1:$I$89,3,0)*0.475*44/12</f>
        <v>7.6539474159884211</v>
      </c>
      <c r="AB27" s="23">
        <f>EXP(-LN(2)/2)*AB26+(1-EXP(-LN(2)/2))/(LN(2)/2)*V27*Y27*VLOOKUP('Données projet'!$B$9,Paramètres!$A$1:$I$89,3,0)*0.475*44/12</f>
        <v>4.7160881885654647E-3</v>
      </c>
      <c r="AC27" s="24">
        <f t="shared" si="3"/>
        <v>12.261641191531558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86.679839999999999</v>
      </c>
      <c r="AK27" s="14">
        <f t="shared" si="35"/>
        <v>23.762739053789723</v>
      </c>
      <c r="AL27" s="22">
        <f t="shared" si="4"/>
        <v>192.35415851868379</v>
      </c>
      <c r="AM27" s="62">
        <f t="shared" si="5"/>
        <v>386.80563495778586</v>
      </c>
      <c r="AN27" s="62">
        <f ca="1">AVERAGE(OFFSET($AM$3,0,0,'Données projet'!$E$10+1,1))-AVERAGE(OFFSET($H$3,0,0,'Données projet'!$E$10+1,1))</f>
        <v>499.92116338695428</v>
      </c>
      <c r="AO27" s="62">
        <f t="shared" si="36"/>
        <v>316.79403154855652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15.142857142857142</v>
      </c>
      <c r="BD27" s="13">
        <f>IF('Données projet'!$A$88&gt;35,BD26+BC27-BL26,IF(A27&lt;'Données projet'!$A$88,$BA$205^A27,IF(A27='Données projet'!$A$88,'Données projet'!$B$88,BD26+BC27-BL26)))</f>
        <v>178.14285714285717</v>
      </c>
      <c r="BE27" s="14">
        <f>BD27*VLOOKUP('Données projet'!$B$11,Paramètres!$A$1:$I$89,3,0)*VLOOKUP('Données projet'!$B$11,Paramètres!$A$1:$I$89,5,0)</f>
        <v>106.5294285714286</v>
      </c>
      <c r="BF27" s="14">
        <f t="shared" si="37"/>
        <v>28.511771457031461</v>
      </c>
      <c r="BG27" s="22">
        <f t="shared" si="7"/>
        <v>235.19675671623455</v>
      </c>
      <c r="BH27" s="62">
        <f t="shared" si="8"/>
        <v>429.64823315533664</v>
      </c>
      <c r="BI27" s="62">
        <f ca="1">AVERAGE(OFFSET($BH$3,0,0,'Données projet'!$E$11+1,1))-AVERAGE(OFFSET($H$3,0,0,'Données projet'!$E$11+1,1))</f>
        <v>211.70619219850786</v>
      </c>
      <c r="BJ27" s="62">
        <f t="shared" si="38"/>
        <v>426.883837098247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12.269274340855759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15.405820495454805</v>
      </c>
      <c r="BS27" s="24">
        <f t="shared" si="9"/>
        <v>27.675094836310564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539.65496435706143</v>
      </c>
      <c r="S28" s="62">
        <f ca="1">AVERAGE(OFFSET($R$3,0,0,'Données projet'!$E$9+1,1))-AVERAGE(OFFSET($H$3,0,0,'Données projet'!$E$9+1,1))</f>
        <v>327.07074355218322</v>
      </c>
      <c r="T28" s="62">
        <f t="shared" si="34"/>
        <v>462.01668587029087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0.18</v>
      </c>
      <c r="X28" s="17">
        <f>IF(ISNA(VLOOKUP(A28,'Données projet'!$A$35:$I$55,6,0)),0%,VLOOKUP(A28,'Données projet'!$A$35:$I$55,6,0)*VLOOKUP('Données projet'!$B$9,Paramètres!$A$1:$I$89,7,0))</f>
        <v>0.12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6.4931707092595135</v>
      </c>
      <c r="AA28" s="23">
        <f>EXP(-LN(2)/25)*AA27+(1-EXP(-LN(2)/25))/(LN(2)/25)*Calculateur!V28*Calculateur!X28*VLOOKUP('Données projet'!$B$9,Paramètres!$A$1:$I$89,3,0)*0.475*44/12</f>
        <v>8.7597543563382185</v>
      </c>
      <c r="AB28" s="23">
        <f>EXP(-LN(2)/2)*AB27+(1-EXP(-LN(2)/2))/(LN(2)/2)*V28*Y28*VLOOKUP('Données projet'!$B$9,Paramètres!$A$1:$I$89,3,0)*0.475*44/12</f>
        <v>3.3347779388084213E-3</v>
      </c>
      <c r="AC28" s="24">
        <f t="shared" si="3"/>
        <v>15.256259843536542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93.194400000000002</v>
      </c>
      <c r="AK28" s="14">
        <f t="shared" si="35"/>
        <v>25.33406653691528</v>
      </c>
      <c r="AL28" s="22">
        <f t="shared" si="4"/>
        <v>206.43707921846078</v>
      </c>
      <c r="AM28" s="62">
        <f t="shared" si="5"/>
        <v>403.69894009173004</v>
      </c>
      <c r="AN28" s="62">
        <f ca="1">AVERAGE(OFFSET($AM$3,0,0,'Données projet'!$E$10+1,1))-AVERAGE(OFFSET($H$3,0,0,'Données projet'!$E$10+1,1))</f>
        <v>499.92116338695428</v>
      </c>
      <c r="AO28" s="62">
        <f t="shared" si="36"/>
        <v>316.79403154855652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15.142857142857142</v>
      </c>
      <c r="BD28" s="13">
        <f>IF('Données projet'!$A$88&gt;35,BD27+BC28-BL27,IF(A28&lt;'Données projet'!$A$88,$BA$205^A28,IF(A28='Données projet'!$A$88,'Données projet'!$B$88,BD27+BC28-BL27)))</f>
        <v>193.28571428571431</v>
      </c>
      <c r="BE28" s="14">
        <f>BD28*VLOOKUP('Données projet'!$B$11,Paramètres!$A$1:$I$89,3,0)*VLOOKUP('Données projet'!$B$11,Paramètres!$A$1:$I$89,5,0)</f>
        <v>115.58485714285716</v>
      </c>
      <c r="BF28" s="14">
        <f t="shared" si="37"/>
        <v>30.643003864758004</v>
      </c>
      <c r="BG28" s="22">
        <f t="shared" si="7"/>
        <v>254.68019125492972</v>
      </c>
      <c r="BH28" s="62">
        <f t="shared" si="8"/>
        <v>451.94205212819901</v>
      </c>
      <c r="BI28" s="62">
        <f ca="1">AVERAGE(OFFSET($BH$3,0,0,'Données projet'!$E$11+1,1))-AVERAGE(OFFSET($H$3,0,0,'Données projet'!$E$11+1,1))</f>
        <v>211.70619219850786</v>
      </c>
      <c r="BJ28" s="62">
        <f t="shared" si="38"/>
        <v>426.883837098247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12.02868135454999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10.89356014207879</v>
      </c>
      <c r="BS28" s="24">
        <f t="shared" si="9"/>
        <v>22.922241496628779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168.80000000000004</v>
      </c>
      <c r="O29" s="14">
        <f>N29*VLOOKUP('Données projet'!$B$9,Paramètres!$A$1:$I$89,3,0)*VLOOKUP('Données projet'!$B$9,Paramètres!$A$1:$I$89,5,0)</f>
        <v>152.73024000000001</v>
      </c>
      <c r="P29" s="14">
        <f t="shared" si="33"/>
        <v>39.198389597047516</v>
      </c>
      <c r="Q29" s="22">
        <f t="shared" si="2"/>
        <v>334.27569654819109</v>
      </c>
      <c r="R29" s="62">
        <f t="shared" si="0"/>
        <v>534.32039079184915</v>
      </c>
      <c r="S29" s="62">
        <f ca="1">AVERAGE(OFFSET($R$3,0,0,'Données projet'!$E$9+1,1))-AVERAGE(OFFSET($H$3,0,0,'Données projet'!$E$9+1,1))</f>
        <v>327.07074355218322</v>
      </c>
      <c r="T29" s="62">
        <f t="shared" si="34"/>
        <v>462.01668587029087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6.3658435920940057</v>
      </c>
      <c r="AA29" s="23">
        <f>EXP(-LN(2)/25)*AA28+(1-EXP(-LN(2)/25))/(LN(2)/25)*Calculateur!V29*Calculateur!X29*VLOOKUP('Données projet'!$B$9,Paramètres!$A$1:$I$89,3,0)*0.475*44/12</f>
        <v>8.5202184128086884</v>
      </c>
      <c r="AB29" s="23">
        <f>EXP(-LN(2)/2)*AB28+(1-EXP(-LN(2)/2))/(LN(2)/2)*V29*Y29*VLOOKUP('Données projet'!$B$9,Paramètres!$A$1:$I$89,3,0)*0.475*44/12</f>
        <v>2.3580440942827323E-3</v>
      </c>
      <c r="AC29" s="24">
        <f t="shared" si="3"/>
        <v>14.888420048996977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369.65814653255097</v>
      </c>
      <c r="AN29" s="62">
        <f ca="1">AVERAGE(OFFSET($AM$3,0,0,'Données projet'!$E$10+1,1))-AVERAGE(OFFSET($H$3,0,0,'Données projet'!$E$10+1,1))</f>
        <v>499.92116338695428</v>
      </c>
      <c r="AO29" s="62">
        <f t="shared" si="36"/>
        <v>316.79403154855652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15.142857142857142</v>
      </c>
      <c r="BD29" s="13">
        <f>IF('Données projet'!$A$88&gt;35,BD28+BC29-BL28,IF(A29&lt;'Données projet'!$A$88,$BA$205^A29,IF(A29='Données projet'!$A$88,'Données projet'!$B$88,BD28+BC29-BL28)))</f>
        <v>208.42857142857144</v>
      </c>
      <c r="BE29" s="14">
        <f>BD29*VLOOKUP('Données projet'!$B$11,Paramètres!$A$1:$I$89,3,0)*VLOOKUP('Données projet'!$B$11,Paramètres!$A$1:$I$89,5,0)</f>
        <v>124.64028571428574</v>
      </c>
      <c r="BF29" s="14">
        <f t="shared" si="37"/>
        <v>32.754868392894572</v>
      </c>
      <c r="BG29" s="22">
        <f t="shared" si="7"/>
        <v>274.129893403339</v>
      </c>
      <c r="BH29" s="62">
        <f t="shared" si="8"/>
        <v>474.174587646997</v>
      </c>
      <c r="BI29" s="62">
        <f ca="1">AVERAGE(OFFSET($BH$3,0,0,'Données projet'!$E$11+1,1))-AVERAGE(OFFSET($H$3,0,0,'Données projet'!$E$11+1,1))</f>
        <v>211.70619219850786</v>
      </c>
      <c r="BJ29" s="62">
        <f t="shared" si="38"/>
        <v>426.883837098247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11.792806249958446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7.7029102477274032</v>
      </c>
      <c r="BS29" s="24">
        <f t="shared" si="9"/>
        <v>19.495716497685848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175.60000000000005</v>
      </c>
      <c r="O30" s="14">
        <f>N30*VLOOKUP('Données projet'!$B$9,Paramètres!$A$1:$I$89,3,0)*VLOOKUP('Données projet'!$B$9,Paramètres!$A$1:$I$89,5,0)</f>
        <v>158.88288000000006</v>
      </c>
      <c r="P30" s="14">
        <f t="shared" si="33"/>
        <v>40.590443217000178</v>
      </c>
      <c r="Q30" s="22">
        <f t="shared" si="2"/>
        <v>347.41603793627536</v>
      </c>
      <c r="R30" s="62">
        <f t="shared" si="0"/>
        <v>550.21649243590525</v>
      </c>
      <c r="S30" s="62">
        <f ca="1">AVERAGE(OFFSET($R$3,0,0,'Données projet'!$E$9+1,1))-AVERAGE(OFFSET($H$3,0,0,'Données projet'!$E$9+1,1))</f>
        <v>327.07074355218322</v>
      </c>
      <c r="T30" s="62">
        <f t="shared" si="34"/>
        <v>462.01668587029087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6.241013282034241</v>
      </c>
      <c r="AA30" s="23">
        <f>EXP(-LN(2)/25)*AA29+(1-EXP(-LN(2)/25))/(LN(2)/25)*Calculateur!V30*Calculateur!X30*VLOOKUP('Données projet'!$B$9,Paramètres!$A$1:$I$89,3,0)*0.475*44/12</f>
        <v>8.2872325922516215</v>
      </c>
      <c r="AB30" s="23">
        <f>EXP(-LN(2)/2)*AB29+(1-EXP(-LN(2)/2))/(LN(2)/2)*V30*Y30*VLOOKUP('Données projet'!$B$9,Paramètres!$A$1:$I$89,3,0)*0.475*44/12</f>
        <v>1.6673889694042107E-3</v>
      </c>
      <c r="AC30" s="24">
        <f t="shared" si="3"/>
        <v>14.529913263255265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390.45505823679542</v>
      </c>
      <c r="AN30" s="62">
        <f ca="1">AVERAGE(OFFSET($AM$3,0,0,'Données projet'!$E$10+1,1))-AVERAGE(OFFSET($H$3,0,0,'Données projet'!$E$10+1,1))</f>
        <v>499.92116338695428</v>
      </c>
      <c r="AO30" s="62">
        <f t="shared" si="36"/>
        <v>316.79403154855652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15.142857142857142</v>
      </c>
      <c r="BD30" s="13">
        <f>IF('Données projet'!$A$88&gt;35,BD29+BC30-BL29,IF(A30&lt;'Données projet'!$A$88,$BA$205^A30,IF(A30='Données projet'!$A$88,'Données projet'!$B$88,BD29+BC30-BL29)))</f>
        <v>223.57142857142858</v>
      </c>
      <c r="BE30" s="14">
        <f>BD30*VLOOKUP('Données projet'!$B$11,Paramètres!$A$1:$I$89,3,0)*VLOOKUP('Données projet'!$B$11,Paramètres!$A$1:$I$89,5,0)</f>
        <v>133.6957142857143</v>
      </c>
      <c r="BF30" s="14">
        <f t="shared" si="37"/>
        <v>34.848932189999701</v>
      </c>
      <c r="BG30" s="22">
        <f t="shared" si="7"/>
        <v>293.54859261186851</v>
      </c>
      <c r="BH30" s="62">
        <f t="shared" si="8"/>
        <v>496.34904711149841</v>
      </c>
      <c r="BI30" s="62">
        <f ca="1">AVERAGE(OFFSET($BH$3,0,0,'Données projet'!$E$11+1,1))-AVERAGE(OFFSET($H$3,0,0,'Données projet'!$E$11+1,1))</f>
        <v>211.70619219850786</v>
      </c>
      <c r="BJ30" s="62">
        <f t="shared" si="38"/>
        <v>426.883837098247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11.561556512298333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5.4467800710393961</v>
      </c>
      <c r="BS30" s="24">
        <f t="shared" si="9"/>
        <v>17.00833658333773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182.40000000000006</v>
      </c>
      <c r="O31" s="14">
        <f>N31*VLOOKUP('Données projet'!$B$9,Paramètres!$A$1:$I$89,3,0)*VLOOKUP('Données projet'!$B$9,Paramètres!$A$1:$I$89,5,0)</f>
        <v>165.03552000000005</v>
      </c>
      <c r="P31" s="14">
        <f t="shared" si="33"/>
        <v>41.976234598846517</v>
      </c>
      <c r="Q31" s="22">
        <f t="shared" si="2"/>
        <v>360.54547259299108</v>
      </c>
      <c r="R31" s="62">
        <f t="shared" si="0"/>
        <v>566.07508389218469</v>
      </c>
      <c r="S31" s="62">
        <f ca="1">AVERAGE(OFFSET($R$3,0,0,'Données projet'!$E$9+1,1))-AVERAGE(OFFSET($H$3,0,0,'Données projet'!$E$9+1,1))</f>
        <v>327.07074355218322</v>
      </c>
      <c r="T31" s="62">
        <f t="shared" si="34"/>
        <v>462.01668587029087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6.1186308182157765</v>
      </c>
      <c r="AA31" s="23">
        <f>EXP(-LN(2)/25)*AA30+(1-EXP(-LN(2)/25))/(LN(2)/25)*Calculateur!V31*Calculateur!X31*VLOOKUP('Données projet'!$B$9,Paramètres!$A$1:$I$89,3,0)*0.475*44/12</f>
        <v>8.0606177812098796</v>
      </c>
      <c r="AB31" s="23">
        <f>EXP(-LN(2)/2)*AB30+(1-EXP(-LN(2)/2))/(LN(2)/2)*V31*Y31*VLOOKUP('Données projet'!$B$9,Paramètres!$A$1:$I$89,3,0)*0.475*44/12</f>
        <v>1.1790220471413662E-3</v>
      </c>
      <c r="AC31" s="24">
        <f t="shared" si="3"/>
        <v>14.180427621472797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411.1849043871382</v>
      </c>
      <c r="AN31" s="62">
        <f ca="1">AVERAGE(OFFSET($AM$3,0,0,'Données projet'!$E$10+1,1))-AVERAGE(OFFSET($H$3,0,0,'Données projet'!$E$10+1,1))</f>
        <v>499.92116338695428</v>
      </c>
      <c r="AO31" s="62">
        <f t="shared" si="36"/>
        <v>316.79403154855652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15.142857142857142</v>
      </c>
      <c r="BD31" s="13">
        <f>IF('Données projet'!$A$88&gt;35,BD30+BC31-BL30,IF(A31&lt;'Données projet'!$A$88,$BA$205^A31,IF(A31='Données projet'!$A$88,'Données projet'!$B$88,BD30+BC31-BL30)))</f>
        <v>238.71428571428572</v>
      </c>
      <c r="BE31" s="14">
        <f>BD31*VLOOKUP('Données projet'!$B$11,Paramètres!$A$1:$I$89,3,0)*VLOOKUP('Données projet'!$B$11,Paramètres!$A$1:$I$89,5,0)</f>
        <v>142.75114285714287</v>
      </c>
      <c r="BF31" s="14">
        <f t="shared" si="37"/>
        <v>36.926538099571019</v>
      </c>
      <c r="BG31" s="22">
        <f t="shared" si="7"/>
        <v>312.93862766627666</v>
      </c>
      <c r="BH31" s="62">
        <f t="shared" si="8"/>
        <v>518.46823896547028</v>
      </c>
      <c r="BI31" s="62">
        <f ca="1">AVERAGE(OFFSET($BH$3,0,0,'Données projet'!$E$11+1,1))-AVERAGE(OFFSET($H$3,0,0,'Données projet'!$E$11+1,1))</f>
        <v>211.70619219850786</v>
      </c>
      <c r="BJ31" s="62">
        <f t="shared" si="38"/>
        <v>426.883837098247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11.334841440945322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3.8514551238637025</v>
      </c>
      <c r="BS31" s="24">
        <f t="shared" si="9"/>
        <v>15.186296564809025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189.20000000000007</v>
      </c>
      <c r="O32" s="14">
        <f>N32*VLOOKUP('Données projet'!$B$9,Paramètres!$A$1:$I$89,3,0)*VLOOKUP('Données projet'!$B$9,Paramètres!$A$1:$I$89,5,0)</f>
        <v>171.18816000000007</v>
      </c>
      <c r="P32" s="14">
        <f t="shared" si="33"/>
        <v>43.356023936000852</v>
      </c>
      <c r="Q32" s="22">
        <f t="shared" si="2"/>
        <v>373.66445368853493</v>
      </c>
      <c r="R32" s="62">
        <f t="shared" si="0"/>
        <v>581.89707984137635</v>
      </c>
      <c r="S32" s="62">
        <f ca="1">AVERAGE(OFFSET($R$3,0,0,'Données projet'!$E$9+1,1))-AVERAGE(OFFSET($H$3,0,0,'Données projet'!$E$9+1,1))</f>
        <v>327.07074355218322</v>
      </c>
      <c r="T32" s="62">
        <f t="shared" si="34"/>
        <v>462.01668587029087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5.9986481998668602</v>
      </c>
      <c r="AA32" s="23">
        <f>EXP(-LN(2)/25)*AA31+(1-EXP(-LN(2)/25))/(LN(2)/25)*Calculateur!V32*Calculateur!X32*VLOOKUP('Données projet'!$B$9,Paramètres!$A$1:$I$89,3,0)*0.475*44/12</f>
        <v>7.8401997640932288</v>
      </c>
      <c r="AB32" s="23">
        <f>EXP(-LN(2)/2)*AB31+(1-EXP(-LN(2)/2))/(LN(2)/2)*V32*Y32*VLOOKUP('Données projet'!$B$9,Paramètres!$A$1:$I$89,3,0)*0.475*44/12</f>
        <v>8.3369448470210533E-4</v>
      </c>
      <c r="AC32" s="24">
        <f t="shared" si="3"/>
        <v>13.839681658444791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431.85218726359784</v>
      </c>
      <c r="AN32" s="62">
        <f ca="1">AVERAGE(OFFSET($AM$3,0,0,'Données projet'!$E$10+1,1))-AVERAGE(OFFSET($H$3,0,0,'Données projet'!$E$10+1,1))</f>
        <v>499.92116338695428</v>
      </c>
      <c r="AO32" s="62">
        <f t="shared" si="36"/>
        <v>316.79403154855652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15.142857142857142</v>
      </c>
      <c r="BD32" s="13">
        <f>IF('Données projet'!$A$88&gt;35,BD31+BC32-BL31,IF(A32&lt;'Données projet'!$A$88,$BA$205^A32,IF(A32='Données projet'!$A$88,'Données projet'!$B$88,BD31+BC32-BL31)))</f>
        <v>253.85714285714286</v>
      </c>
      <c r="BE32" s="14">
        <f>BD32*VLOOKUP('Données projet'!$B$11,Paramètres!$A$1:$I$89,3,0)*VLOOKUP('Données projet'!$B$11,Paramètres!$A$1:$I$89,5,0)</f>
        <v>151.80657142857146</v>
      </c>
      <c r="BF32" s="14">
        <f t="shared" si="37"/>
        <v>38.988848967460292</v>
      </c>
      <c r="BG32" s="22">
        <f t="shared" si="7"/>
        <v>332.30202385642195</v>
      </c>
      <c r="BH32" s="62">
        <f t="shared" si="8"/>
        <v>540.53465000926337</v>
      </c>
      <c r="BI32" s="62">
        <f ca="1">AVERAGE(OFFSET($BH$3,0,0,'Données projet'!$E$11+1,1))-AVERAGE(OFFSET($H$3,0,0,'Données projet'!$E$11+1,1))</f>
        <v>211.70619219850786</v>
      </c>
      <c r="BJ32" s="62">
        <f t="shared" si="38"/>
        <v>426.883837098247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11.112572113859004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2.7233900355196985</v>
      </c>
      <c r="BS32" s="24">
        <f t="shared" si="9"/>
        <v>13.835962149378702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196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196.00000000000009</v>
      </c>
      <c r="O33" s="14">
        <f>N33*VLOOKUP('Données projet'!$B$9,Paramètres!$A$1:$I$89,3,0)*VLOOKUP('Données projet'!$B$9,Paramètres!$A$1:$I$89,5,0)</f>
        <v>177.34080000000006</v>
      </c>
      <c r="P33" s="14">
        <f t="shared" si="33"/>
        <v>44.730051658603102</v>
      </c>
      <c r="Q33" s="22">
        <f t="shared" si="2"/>
        <v>386.77339997206712</v>
      </c>
      <c r="R33" s="62">
        <f t="shared" si="0"/>
        <v>597.6833525369575</v>
      </c>
      <c r="S33" s="62">
        <f ca="1">AVERAGE(OFFSET($R$3,0,0,'Données projet'!$E$9+1,1))-AVERAGE(OFFSET($H$3,0,0,'Données projet'!$E$9+1,1))</f>
        <v>327.07074355218322</v>
      </c>
      <c r="T33" s="62">
        <f t="shared" si="34"/>
        <v>462.01668587029087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0.24</v>
      </c>
      <c r="X33" s="17">
        <f>IF(ISNA(VLOOKUP(A33,'Données projet'!$A$35:$I$55,6,0)),0%,VLOOKUP(A33,'Données projet'!$A$35:$I$55,6,0)*VLOOKUP('Données projet'!$B$9,Paramètres!$A$1:$I$89,7,0))</f>
        <v>0.06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8.0415143021886486</v>
      </c>
      <c r="AA33" s="23">
        <f>EXP(-LN(2)/25)*AA32+(1-EXP(-LN(2)/25))/(LN(2)/25)*Calculateur!V33*Calculateur!X33*VLOOKUP('Données projet'!$B$9,Paramètres!$A$1:$I$89,3,0)*0.475*44/12</f>
        <v>8.1638063989955683</v>
      </c>
      <c r="AB33" s="23">
        <f>EXP(-LN(2)/2)*AB32+(1-EXP(-LN(2)/2))/(LN(2)/2)*V33*Y33*VLOOKUP('Données projet'!$B$9,Paramètres!$A$1:$I$89,3,0)*0.475*44/12</f>
        <v>5.8951102357068309E-4</v>
      </c>
      <c r="AC33" s="24">
        <f t="shared" si="3"/>
        <v>16.205910212207787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452.46069821522315</v>
      </c>
      <c r="AN33" s="62">
        <f ca="1">AVERAGE(OFFSET($AM$3,0,0,'Données projet'!$E$10+1,1))-AVERAGE(OFFSET($H$3,0,0,'Données projet'!$E$10+1,1))</f>
        <v>499.92116338695428</v>
      </c>
      <c r="AO33" s="62">
        <f t="shared" si="36"/>
        <v>316.79403154855652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269</v>
      </c>
      <c r="BB33" s="13">
        <f>VLOOKUP(A33,'Données projet'!$A$87:$I$107,9,0)</f>
        <v>15.142857142857142</v>
      </c>
      <c r="BC33" s="13">
        <f t="array" ref="BC33">INDEX(BB:BB,MIN(IF(ISNUMBER(BB33:BB229),ROW(BB33:BB229),"")))</f>
        <v>15.142857142857142</v>
      </c>
      <c r="BD33" s="13">
        <f>IF('Données projet'!$A$88&gt;35,BD32+BC33-BL32,IF(A33&lt;'Données projet'!$A$88,$BA$205^A33,IF(A33='Données projet'!$A$88,'Données projet'!$B$88,BD32+BC33-BL32)))</f>
        <v>269</v>
      </c>
      <c r="BE33" s="14">
        <f>BD33*VLOOKUP('Données projet'!$B$11,Paramètres!$A$1:$I$89,3,0)*VLOOKUP('Données projet'!$B$11,Paramètres!$A$1:$I$89,5,0)</f>
        <v>160.86200000000002</v>
      </c>
      <c r="BF33" s="14">
        <f t="shared" si="37"/>
        <v>41.03688107178359</v>
      </c>
      <c r="BG33" s="22">
        <f t="shared" si="7"/>
        <v>351.64055120002314</v>
      </c>
      <c r="BH33" s="62">
        <f t="shared" si="8"/>
        <v>562.55050376491363</v>
      </c>
      <c r="BI33" s="62">
        <f ca="1">AVERAGE(OFFSET($BH$3,0,0,'Données projet'!$E$11+1,1))-AVERAGE(OFFSET($H$3,0,0,'Données projet'!$E$11+1,1))</f>
        <v>211.70619219850786</v>
      </c>
      <c r="BJ33" s="62">
        <f t="shared" si="38"/>
        <v>426.883837098247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10.894661352705947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1.9257275619318515</v>
      </c>
      <c r="BS33" s="24">
        <f t="shared" si="9"/>
        <v>12.8203889146378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5.8</v>
      </c>
      <c r="N34" s="14">
        <f>IF('Données projet'!$A$36&gt;35,N33+M34-V33,IF(A34&lt;'Données projet'!$A$36,$K$205^A34,IF(A34='Données projet'!$A$36,'Données projet'!$B$36,N33+M34-V33)))</f>
        <v>192.8000000000001</v>
      </c>
      <c r="O34" s="14">
        <f>N34*VLOOKUP('Données projet'!$B$9,Paramètres!$A$1:$I$89,3,0)*VLOOKUP('Données projet'!$B$9,Paramètres!$A$1:$I$89,5,0)</f>
        <v>174.4454400000001</v>
      </c>
      <c r="P34" s="14">
        <f t="shared" si="33"/>
        <v>44.084153549607706</v>
      </c>
      <c r="Q34" s="22">
        <f t="shared" si="2"/>
        <v>380.60570876556693</v>
      </c>
      <c r="R34" s="62">
        <f t="shared" si="0"/>
        <v>592.94552271571627</v>
      </c>
      <c r="S34" s="62">
        <f ca="1">AVERAGE(OFFSET($R$3,0,0,'Données projet'!$E$9+1,1))-AVERAGE(OFFSET($H$3,0,0,'Données projet'!$E$9+1,1))</f>
        <v>327.07074355218322</v>
      </c>
      <c r="T34" s="62">
        <f t="shared" si="34"/>
        <v>462.01668587029087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7.8838251115621407</v>
      </c>
      <c r="AA34" s="23">
        <f>EXP(-LN(2)/25)*AA33+(1-EXP(-LN(2)/25))/(LN(2)/25)*Calculateur!V34*Calculateur!X34*VLOOKUP('Données projet'!$B$9,Paramètres!$A$1:$I$89,3,0)*0.475*44/12</f>
        <v>7.9405666836991147</v>
      </c>
      <c r="AB34" s="23">
        <f>EXP(-LN(2)/2)*AB33+(1-EXP(-LN(2)/2))/(LN(2)/2)*V34*Y34*VLOOKUP('Données projet'!$B$9,Paramètres!$A$1:$I$89,3,0)*0.475*44/12</f>
        <v>4.1684724235105267E-4</v>
      </c>
      <c r="AC34" s="24">
        <f t="shared" si="3"/>
        <v>15.824808642503607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93.91824000000004</v>
      </c>
      <c r="AK34" s="14">
        <f t="shared" si="35"/>
        <v>25.507853654186022</v>
      </c>
      <c r="AL34" s="22">
        <f t="shared" si="4"/>
        <v>208.00044644770739</v>
      </c>
      <c r="AM34" s="62">
        <f t="shared" si="5"/>
        <v>420.3402603978567</v>
      </c>
      <c r="AN34" s="62">
        <f ca="1">AVERAGE(OFFSET($AM$3,0,0,'Données projet'!$E$10+1,1))-AVERAGE(OFFSET($H$3,0,0,'Données projet'!$E$10+1,1))</f>
        <v>499.92116338695428</v>
      </c>
      <c r="AO34" s="62">
        <f t="shared" si="36"/>
        <v>316.79403154855652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</v>
      </c>
      <c r="BD34" s="13">
        <f>IF('Données projet'!$A$88&gt;35,BD33+BC34-BL33,IF(A34&lt;'Données projet'!$A$88,$BA$205^A34,IF(A34='Données projet'!$A$88,'Données projet'!$B$88,BD33+BC34-BL33)))</f>
        <v>283</v>
      </c>
      <c r="BE34" s="14">
        <f>BD34*VLOOKUP('Données projet'!$B$11,Paramètres!$A$1:$I$89,3,0)*VLOOKUP('Données projet'!$B$11,Paramètres!$A$1:$I$89,5,0)</f>
        <v>169.23400000000001</v>
      </c>
      <c r="BF34" s="14">
        <f t="shared" si="37"/>
        <v>42.918420001269354</v>
      </c>
      <c r="BG34" s="22">
        <f t="shared" si="7"/>
        <v>369.4987981688775</v>
      </c>
      <c r="BH34" s="62">
        <f t="shared" si="8"/>
        <v>581.83861211902683</v>
      </c>
      <c r="BI34" s="62">
        <f ca="1">AVERAGE(OFFSET($BH$3,0,0,'Données projet'!$E$11+1,1))-AVERAGE(OFFSET($H$3,0,0,'Données projet'!$E$11+1,1))</f>
        <v>211.70619219850786</v>
      </c>
      <c r="BJ34" s="62">
        <f t="shared" si="38"/>
        <v>426.883837098247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10.681023688666661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1.3616950177598495</v>
      </c>
      <c r="BS34" s="24">
        <f t="shared" si="9"/>
        <v>12.042718706426511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5.8</v>
      </c>
      <c r="N35" s="14">
        <f>IF('Données projet'!$A$36&gt;35,N34+M35-V34,IF(A35&lt;'Données projet'!$A$36,$K$205^A35,IF(A35='Données projet'!$A$36,'Données projet'!$B$36,N34+M35-V34)))</f>
        <v>198.60000000000011</v>
      </c>
      <c r="O35" s="14">
        <f>N35*VLOOKUP('Données projet'!$B$9,Paramètres!$A$1:$I$89,3,0)*VLOOKUP('Données projet'!$B$9,Paramètres!$A$1:$I$89,5,0)</f>
        <v>179.6932800000001</v>
      </c>
      <c r="P35" s="14">
        <f t="shared" si="33"/>
        <v>45.253939845742352</v>
      </c>
      <c r="Q35" s="22">
        <f t="shared" ref="Q35:Q66" si="53">(O35+P35)*0.475*44/12</f>
        <v>391.78307456466808</v>
      </c>
      <c r="R35" s="62">
        <f t="shared" si="0"/>
        <v>605.5279450017332</v>
      </c>
      <c r="S35" s="62">
        <f ca="1">AVERAGE(OFFSET($R$3,0,0,'Données projet'!$E$9+1,1))-AVERAGE(OFFSET($H$3,0,0,'Données projet'!$E$9+1,1))</f>
        <v>327.07074355218322</v>
      </c>
      <c r="T35" s="62">
        <f t="shared" si="34"/>
        <v>462.01668587029087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7.7292281097829099</v>
      </c>
      <c r="AA35" s="23">
        <f>EXP(-LN(2)/25)*AA34+(1-EXP(-LN(2)/25))/(LN(2)/25)*Calculateur!V35*Calculateur!X35*VLOOKUP('Données projet'!$B$9,Paramètres!$A$1:$I$89,3,0)*0.475*44/12</f>
        <v>7.7234314701571085</v>
      </c>
      <c r="AB35" s="23">
        <f>EXP(-LN(2)/2)*AB34+(1-EXP(-LN(2)/2))/(LN(2)/2)*V35*Y35*VLOOKUP('Données projet'!$B$9,Paramètres!$A$1:$I$89,3,0)*0.475*44/12</f>
        <v>2.9475551178534154E-4</v>
      </c>
      <c r="AC35" s="24">
        <f t="shared" si="3"/>
        <v>15.452954335451803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103.69008000000004</v>
      </c>
      <c r="AK35" s="14">
        <f t="shared" si="35"/>
        <v>27.83924565319537</v>
      </c>
      <c r="AL35" s="22">
        <f t="shared" si="4"/>
        <v>229.08024217931529</v>
      </c>
      <c r="AM35" s="62">
        <f t="shared" si="5"/>
        <v>442.82511261638047</v>
      </c>
      <c r="AN35" s="62">
        <f ca="1">AVERAGE(OFFSET($AM$3,0,0,'Données projet'!$E$10+1,1))-AVERAGE(OFFSET($H$3,0,0,'Données projet'!$E$10+1,1))</f>
        <v>499.92116338695428</v>
      </c>
      <c r="AO35" s="62">
        <f t="shared" si="36"/>
        <v>316.79403154855652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</v>
      </c>
      <c r="BD35" s="13">
        <f>IF('Données projet'!$A$88&gt;35,BD34+BC35-BL34,IF(A35&lt;'Données projet'!$A$88,$BA$205^A35,IF(A35='Données projet'!$A$88,'Données projet'!$B$88,BD34+BC35-BL34)))</f>
        <v>297</v>
      </c>
      <c r="BE35" s="14">
        <f>BD35*VLOOKUP('Données projet'!$B$11,Paramètres!$A$1:$I$89,3,0)*VLOOKUP('Données projet'!$B$11,Paramètres!$A$1:$I$89,5,0)</f>
        <v>177.60600000000002</v>
      </c>
      <c r="BF35" s="14">
        <f t="shared" si="37"/>
        <v>44.789150937858665</v>
      </c>
      <c r="BG35" s="22">
        <f t="shared" si="7"/>
        <v>387.33822121677053</v>
      </c>
      <c r="BH35" s="62">
        <f t="shared" si="8"/>
        <v>601.08309165383571</v>
      </c>
      <c r="BI35" s="62">
        <f ca="1">AVERAGE(OFFSET($BH$3,0,0,'Données projet'!$E$11+1,1))-AVERAGE(OFFSET($H$3,0,0,'Données projet'!$E$11+1,1))</f>
        <v>211.70619219850786</v>
      </c>
      <c r="BJ35" s="62">
        <f t="shared" si="38"/>
        <v>426.883837098247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10.471575328913076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0.96286378096592584</v>
      </c>
      <c r="BS35" s="24">
        <f t="shared" si="9"/>
        <v>11.434439109879001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5.8</v>
      </c>
      <c r="N36" s="14">
        <f>IF('Données projet'!$A$36&gt;35,N35+M36-V35,IF(A36&lt;'Données projet'!$A$36,$K$205^A36,IF(A36='Données projet'!$A$36,'Données projet'!$B$36,N35+M36-V35)))</f>
        <v>204.40000000000012</v>
      </c>
      <c r="O36" s="14">
        <f>N36*VLOOKUP('Données projet'!$B$9,Paramètres!$A$1:$I$89,3,0)*VLOOKUP('Données projet'!$B$9,Paramètres!$A$1:$I$89,5,0)</f>
        <v>184.9411200000001</v>
      </c>
      <c r="P36" s="14">
        <f t="shared" si="33"/>
        <v>46.419755730249477</v>
      </c>
      <c r="Q36" s="22">
        <f t="shared" si="53"/>
        <v>402.95352523018465</v>
      </c>
      <c r="R36" s="62">
        <f t="shared" si="0"/>
        <v>618.07907756535337</v>
      </c>
      <c r="S36" s="62">
        <f ca="1">AVERAGE(OFFSET($R$3,0,0,'Données projet'!$E$9+1,1))-AVERAGE(OFFSET($H$3,0,0,'Données projet'!$E$9+1,1))</f>
        <v>327.07074355218322</v>
      </c>
      <c r="T36" s="62">
        <f t="shared" si="34"/>
        <v>462.01668587029087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7.5776626609137097</v>
      </c>
      <c r="AA36" s="23">
        <f>EXP(-LN(2)/25)*AA35+(1-EXP(-LN(2)/25))/(LN(2)/25)*Calculateur!V36*Calculateur!X36*VLOOKUP('Données projet'!$B$9,Paramètres!$A$1:$I$89,3,0)*0.475*44/12</f>
        <v>7.5122338304480536</v>
      </c>
      <c r="AB36" s="23">
        <f>EXP(-LN(2)/2)*AB35+(1-EXP(-LN(2)/2))/(LN(2)/2)*V36*Y36*VLOOKUP('Données projet'!$B$9,Paramètres!$A$1:$I$89,3,0)*0.475*44/12</f>
        <v>2.0842362117552633E-4</v>
      </c>
      <c r="AC36" s="24">
        <f t="shared" si="3"/>
        <v>15.090104914982939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113.46192000000002</v>
      </c>
      <c r="AK36" s="14">
        <f t="shared" si="35"/>
        <v>30.145163126535493</v>
      </c>
      <c r="AL36" s="22">
        <f t="shared" si="4"/>
        <v>250.11566977871598</v>
      </c>
      <c r="AM36" s="62">
        <f t="shared" si="5"/>
        <v>465.24122211388465</v>
      </c>
      <c r="AN36" s="62">
        <f ca="1">AVERAGE(OFFSET($AM$3,0,0,'Données projet'!$E$10+1,1))-AVERAGE(OFFSET($H$3,0,0,'Données projet'!$E$10+1,1))</f>
        <v>499.92116338695428</v>
      </c>
      <c r="AO36" s="62">
        <f t="shared" si="36"/>
        <v>316.79403154855652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</v>
      </c>
      <c r="BD36" s="13">
        <f>IF('Données projet'!$A$88&gt;35,BD35+BC36-BL35,IF(A36&lt;'Données projet'!$A$88,$BA$205^A36,IF(A36='Données projet'!$A$88,'Données projet'!$B$88,BD35+BC36-BL35)))</f>
        <v>311</v>
      </c>
      <c r="BE36" s="14">
        <f>BD36*VLOOKUP('Données projet'!$B$11,Paramètres!$A$1:$I$89,3,0)*VLOOKUP('Données projet'!$B$11,Paramètres!$A$1:$I$89,5,0)</f>
        <v>185.97800000000001</v>
      </c>
      <c r="BF36" s="14">
        <f t="shared" si="37"/>
        <v>46.649641523668571</v>
      </c>
      <c r="BG36" s="22">
        <f t="shared" si="7"/>
        <v>405.15980898705612</v>
      </c>
      <c r="BH36" s="62">
        <f t="shared" si="8"/>
        <v>620.28536132222484</v>
      </c>
      <c r="BI36" s="62">
        <f ca="1">AVERAGE(OFFSET($BH$3,0,0,'Données projet'!$E$11+1,1))-AVERAGE(OFFSET($H$3,0,0,'Données projet'!$E$11+1,1))</f>
        <v>211.70619219850786</v>
      </c>
      <c r="BJ36" s="62">
        <f t="shared" si="38"/>
        <v>426.883837098247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10.266234123743374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0.68084750887992485</v>
      </c>
      <c r="BS36" s="24">
        <f t="shared" si="9"/>
        <v>10.947081632623298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5.8</v>
      </c>
      <c r="N37" s="14">
        <f>IF('Données projet'!$A$36&gt;35,N36+M37-V36,IF(A37&lt;'Données projet'!$A$36,$K$205^A37,IF(A37='Données projet'!$A$36,'Données projet'!$B$36,N36+M37-V36)))</f>
        <v>210.20000000000013</v>
      </c>
      <c r="O37" s="14">
        <f>N37*VLOOKUP('Données projet'!$B$9,Paramètres!$A$1:$I$89,3,0)*VLOOKUP('Données projet'!$B$9,Paramètres!$A$1:$I$89,5,0)</f>
        <v>190.18896000000012</v>
      </c>
      <c r="P37" s="14">
        <f t="shared" si="33"/>
        <v>47.581726807151739</v>
      </c>
      <c r="Q37" s="22">
        <f t="shared" si="53"/>
        <v>414.1172795224561</v>
      </c>
      <c r="R37" s="62">
        <f t="shared" si="0"/>
        <v>630.59956201153852</v>
      </c>
      <c r="S37" s="62">
        <f ca="1">AVERAGE(OFFSET($R$3,0,0,'Données projet'!$E$9+1,1))-AVERAGE(OFFSET($H$3,0,0,'Données projet'!$E$9+1,1))</f>
        <v>327.07074355218322</v>
      </c>
      <c r="T37" s="62">
        <f t="shared" si="34"/>
        <v>462.01668587029087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7.4290693180510381</v>
      </c>
      <c r="AA37" s="23">
        <f>EXP(-LN(2)/25)*AA36+(1-EXP(-LN(2)/25))/(LN(2)/25)*Calculateur!V37*Calculateur!X37*VLOOKUP('Données projet'!$B$9,Paramètres!$A$1:$I$89,3,0)*0.475*44/12</f>
        <v>7.3068114013032437</v>
      </c>
      <c r="AB37" s="23">
        <f>EXP(-LN(2)/2)*AB36+(1-EXP(-LN(2)/2))/(LN(2)/2)*V37*Y37*VLOOKUP('Données projet'!$B$9,Paramètres!$A$1:$I$89,3,0)*0.475*44/12</f>
        <v>1.4737775589267077E-4</v>
      </c>
      <c r="AC37" s="24">
        <f t="shared" si="3"/>
        <v>14.736028097110173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123.23376000000005</v>
      </c>
      <c r="AK37" s="14">
        <f t="shared" si="35"/>
        <v>32.428049504876491</v>
      </c>
      <c r="AL37" s="22">
        <f t="shared" si="4"/>
        <v>271.11098488765998</v>
      </c>
      <c r="AM37" s="62">
        <f t="shared" si="5"/>
        <v>487.59326737674235</v>
      </c>
      <c r="AN37" s="62">
        <f ca="1">AVERAGE(OFFSET($AM$3,0,0,'Données projet'!$E$10+1,1))-AVERAGE(OFFSET($H$3,0,0,'Données projet'!$E$10+1,1))</f>
        <v>499.92116338695428</v>
      </c>
      <c r="AO37" s="62">
        <f t="shared" si="36"/>
        <v>316.79403154855652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325</v>
      </c>
      <c r="BB37" s="13">
        <f>VLOOKUP(A37,'Données projet'!$A$87:$I$107,9,0)</f>
        <v>14</v>
      </c>
      <c r="BC37" s="13">
        <f t="array" ref="BC37">INDEX(BB:BB,MIN(IF(ISNUMBER(BB37:BB233),ROW(BB37:BB233),"")))</f>
        <v>14</v>
      </c>
      <c r="BD37" s="13">
        <f>IF('Données projet'!$A$88&gt;35,BD36+BC37-BL36,IF(A37&lt;'Données projet'!$A$88,$BA$205^A37,IF(A37='Données projet'!$A$88,'Données projet'!$B$88,BD36+BC37-BL36)))</f>
        <v>325</v>
      </c>
      <c r="BE37" s="14">
        <f>BD37*VLOOKUP('Données projet'!$B$11,Paramètres!$A$1:$I$89,3,0)*VLOOKUP('Données projet'!$B$11,Paramètres!$A$1:$I$89,5,0)</f>
        <v>194.35</v>
      </c>
      <c r="BF37" s="14">
        <f t="shared" si="37"/>
        <v>48.500405405690429</v>
      </c>
      <c r="BG37" s="22">
        <f t="shared" si="7"/>
        <v>422.96445608157745</v>
      </c>
      <c r="BH37" s="62">
        <f t="shared" si="8"/>
        <v>639.44673857065982</v>
      </c>
      <c r="BI37" s="62">
        <f ca="1">AVERAGE(OFFSET($BH$3,0,0,'Données projet'!$E$11+1,1))-AVERAGE(OFFSET($H$3,0,0,'Données projet'!$E$11+1,1))</f>
        <v>211.70619219850786</v>
      </c>
      <c r="BJ37" s="62">
        <f t="shared" si="38"/>
        <v>426.883837098247</v>
      </c>
      <c r="BK37" s="16">
        <f>IF(ISNA(VLOOKUP(A37,'Données projet'!$A$87:$I$107,3,0)),0,VLOOKUP(A37,'Données projet'!$A$87:$I$107,3,0))</f>
        <v>5</v>
      </c>
      <c r="BL37" s="16">
        <f>IF(ISNA(VLOOKUP(A37,'Données projet'!$A$87:$I$107,4,0)),0,VLOOKUP(A37,'Données projet'!$A$87:$I$107,4,0))</f>
        <v>325</v>
      </c>
      <c r="BM37" s="17">
        <f>IF(ISNA(VLOOKUP(A37,'Données projet'!$A$87:$I$107,5,0)),0%,VLOOKUP(A37,'Données projet'!$A$87:$I$107,5,0)*VLOOKUP('Données projet'!$B$11,Paramètres!$A$1:$I$89,7,0))</f>
        <v>0.315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0.3</v>
      </c>
      <c r="BP37" s="23">
        <f>EXP(-LN(2)/35)*BP36+(1-EXP(-LN(2)/35))/(LN(2)/35)*BL37*BM37*VLOOKUP('Données projet'!$B$11,Paramètres!$A$1:$I$89,3,0)*0.475*44/12</f>
        <v>91.277527137483801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66.496235997763563</v>
      </c>
      <c r="BS37" s="24">
        <f t="shared" si="9"/>
        <v>157.77376313524735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5.8</v>
      </c>
      <c r="M38" s="13">
        <f t="array" ref="M38">INDEX(L:L,MIN(IF(ISNUMBER(L38:L234),ROW(L38:L234),"")))</f>
        <v>5.8</v>
      </c>
      <c r="N38" s="14">
        <f>IF('Données projet'!$A$36&gt;35,N37+M38-V37,IF(A38&lt;'Données projet'!$A$36,$K$205^A38,IF(A38='Données projet'!$A$36,'Données projet'!$B$36,N37+M38-V37)))</f>
        <v>216.00000000000014</v>
      </c>
      <c r="O38" s="14">
        <f>N38*VLOOKUP('Données projet'!$B$9,Paramètres!$A$1:$I$89,3,0)*VLOOKUP('Données projet'!$B$9,Paramètres!$A$1:$I$89,5,0)</f>
        <v>195.43680000000012</v>
      </c>
      <c r="P38" s="14">
        <f t="shared" si="33"/>
        <v>48.739971354487892</v>
      </c>
      <c r="Q38" s="22">
        <f t="shared" si="53"/>
        <v>425.27454344239999</v>
      </c>
      <c r="R38" s="62">
        <f t="shared" si="0"/>
        <v>643.09001985041994</v>
      </c>
      <c r="S38" s="62">
        <f ca="1">AVERAGE(OFFSET($R$3,0,0,'Données projet'!$E$9+1,1))-AVERAGE(OFFSET($H$3,0,0,'Données projet'!$E$9+1,1))</f>
        <v>327.07074355218322</v>
      </c>
      <c r="T38" s="62">
        <f t="shared" si="34"/>
        <v>462.01668587029087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7.2833898000089139</v>
      </c>
      <c r="AA38" s="23">
        <f>EXP(-LN(2)/25)*AA37+(1-EXP(-LN(2)/25))/(LN(2)/25)*Calculateur!V38*Calculateur!X38*VLOOKUP('Données projet'!$B$9,Paramètres!$A$1:$I$89,3,0)*0.475*44/12</f>
        <v>7.107006259286095</v>
      </c>
      <c r="AB38" s="23">
        <f>EXP(-LN(2)/2)*AB37+(1-EXP(-LN(2)/2))/(LN(2)/2)*V38*Y38*VLOOKUP('Données projet'!$B$9,Paramètres!$A$1:$I$89,3,0)*0.475*44/12</f>
        <v>1.0421181058776317E-4</v>
      </c>
      <c r="AC38" s="24">
        <f t="shared" si="3"/>
        <v>14.390500271105596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133.00560000000004</v>
      </c>
      <c r="AK38" s="14">
        <f t="shared" si="35"/>
        <v>34.689938673073549</v>
      </c>
      <c r="AL38" s="22">
        <f t="shared" si="4"/>
        <v>292.06972985560316</v>
      </c>
      <c r="AM38" s="62">
        <f t="shared" si="5"/>
        <v>509.8852062636231</v>
      </c>
      <c r="AN38" s="62">
        <f ca="1">AVERAGE(OFFSET($AM$3,0,0,'Données projet'!$E$10+1,1))-AVERAGE(OFFSET($H$3,0,0,'Données projet'!$E$10+1,1))</f>
        <v>499.92116338695428</v>
      </c>
      <c r="AO38" s="62">
        <f t="shared" si="36"/>
        <v>316.79403154855652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211.70619219850786</v>
      </c>
      <c r="BJ38" s="62">
        <f t="shared" si="38"/>
        <v>426.883837098247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89.487630504111962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47.019939397399625</v>
      </c>
      <c r="BS38" s="24">
        <f t="shared" si="9"/>
        <v>136.5075699015116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213.80000000000015</v>
      </c>
      <c r="O39" s="14">
        <f>N39*VLOOKUP('Données projet'!$B$9,Paramètres!$A$1:$I$89,3,0)*VLOOKUP('Données projet'!$B$9,Paramètres!$A$1:$I$89,5,0)</f>
        <v>193.44624000000013</v>
      </c>
      <c r="P39" s="14">
        <f t="shared" si="33"/>
        <v>48.301068656218547</v>
      </c>
      <c r="Q39" s="22">
        <f t="shared" si="53"/>
        <v>421.04322924291415</v>
      </c>
      <c r="R39" s="62">
        <f t="shared" si="0"/>
        <v>640.16877163595314</v>
      </c>
      <c r="S39" s="62">
        <f ca="1">AVERAGE(OFFSET($R$3,0,0,'Données projet'!$E$9+1,1))-AVERAGE(OFFSET($H$3,0,0,'Données projet'!$E$9+1,1))</f>
        <v>327.07074355218322</v>
      </c>
      <c r="T39" s="62">
        <f t="shared" si="34"/>
        <v>462.01668587029087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7.1405669684598641</v>
      </c>
      <c r="AA39" s="23">
        <f>EXP(-LN(2)/25)*AA38+(1-EXP(-LN(2)/25))/(LN(2)/25)*Calculateur!V39*Calculateur!X39*VLOOKUP('Données projet'!$B$9,Paramètres!$A$1:$I$89,3,0)*0.475*44/12</f>
        <v>6.912664799384701</v>
      </c>
      <c r="AB39" s="23">
        <f>EXP(-LN(2)/2)*AB38+(1-EXP(-LN(2)/2))/(LN(2)/2)*V39*Y39*VLOOKUP('Données projet'!$B$9,Paramètres!$A$1:$I$89,3,0)*0.475*44/12</f>
        <v>7.3688877946335386E-5</v>
      </c>
      <c r="AC39" s="24">
        <f t="shared" si="3"/>
        <v>14.053305456722512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117.80496000000004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478.57719055100893</v>
      </c>
      <c r="AN39" s="62">
        <f ca="1">AVERAGE(OFFSET($AM$3,0,0,'Données projet'!$E$10+1,1))-AVERAGE(OFFSET($H$3,0,0,'Données projet'!$E$10+1,1))</f>
        <v>499.92116338695428</v>
      </c>
      <c r="AO39" s="62">
        <f t="shared" si="36"/>
        <v>316.79403154855652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211.70619219850786</v>
      </c>
      <c r="BJ39" s="62">
        <f t="shared" si="38"/>
        <v>426.883837098247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87.732832651991401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33.248117998881781</v>
      </c>
      <c r="BS39" s="24">
        <f t="shared" si="9"/>
        <v>120.98095065087318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218.60000000000016</v>
      </c>
      <c r="O40" s="14">
        <f>N40*VLOOKUP('Données projet'!$B$9,Paramètres!$A$1:$I$89,3,0)*VLOOKUP('Données projet'!$B$9,Paramètres!$A$1:$I$89,5,0)</f>
        <v>197.78928000000013</v>
      </c>
      <c r="P40" s="14">
        <f t="shared" si="33"/>
        <v>49.258004531609984</v>
      </c>
      <c r="Q40" s="22">
        <f t="shared" si="53"/>
        <v>430.2740205592209</v>
      </c>
      <c r="R40" s="62">
        <f t="shared" si="0"/>
        <v>650.68690222130772</v>
      </c>
      <c r="S40" s="62">
        <f ca="1">AVERAGE(OFFSET($R$3,0,0,'Données projet'!$E$9+1,1))-AVERAGE(OFFSET($H$3,0,0,'Données projet'!$E$9+1,1))</f>
        <v>327.07074355218322</v>
      </c>
      <c r="T40" s="62">
        <f t="shared" si="34"/>
        <v>462.01668587029087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7.0005448055241652</v>
      </c>
      <c r="AA40" s="23">
        <f>EXP(-LN(2)/25)*AA39+(1-EXP(-LN(2)/25))/(LN(2)/25)*Calculateur!V40*Calculateur!X40*VLOOKUP('Données projet'!$B$9,Paramètres!$A$1:$I$89,3,0)*0.475*44/12</f>
        <v>6.7236376169242833</v>
      </c>
      <c r="AB40" s="23">
        <f>EXP(-LN(2)/2)*AB39+(1-EXP(-LN(2)/2))/(LN(2)/2)*V40*Y40*VLOOKUP('Données projet'!$B$9,Paramètres!$A$1:$I$89,3,0)*0.475*44/12</f>
        <v>5.2105905293881583E-5</v>
      </c>
      <c r="AC40" s="24">
        <f t="shared" si="3"/>
        <v>13.724234528353742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127.93872000000003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501.61948333637878</v>
      </c>
      <c r="AN40" s="62">
        <f ca="1">AVERAGE(OFFSET($AM$3,0,0,'Données projet'!$E$10+1,1))-AVERAGE(OFFSET($H$3,0,0,'Données projet'!$E$10+1,1))</f>
        <v>499.92116338695428</v>
      </c>
      <c r="AO40" s="62">
        <f t="shared" si="36"/>
        <v>316.79403154855652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211.70619219850786</v>
      </c>
      <c r="BJ40" s="62">
        <f t="shared" si="38"/>
        <v>426.883837098247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86.012445315429929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23.509969698699813</v>
      </c>
      <c r="BS40" s="24">
        <f t="shared" si="9"/>
        <v>109.52241501412973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223.40000000000018</v>
      </c>
      <c r="O41" s="14">
        <f>N41*VLOOKUP('Données projet'!$B$9,Paramètres!$A$1:$I$89,3,0)*VLOOKUP('Données projet'!$B$9,Paramètres!$A$1:$I$89,5,0)</f>
        <v>202.13232000000013</v>
      </c>
      <c r="P41" s="14">
        <f t="shared" si="33"/>
        <v>50.21249748895967</v>
      </c>
      <c r="Q41" s="22">
        <f t="shared" si="53"/>
        <v>439.50055712660497</v>
      </c>
      <c r="R41" s="62">
        <f t="shared" si="0"/>
        <v>661.17844559948094</v>
      </c>
      <c r="S41" s="62">
        <f ca="1">AVERAGE(OFFSET($R$3,0,0,'Données projet'!$E$9+1,1))-AVERAGE(OFFSET($H$3,0,0,'Données projet'!$E$9+1,1))</f>
        <v>327.07074355218322</v>
      </c>
      <c r="T41" s="62">
        <f t="shared" si="34"/>
        <v>462.01668587029087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6.8632683917985489</v>
      </c>
      <c r="AA41" s="23">
        <f>EXP(-LN(2)/25)*AA40+(1-EXP(-LN(2)/25))/(LN(2)/25)*Calculateur!V41*Calculateur!X41*VLOOKUP('Données projet'!$B$9,Paramètres!$A$1:$I$89,3,0)*0.475*44/12</f>
        <v>6.5397793927087537</v>
      </c>
      <c r="AB41" s="23">
        <f>EXP(-LN(2)/2)*AB40+(1-EXP(-LN(2)/2))/(LN(2)/2)*V41*Y41*VLOOKUP('Données projet'!$B$9,Paramètres!$A$1:$I$89,3,0)*0.475*44/12</f>
        <v>3.6844438973167693E-5</v>
      </c>
      <c r="AC41" s="24">
        <f t="shared" si="3"/>
        <v>13.403084628946276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138.07248000000001</v>
      </c>
      <c r="AK41" s="14">
        <f t="shared" si="35"/>
        <v>35.85508207677799</v>
      </c>
      <c r="AL41" s="22">
        <f t="shared" si="4"/>
        <v>302.9238372837217</v>
      </c>
      <c r="AM41" s="62">
        <f t="shared" si="5"/>
        <v>524.6017257565976</v>
      </c>
      <c r="AN41" s="62">
        <f ca="1">AVERAGE(OFFSET($AM$3,0,0,'Données projet'!$E$10+1,1))-AVERAGE(OFFSET($H$3,0,0,'Données projet'!$E$10+1,1))</f>
        <v>499.92116338695428</v>
      </c>
      <c r="AO41" s="62">
        <f t="shared" si="36"/>
        <v>316.79403154855652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211.70619219850786</v>
      </c>
      <c r="BJ41" s="62">
        <f t="shared" si="38"/>
        <v>426.883837098247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84.325793725205756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16.624058999440891</v>
      </c>
      <c r="BS41" s="24">
        <f t="shared" si="9"/>
        <v>100.94985272464665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228.20000000000019</v>
      </c>
      <c r="O42" s="14">
        <f>N42*VLOOKUP('Données projet'!$B$9,Paramètres!$A$1:$I$89,3,0)*VLOOKUP('Données projet'!$B$9,Paramètres!$A$1:$I$89,5,0)</f>
        <v>206.47536000000017</v>
      </c>
      <c r="P42" s="14">
        <f t="shared" si="33"/>
        <v>51.164606062687312</v>
      </c>
      <c r="Q42" s="22">
        <f t="shared" si="53"/>
        <v>448.72294089251392</v>
      </c>
      <c r="R42" s="62">
        <f t="shared" si="0"/>
        <v>671.64389113614345</v>
      </c>
      <c r="S42" s="62">
        <f ca="1">AVERAGE(OFFSET($R$3,0,0,'Données projet'!$E$9+1,1))-AVERAGE(OFFSET($H$3,0,0,'Données projet'!$E$9+1,1))</f>
        <v>327.07074355218322</v>
      </c>
      <c r="T42" s="62">
        <f t="shared" si="34"/>
        <v>462.01668587029087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6.7286838848157471</v>
      </c>
      <c r="AA42" s="23">
        <f>EXP(-LN(2)/25)*AA41+(1-EXP(-LN(2)/25))/(LN(2)/25)*Calculateur!V42*Calculateur!X42*VLOOKUP('Données projet'!$B$9,Paramètres!$A$1:$I$89,3,0)*0.475*44/12</f>
        <v>6.3609487813030814</v>
      </c>
      <c r="AB42" s="23">
        <f>EXP(-LN(2)/2)*AB41+(1-EXP(-LN(2)/2))/(LN(2)/2)*V42*Y42*VLOOKUP('Données projet'!$B$9,Paramètres!$A$1:$I$89,3,0)*0.475*44/12</f>
        <v>2.6052952646940792E-5</v>
      </c>
      <c r="AC42" s="24">
        <f t="shared" si="3"/>
        <v>13.089658719071474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148.20624000000001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547.52738832189459</v>
      </c>
      <c r="AN42" s="62">
        <f ca="1">AVERAGE(OFFSET($AM$3,0,0,'Données projet'!$E$10+1,1))-AVERAGE(OFFSET($H$3,0,0,'Données projet'!$E$10+1,1))</f>
        <v>499.92116338695428</v>
      </c>
      <c r="AO42" s="62">
        <f t="shared" si="36"/>
        <v>316.79403154855652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211.70619219850786</v>
      </c>
      <c r="BJ42" s="62">
        <f t="shared" si="38"/>
        <v>426.883837098247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82.672216343909994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11.754984849349906</v>
      </c>
      <c r="BS42" s="24">
        <f t="shared" si="9"/>
        <v>94.427201193259904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233.0000000000002</v>
      </c>
      <c r="O43" s="14">
        <f>N43*VLOOKUP('Données projet'!$B$9,Paramètres!$A$1:$I$89,3,0)*VLOOKUP('Données projet'!$B$9,Paramètres!$A$1:$I$89,5,0)</f>
        <v>210.81840000000017</v>
      </c>
      <c r="P43" s="14">
        <f t="shared" si="33"/>
        <v>52.114386184062248</v>
      </c>
      <c r="Q43" s="22">
        <f t="shared" si="53"/>
        <v>457.94126927057533</v>
      </c>
      <c r="R43" s="62">
        <f t="shared" si="0"/>
        <v>682.08371694230561</v>
      </c>
      <c r="S43" s="62">
        <f ca="1">AVERAGE(OFFSET($R$3,0,0,'Données projet'!$E$9+1,1))-AVERAGE(OFFSET($H$3,0,0,'Données projet'!$E$9+1,1))</f>
        <v>327.07074355218322</v>
      </c>
      <c r="T43" s="62">
        <f t="shared" si="34"/>
        <v>462.01668587029087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6.5967384979264345</v>
      </c>
      <c r="AA43" s="23">
        <f>EXP(-LN(2)/25)*AA42+(1-EXP(-LN(2)/25))/(LN(2)/25)*Calculateur!V43*Calculateur!X43*VLOOKUP('Données projet'!$B$9,Paramètres!$A$1:$I$89,3,0)*0.475*44/12</f>
        <v>6.1870083023705904</v>
      </c>
      <c r="AB43" s="23">
        <f>EXP(-LN(2)/2)*AB42+(1-EXP(-LN(2)/2))/(LN(2)/2)*V43*Y43*VLOOKUP('Données projet'!$B$9,Paramètres!$A$1:$I$89,3,0)*0.475*44/12</f>
        <v>1.8422219486583846E-5</v>
      </c>
      <c r="AC43" s="24">
        <f t="shared" si="3"/>
        <v>12.783765222516511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158.34</v>
      </c>
      <c r="AK43" s="14">
        <f t="shared" si="35"/>
        <v>40.467870812652819</v>
      </c>
      <c r="AL43" s="22">
        <f t="shared" si="4"/>
        <v>346.25704166537031</v>
      </c>
      <c r="AM43" s="62">
        <f t="shared" si="5"/>
        <v>570.39948933710059</v>
      </c>
      <c r="AN43" s="62">
        <f ca="1">AVERAGE(OFFSET($AM$3,0,0,'Données projet'!$E$10+1,1))-AVERAGE(OFFSET($H$3,0,0,'Données projet'!$E$10+1,1))</f>
        <v>499.92116338695428</v>
      </c>
      <c r="AO43" s="62">
        <f t="shared" si="36"/>
        <v>316.79403154855652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211.70619219850786</v>
      </c>
      <c r="BJ43" s="62">
        <f t="shared" si="38"/>
        <v>426.883837098247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81.051064606478832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8.3120294997204454</v>
      </c>
      <c r="BS43" s="24">
        <f t="shared" si="9"/>
        <v>89.36309410619927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232.0000000000002</v>
      </c>
      <c r="O44" s="14">
        <f>N44*VLOOKUP('Données projet'!$B$9,Paramètres!$A$1:$I$89,3,0)*VLOOKUP('Données projet'!$B$9,Paramètres!$A$1:$I$89,5,0)</f>
        <v>209.9136000000002</v>
      </c>
      <c r="P44" s="14">
        <f t="shared" si="33"/>
        <v>51.916704672341361</v>
      </c>
      <c r="Q44" s="22">
        <f t="shared" si="53"/>
        <v>456.02111397099492</v>
      </c>
      <c r="R44" s="62">
        <f t="shared" si="0"/>
        <v>681.36386882130751</v>
      </c>
      <c r="S44" s="62">
        <f ca="1">AVERAGE(OFFSET($R$3,0,0,'Données projet'!$E$9+1,1))-AVERAGE(OFFSET($H$3,0,0,'Données projet'!$E$9+1,1))</f>
        <v>327.07074355218322</v>
      </c>
      <c r="T44" s="62">
        <f t="shared" si="34"/>
        <v>462.01668587029087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6.4673804795952821</v>
      </c>
      <c r="AA44" s="23">
        <f>EXP(-LN(2)/25)*AA43+(1-EXP(-LN(2)/25))/(LN(2)/25)*Calculateur!V44*Calculateur!X44*VLOOKUP('Données projet'!$B$9,Paramètres!$A$1:$I$89,3,0)*0.475*44/12</f>
        <v>6.0178242349816404</v>
      </c>
      <c r="AB44" s="23">
        <f>EXP(-LN(2)/2)*AB43+(1-EXP(-LN(2)/2))/(LN(2)/2)*V44*Y44*VLOOKUP('Données projet'!$B$9,Paramètres!$A$1:$I$89,3,0)*0.475*44/12</f>
        <v>1.3026476323470396E-5</v>
      </c>
      <c r="AC44" s="24">
        <f t="shared" si="3"/>
        <v>12.485217741053248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143.32032000000001</v>
      </c>
      <c r="AK44" s="14">
        <f t="shared" si="35"/>
        <v>37.056603420232349</v>
      </c>
      <c r="AL44" s="22">
        <f t="shared" si="4"/>
        <v>314.15647495690467</v>
      </c>
      <c r="AM44" s="62">
        <f t="shared" si="5"/>
        <v>539.49922980721726</v>
      </c>
      <c r="AN44" s="62">
        <f ca="1">AVERAGE(OFFSET($AM$3,0,0,'Données projet'!$E$10+1,1))-AVERAGE(OFFSET($H$3,0,0,'Données projet'!$E$10+1,1))</f>
        <v>499.92116338695428</v>
      </c>
      <c r="AO44" s="62">
        <f t="shared" si="36"/>
        <v>316.79403154855652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211.70619219850786</v>
      </c>
      <c r="BJ44" s="62">
        <f t="shared" si="38"/>
        <v>426.883837098247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79.46170266581376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5.8774924246749531</v>
      </c>
      <c r="BS44" s="24">
        <f t="shared" si="9"/>
        <v>85.339195090488715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237.0000000000002</v>
      </c>
      <c r="O45" s="14">
        <f>N45*VLOOKUP('Données projet'!$B$9,Paramètres!$A$1:$I$89,3,0)*VLOOKUP('Données projet'!$B$9,Paramètres!$A$1:$I$89,5,0)</f>
        <v>214.43760000000015</v>
      </c>
      <c r="P45" s="14">
        <f t="shared" si="33"/>
        <v>52.904129603372425</v>
      </c>
      <c r="Q45" s="22">
        <f t="shared" si="53"/>
        <v>465.6201790592072</v>
      </c>
      <c r="R45" s="62">
        <f t="shared" si="0"/>
        <v>692.14241844203866</v>
      </c>
      <c r="S45" s="62">
        <f ca="1">AVERAGE(OFFSET($R$3,0,0,'Données projet'!$E$9+1,1))-AVERAGE(OFFSET($H$3,0,0,'Données projet'!$E$9+1,1))</f>
        <v>327.07074355218322</v>
      </c>
      <c r="T45" s="62">
        <f t="shared" si="34"/>
        <v>462.01668587029087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6.3405590931030034</v>
      </c>
      <c r="AA45" s="23">
        <f>EXP(-LN(2)/25)*AA44+(1-EXP(-LN(2)/25))/(LN(2)/25)*Calculateur!V45*Calculateur!X45*VLOOKUP('Données projet'!$B$9,Paramètres!$A$1:$I$89,3,0)*0.475*44/12</f>
        <v>5.8532665148124448</v>
      </c>
      <c r="AB45" s="23">
        <f>EXP(-LN(2)/2)*AB44+(1-EXP(-LN(2)/2))/(LN(2)/2)*V45*Y45*VLOOKUP('Données projet'!$B$9,Paramètres!$A$1:$I$89,3,0)*0.475*44/12</f>
        <v>9.2111097432919232E-6</v>
      </c>
      <c r="AC45" s="24">
        <f t="shared" si="3"/>
        <v>12.193834819025192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153.63504</v>
      </c>
      <c r="AK45" s="14">
        <f t="shared" si="35"/>
        <v>39.403506785222667</v>
      </c>
      <c r="AL45" s="22">
        <f t="shared" si="4"/>
        <v>336.20880231759617</v>
      </c>
      <c r="AM45" s="62">
        <f t="shared" si="5"/>
        <v>562.73104170042757</v>
      </c>
      <c r="AN45" s="62">
        <f ca="1">AVERAGE(OFFSET($AM$3,0,0,'Données projet'!$E$10+1,1))-AVERAGE(OFFSET($H$3,0,0,'Données projet'!$E$10+1,1))</f>
        <v>499.92116338695428</v>
      </c>
      <c r="AO45" s="62">
        <f t="shared" si="36"/>
        <v>316.79403154855652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211.70619219850786</v>
      </c>
      <c r="BJ45" s="62">
        <f t="shared" si="38"/>
        <v>426.883837098247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77.903507143390073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4.1560147498602227</v>
      </c>
      <c r="BS45" s="24">
        <f t="shared" si="9"/>
        <v>82.059521893250292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242.0000000000002</v>
      </c>
      <c r="O46" s="14">
        <f>N46*VLOOKUP('Données projet'!$B$9,Paramètres!$A$1:$I$89,3,0)*VLOOKUP('Données projet'!$B$9,Paramètres!$A$1:$I$89,5,0)</f>
        <v>218.96160000000017</v>
      </c>
      <c r="P46" s="14">
        <f t="shared" si="33"/>
        <v>53.889132503707479</v>
      </c>
      <c r="Q46" s="22">
        <f t="shared" si="53"/>
        <v>475.2150257772908</v>
      </c>
      <c r="R46" s="62">
        <f t="shared" si="0"/>
        <v>702.89628827293416</v>
      </c>
      <c r="S46" s="62">
        <f ca="1">AVERAGE(OFFSET($R$3,0,0,'Données projet'!$E$9+1,1))-AVERAGE(OFFSET($H$3,0,0,'Données projet'!$E$9+1,1))</f>
        <v>327.07074355218322</v>
      </c>
      <c r="T46" s="62">
        <f t="shared" si="34"/>
        <v>462.01668587029087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6.2162245966464305</v>
      </c>
      <c r="AA46" s="23">
        <f>EXP(-LN(2)/25)*AA45+(1-EXP(-LN(2)/25))/(LN(2)/25)*Calculateur!V46*Calculateur!X46*VLOOKUP('Données projet'!$B$9,Paramètres!$A$1:$I$89,3,0)*0.475*44/12</f>
        <v>5.6932086341549901</v>
      </c>
      <c r="AB46" s="23">
        <f>EXP(-LN(2)/2)*AB45+(1-EXP(-LN(2)/2))/(LN(2)/2)*V46*Y46*VLOOKUP('Données projet'!$B$9,Paramètres!$A$1:$I$89,3,0)*0.475*44/12</f>
        <v>6.5132381617351979E-6</v>
      </c>
      <c r="AC46" s="24">
        <f t="shared" si="3"/>
        <v>11.909439744039583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163.94976</v>
      </c>
      <c r="AK46" s="14">
        <f t="shared" si="35"/>
        <v>41.732126457893308</v>
      </c>
      <c r="AL46" s="22">
        <f t="shared" si="4"/>
        <v>358.22928558083089</v>
      </c>
      <c r="AM46" s="62">
        <f t="shared" si="5"/>
        <v>585.91054807647424</v>
      </c>
      <c r="AN46" s="62">
        <f ca="1">AVERAGE(OFFSET($AM$3,0,0,'Données projet'!$E$10+1,1))-AVERAGE(OFFSET($H$3,0,0,'Données projet'!$E$10+1,1))</f>
        <v>499.92116338695428</v>
      </c>
      <c r="AO46" s="62">
        <f t="shared" si="36"/>
        <v>316.79403154855652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211.70619219850786</v>
      </c>
      <c r="BJ46" s="62">
        <f t="shared" si="38"/>
        <v>426.883837098247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76.375866884755695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2.9387462123374766</v>
      </c>
      <c r="BS46" s="24">
        <f t="shared" si="9"/>
        <v>79.314613097093172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247.0000000000002</v>
      </c>
      <c r="O47" s="14">
        <f>N47*VLOOKUP('Données projet'!$B$9,Paramètres!$A$1:$I$89,3,0)*VLOOKUP('Données projet'!$B$9,Paramètres!$A$1:$I$89,5,0)</f>
        <v>223.48560000000018</v>
      </c>
      <c r="P47" s="14">
        <f t="shared" si="33"/>
        <v>54.87176918107798</v>
      </c>
      <c r="Q47" s="22">
        <f t="shared" si="53"/>
        <v>484.80575132371115</v>
      </c>
      <c r="R47" s="62">
        <f t="shared" si="0"/>
        <v>713.62593047234668</v>
      </c>
      <c r="S47" s="62">
        <f ca="1">AVERAGE(OFFSET($R$3,0,0,'Données projet'!$E$9+1,1))-AVERAGE(OFFSET($H$3,0,0,'Données projet'!$E$9+1,1))</f>
        <v>327.07074355218322</v>
      </c>
      <c r="T47" s="62">
        <f t="shared" si="34"/>
        <v>462.01668587029087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6.0943282238288159</v>
      </c>
      <c r="AA47" s="23">
        <f>EXP(-LN(2)/25)*AA46+(1-EXP(-LN(2)/25))/(LN(2)/25)*Calculateur!V47*Calculateur!X47*VLOOKUP('Données projet'!$B$9,Paramètres!$A$1:$I$89,3,0)*0.475*44/12</f>
        <v>5.5375275446611916</v>
      </c>
      <c r="AB47" s="23">
        <f>EXP(-LN(2)/2)*AB46+(1-EXP(-LN(2)/2))/(LN(2)/2)*V47*Y47*VLOOKUP('Données projet'!$B$9,Paramètres!$A$1:$I$89,3,0)*0.475*44/12</f>
        <v>4.6055548716459616E-6</v>
      </c>
      <c r="AC47" s="24">
        <f t="shared" si="3"/>
        <v>11.631860374044878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174.26447999999999</v>
      </c>
      <c r="AK47" s="14">
        <f t="shared" si="35"/>
        <v>44.043743683739521</v>
      </c>
      <c r="AL47" s="22">
        <f t="shared" si="4"/>
        <v>380.22015624917964</v>
      </c>
      <c r="AM47" s="62">
        <f t="shared" si="5"/>
        <v>609.04033539781517</v>
      </c>
      <c r="AN47" s="62">
        <f ca="1">AVERAGE(OFFSET($AM$3,0,0,'Données projet'!$E$10+1,1))-AVERAGE(OFFSET($H$3,0,0,'Données projet'!$E$10+1,1))</f>
        <v>499.92116338695428</v>
      </c>
      <c r="AO47" s="62">
        <f t="shared" si="36"/>
        <v>316.79403154855652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211.70619219850786</v>
      </c>
      <c r="BJ47" s="62">
        <f t="shared" si="38"/>
        <v>426.883837098247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74.878182719824579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2.0780073749301113</v>
      </c>
      <c r="BS47" s="24">
        <f t="shared" si="9"/>
        <v>76.956190094754689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252.0000000000002</v>
      </c>
      <c r="O48" s="14">
        <f>N48*VLOOKUP('Données projet'!$B$9,Paramètres!$A$1:$I$89,3,0)*VLOOKUP('Données projet'!$B$9,Paramètres!$A$1:$I$89,5,0)</f>
        <v>228.00960000000018</v>
      </c>
      <c r="P48" s="14">
        <f t="shared" si="33"/>
        <v>55.852093054619878</v>
      </c>
      <c r="Q48" s="22">
        <f t="shared" si="53"/>
        <v>494.39244873679655</v>
      </c>
      <c r="R48" s="62">
        <f t="shared" si="0"/>
        <v>724.3317868807311</v>
      </c>
      <c r="S48" s="62">
        <f ca="1">AVERAGE(OFFSET($R$3,0,0,'Données projet'!$E$9+1,1))-AVERAGE(OFFSET($H$3,0,0,'Données projet'!$E$9+1,1))</f>
        <v>327.07074355218322</v>
      </c>
      <c r="T48" s="62">
        <f t="shared" si="34"/>
        <v>462.01668587029087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5.9748221645327089</v>
      </c>
      <c r="AA48" s="23">
        <f>EXP(-LN(2)/25)*AA47+(1-EXP(-LN(2)/25))/(LN(2)/25)*Calculateur!V48*Calculateur!X48*VLOOKUP('Données projet'!$B$9,Paramètres!$A$1:$I$89,3,0)*0.475*44/12</f>
        <v>5.3861035627465137</v>
      </c>
      <c r="AB48" s="23">
        <f>EXP(-LN(2)/2)*AB47+(1-EXP(-LN(2)/2))/(LN(2)/2)*V48*Y48*VLOOKUP('Données projet'!$B$9,Paramètres!$A$1:$I$89,3,0)*0.475*44/12</f>
        <v>3.256619080867599E-6</v>
      </c>
      <c r="AC48" s="24">
        <f t="shared" si="3"/>
        <v>11.360928983898305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184.57920000000001</v>
      </c>
      <c r="AK48" s="14">
        <f t="shared" si="35"/>
        <v>46.339479465836661</v>
      </c>
      <c r="AL48" s="22">
        <f t="shared" si="4"/>
        <v>402.18336673633218</v>
      </c>
      <c r="AM48" s="62">
        <f t="shared" si="5"/>
        <v>632.12270488026672</v>
      </c>
      <c r="AN48" s="62">
        <f ca="1">AVERAGE(OFFSET($AM$3,0,0,'Données projet'!$E$10+1,1))-AVERAGE(OFFSET($H$3,0,0,'Données projet'!$E$10+1,1))</f>
        <v>499.92116338695428</v>
      </c>
      <c r="AO48" s="62">
        <f t="shared" si="36"/>
        <v>316.79403154855652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211.70619219850786</v>
      </c>
      <c r="BJ48" s="62">
        <f t="shared" si="38"/>
        <v>426.883837098247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73.40986722787062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1.4693731061687383</v>
      </c>
      <c r="BS48" s="24">
        <f t="shared" si="9"/>
        <v>74.879240334039352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1.9895196601282805E-13</v>
      </c>
      <c r="O49" s="14">
        <f>N49*VLOOKUP('Données projet'!$B$9,Paramètres!$A$1:$I$89,3,0)*VLOOKUP('Données projet'!$B$9,Paramètres!$A$1:$I$89,5,0)</f>
        <v>1.8001173884840681E-13</v>
      </c>
      <c r="P49" s="14">
        <f t="shared" si="33"/>
        <v>2.5254331426407198E-12</v>
      </c>
      <c r="Q49" s="22">
        <f t="shared" si="53"/>
        <v>4.7119831685935622E-12</v>
      </c>
      <c r="R49" s="62">
        <f t="shared" si="0"/>
        <v>231.03908223273442</v>
      </c>
      <c r="S49" s="62">
        <f ca="1">AVERAGE(OFFSET($R$3,0,0,'Données projet'!$E$9+1,1))-AVERAGE(OFFSET($H$3,0,0,'Données projet'!$E$9+1,1))</f>
        <v>327.07074355218322</v>
      </c>
      <c r="T49" s="62">
        <f t="shared" si="34"/>
        <v>462.01668587029087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5.8576595461679002</v>
      </c>
      <c r="AA49" s="23">
        <f>EXP(-LN(2)/25)*AA48+(1-EXP(-LN(2)/25))/(LN(2)/25)*Calculateur!V49*Calculateur!X49*VLOOKUP('Données projet'!$B$9,Paramètres!$A$1:$I$89,3,0)*0.475*44/12</f>
        <v>5.2388202775803343</v>
      </c>
      <c r="AB49" s="23">
        <f>EXP(-LN(2)/2)*AB48+(1-EXP(-LN(2)/2))/(LN(2)/2)*V49*Y49*VLOOKUP('Données projet'!$B$9,Paramètres!$A$1:$I$89,3,0)*0.475*44/12</f>
        <v>2.3027774358229808E-6</v>
      </c>
      <c r="AC49" s="24">
        <f t="shared" si="3"/>
        <v>11.09648212652567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169.19760000000002</v>
      </c>
      <c r="AK49" s="14">
        <f t="shared" si="35"/>
        <v>42.910263223432885</v>
      </c>
      <c r="AL49" s="22">
        <f t="shared" si="4"/>
        <v>369.42119511414558</v>
      </c>
      <c r="AM49" s="62">
        <f t="shared" si="5"/>
        <v>600.46027734687527</v>
      </c>
      <c r="AN49" s="62">
        <f ca="1">AVERAGE(OFFSET($AM$3,0,0,'Données projet'!$E$10+1,1))-AVERAGE(OFFSET($H$3,0,0,'Données projet'!$E$10+1,1))</f>
        <v>499.92116338695428</v>
      </c>
      <c r="AO49" s="62">
        <f t="shared" si="36"/>
        <v>316.79403154855652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211.70619219850786</v>
      </c>
      <c r="BJ49" s="62">
        <f t="shared" si="38"/>
        <v>426.883837098247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71.970344507129866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1.0390036874650557</v>
      </c>
      <c r="BS49" s="24">
        <f t="shared" si="9"/>
        <v>73.009348194594921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1.9895196601282805E-13</v>
      </c>
      <c r="O50" s="14">
        <f>N50*VLOOKUP('Données projet'!$B$9,Paramètres!$A$1:$I$89,3,0)*VLOOKUP('Données projet'!$B$9,Paramètres!$A$1:$I$89,5,0)</f>
        <v>1.8001173884840681E-13</v>
      </c>
      <c r="P50" s="14">
        <f t="shared" si="33"/>
        <v>2.5254331426407198E-12</v>
      </c>
      <c r="Q50" s="22">
        <f t="shared" si="53"/>
        <v>4.7119831685935622E-12</v>
      </c>
      <c r="R50" s="62">
        <f t="shared" si="0"/>
        <v>232.11974822024845</v>
      </c>
      <c r="S50" s="62">
        <f ca="1">AVERAGE(OFFSET($R$3,0,0,'Données projet'!$E$9+1,1))-AVERAGE(OFFSET($H$3,0,0,'Données projet'!$E$9+1,1))</f>
        <v>327.07074355218322</v>
      </c>
      <c r="T50" s="62">
        <f t="shared" si="34"/>
        <v>462.01668587029087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5.7427944152870838</v>
      </c>
      <c r="AA50" s="23">
        <f>EXP(-LN(2)/25)*AA49+(1-EXP(-LN(2)/25))/(LN(2)/25)*Calculateur!V50*Calculateur!X50*VLOOKUP('Données projet'!$B$9,Paramètres!$A$1:$I$89,3,0)*0.475*44/12</f>
        <v>5.095564461592315</v>
      </c>
      <c r="AB50" s="23">
        <f>EXP(-LN(2)/2)*AB49+(1-EXP(-LN(2)/2))/(LN(2)/2)*V50*Y50*VLOOKUP('Données projet'!$B$9,Paramètres!$A$1:$I$89,3,0)*0.475*44/12</f>
        <v>1.6283095404337995E-6</v>
      </c>
      <c r="AC50" s="24">
        <f t="shared" si="3"/>
        <v>10.838360505188939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179.15040000000002</v>
      </c>
      <c r="AK50" s="14">
        <f t="shared" si="35"/>
        <v>45.133113803437304</v>
      </c>
      <c r="AL50" s="22">
        <f t="shared" si="4"/>
        <v>390.62711987431999</v>
      </c>
      <c r="AM50" s="62">
        <f t="shared" si="5"/>
        <v>622.74686809456375</v>
      </c>
      <c r="AN50" s="62">
        <f ca="1">AVERAGE(OFFSET($AM$3,0,0,'Données projet'!$E$10+1,1))-AVERAGE(OFFSET($H$3,0,0,'Données projet'!$E$10+1,1))</f>
        <v>499.92116338695428</v>
      </c>
      <c r="AO50" s="62">
        <f t="shared" si="36"/>
        <v>316.79403154855652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211.70619219850786</v>
      </c>
      <c r="BJ50" s="62">
        <f t="shared" si="38"/>
        <v>426.883837098247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70.559049948920674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0.73468655308436914</v>
      </c>
      <c r="BS50" s="24">
        <f t="shared" si="9"/>
        <v>71.293736502005046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1.9895196601282805E-13</v>
      </c>
      <c r="O51" s="14">
        <f>N51*VLOOKUP('Données projet'!$B$9,Paramètres!$A$1:$I$89,3,0)*VLOOKUP('Données projet'!$B$9,Paramètres!$A$1:$I$89,5,0)</f>
        <v>1.8001173884840681E-13</v>
      </c>
      <c r="P51" s="14">
        <f t="shared" si="33"/>
        <v>2.5254331426407198E-12</v>
      </c>
      <c r="Q51" s="22">
        <f t="shared" si="53"/>
        <v>4.7119831685935622E-12</v>
      </c>
      <c r="R51" s="62">
        <f t="shared" si="0"/>
        <v>233.18166706888627</v>
      </c>
      <c r="S51" s="62">
        <f ca="1">AVERAGE(OFFSET($R$3,0,0,'Données projet'!$E$9+1,1))-AVERAGE(OFFSET($H$3,0,0,'Données projet'!$E$9+1,1))</f>
        <v>327.07074355218322</v>
      </c>
      <c r="T51" s="62">
        <f t="shared" si="34"/>
        <v>462.01668587029087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5.630181719562029</v>
      </c>
      <c r="AA51" s="23">
        <f>EXP(-LN(2)/25)*AA50+(1-EXP(-LN(2)/25))/(LN(2)/25)*Calculateur!V51*Calculateur!X51*VLOOKUP('Données projet'!$B$9,Paramètres!$A$1:$I$89,3,0)*0.475*44/12</f>
        <v>4.9562259834259841</v>
      </c>
      <c r="AB51" s="23">
        <f>EXP(-LN(2)/2)*AB50+(1-EXP(-LN(2)/2))/(LN(2)/2)*V51*Y51*VLOOKUP('Données projet'!$B$9,Paramètres!$A$1:$I$89,3,0)*0.475*44/12</f>
        <v>1.1513887179114904E-6</v>
      </c>
      <c r="AC51" s="24">
        <f t="shared" si="3"/>
        <v>10.58640885437673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189.10320000000002</v>
      </c>
      <c r="AK51" s="14">
        <f t="shared" si="35"/>
        <v>47.34162854278712</v>
      </c>
      <c r="AL51" s="22">
        <f t="shared" si="4"/>
        <v>411.80807637868764</v>
      </c>
      <c r="AM51" s="62">
        <f t="shared" si="5"/>
        <v>644.98974344756925</v>
      </c>
      <c r="AN51" s="62">
        <f ca="1">AVERAGE(OFFSET($AM$3,0,0,'Données projet'!$E$10+1,1))-AVERAGE(OFFSET($H$3,0,0,'Données projet'!$E$10+1,1))</f>
        <v>499.92116338695428</v>
      </c>
      <c r="AO51" s="62">
        <f t="shared" si="36"/>
        <v>316.79403154855652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211.70619219850786</v>
      </c>
      <c r="BJ51" s="62">
        <f t="shared" si="38"/>
        <v>426.883837098247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69.175430016193275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0.51950184373252783</v>
      </c>
      <c r="BS51" s="24">
        <f t="shared" si="9"/>
        <v>69.694931859925802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1.9895196601282805E-13</v>
      </c>
      <c r="O52" s="14">
        <f>N52*VLOOKUP('Données projet'!$B$9,Paramètres!$A$1:$I$89,3,0)*VLOOKUP('Données projet'!$B$9,Paramètres!$A$1:$I$89,5,0)</f>
        <v>1.8001173884840681E-13</v>
      </c>
      <c r="P52" s="14">
        <f t="shared" si="33"/>
        <v>2.5254331426407198E-12</v>
      </c>
      <c r="Q52" s="22">
        <f t="shared" si="53"/>
        <v>4.7119831685935622E-12</v>
      </c>
      <c r="R52" s="62">
        <f t="shared" si="0"/>
        <v>234.22516399959517</v>
      </c>
      <c r="S52" s="62">
        <f ca="1">AVERAGE(OFFSET($R$3,0,0,'Données projet'!$E$9+1,1))-AVERAGE(OFFSET($H$3,0,0,'Données projet'!$E$9+1,1))</f>
        <v>327.07074355218322</v>
      </c>
      <c r="T52" s="62">
        <f t="shared" si="34"/>
        <v>462.01668587029087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5.5197772901131801</v>
      </c>
      <c r="AA52" s="23">
        <f>EXP(-LN(2)/25)*AA51+(1-EXP(-LN(2)/25))/(LN(2)/25)*Calculateur!V52*Calculateur!X52*VLOOKUP('Données projet'!$B$9,Paramètres!$A$1:$I$89,3,0)*0.475*44/12</f>
        <v>4.8206977232726036</v>
      </c>
      <c r="AB52" s="23">
        <f>EXP(-LN(2)/2)*AB51+(1-EXP(-LN(2)/2))/(LN(2)/2)*V52*Y52*VLOOKUP('Données projet'!$B$9,Paramètres!$A$1:$I$89,3,0)*0.475*44/12</f>
        <v>8.1415477021689974E-7</v>
      </c>
      <c r="AC52" s="24">
        <f t="shared" si="3"/>
        <v>10.340475827540555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199.05600000000001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667.19069261048276</v>
      </c>
      <c r="AN52" s="62">
        <f ca="1">AVERAGE(OFFSET($AM$3,0,0,'Données projet'!$E$10+1,1))-AVERAGE(OFFSET($H$3,0,0,'Données projet'!$E$10+1,1))</f>
        <v>499.92116338695428</v>
      </c>
      <c r="AO52" s="62">
        <f t="shared" si="36"/>
        <v>316.79403154855652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211.70619219850786</v>
      </c>
      <c r="BJ52" s="62">
        <f t="shared" si="38"/>
        <v>426.883837098247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67.818942026421837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0.36734327654218457</v>
      </c>
      <c r="BS52" s="24">
        <f t="shared" si="9"/>
        <v>68.186285302964023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1.9895196601282805E-13</v>
      </c>
      <c r="O53" s="14">
        <f>N53*VLOOKUP('Données projet'!$B$9,Paramètres!$A$1:$I$89,3,0)*VLOOKUP('Données projet'!$B$9,Paramètres!$A$1:$I$89,5,0)</f>
        <v>1.8001173884840681E-13</v>
      </c>
      <c r="P53" s="14">
        <f t="shared" si="33"/>
        <v>2.5254331426407198E-12</v>
      </c>
      <c r="Q53" s="22">
        <f t="shared" si="53"/>
        <v>4.7119831685935622E-12</v>
      </c>
      <c r="R53" s="62">
        <f t="shared" si="0"/>
        <v>235.2505585914659</v>
      </c>
      <c r="S53" s="62">
        <f ca="1">AVERAGE(OFFSET($R$3,0,0,'Données projet'!$E$9+1,1))-AVERAGE(OFFSET($H$3,0,0,'Données projet'!$E$9+1,1))</f>
        <v>327.07074355218322</v>
      </c>
      <c r="T53" s="62">
        <f t="shared" si="34"/>
        <v>462.01668587029087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5.4115378241857703</v>
      </c>
      <c r="AA53" s="23">
        <f>EXP(-LN(2)/25)*AA52+(1-EXP(-LN(2)/25))/(LN(2)/25)*Calculateur!V53*Calculateur!X53*VLOOKUP('Données projet'!$B$9,Paramètres!$A$1:$I$89,3,0)*0.475*44/12</f>
        <v>4.688875490520239</v>
      </c>
      <c r="AB53" s="23">
        <f>EXP(-LN(2)/2)*AB52+(1-EXP(-LN(2)/2))/(LN(2)/2)*V53*Y53*VLOOKUP('Données projet'!$B$9,Paramètres!$A$1:$I$89,3,0)*0.475*44/12</f>
        <v>5.756943589557452E-7</v>
      </c>
      <c r="AC53" s="24">
        <f t="shared" si="3"/>
        <v>10.10041389040037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689.3513444777052</v>
      </c>
      <c r="AN53" s="62">
        <f ca="1">AVERAGE(OFFSET($AM$3,0,0,'Données projet'!$E$10+1,1))-AVERAGE(OFFSET($H$3,0,0,'Données projet'!$E$10+1,1))</f>
        <v>499.92116338695428</v>
      </c>
      <c r="AO53" s="62">
        <f t="shared" si="36"/>
        <v>316.79403154855652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211.70619219850786</v>
      </c>
      <c r="BJ53" s="62">
        <f t="shared" si="38"/>
        <v>426.883837098247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66.489053938753841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0.25975092186626392</v>
      </c>
      <c r="BS53" s="24">
        <f t="shared" si="9"/>
        <v>66.748804860620112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1.9895196601282805E-13</v>
      </c>
      <c r="O54" s="14">
        <f>N54*VLOOKUP('Données projet'!$B$9,Paramètres!$A$1:$I$89,3,0)*VLOOKUP('Données projet'!$B$9,Paramètres!$A$1:$I$89,5,0)</f>
        <v>1.8001173884840681E-13</v>
      </c>
      <c r="P54" s="14">
        <f t="shared" si="33"/>
        <v>2.5254331426407198E-12</v>
      </c>
      <c r="Q54" s="22">
        <f t="shared" si="53"/>
        <v>4.7119831685935622E-12</v>
      </c>
      <c r="R54" s="62">
        <f t="shared" si="0"/>
        <v>236.25816487960654</v>
      </c>
      <c r="S54" s="62">
        <f ca="1">AVERAGE(OFFSET($R$3,0,0,'Données projet'!$E$9+1,1))-AVERAGE(OFFSET($H$3,0,0,'Données projet'!$E$9+1,1))</f>
        <v>327.07074355218322</v>
      </c>
      <c r="T54" s="62">
        <f t="shared" si="34"/>
        <v>462.01668587029087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5.3054208681656423</v>
      </c>
      <c r="AA54" s="23">
        <f>EXP(-LN(2)/25)*AA53+(1-EXP(-LN(2)/25))/(LN(2)/25)*Calculateur!V54*Calculateur!X54*VLOOKUP('Données projet'!$B$9,Paramètres!$A$1:$I$89,3,0)*0.475*44/12</f>
        <v>4.5606579436547179</v>
      </c>
      <c r="AB54" s="23">
        <f>EXP(-LN(2)/2)*AB53+(1-EXP(-LN(2)/2))/(LN(2)/2)*V54*Y54*VLOOKUP('Données projet'!$B$9,Paramètres!$A$1:$I$89,3,0)*0.475*44/12</f>
        <v>4.0707738510844987E-7</v>
      </c>
      <c r="AC54" s="24">
        <f t="shared" si="3"/>
        <v>9.8660792188977453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192.90336000000002</v>
      </c>
      <c r="AK54" s="14">
        <f t="shared" si="35"/>
        <v>48.181276881765257</v>
      </c>
      <c r="AL54" s="22">
        <f t="shared" si="4"/>
        <v>419.88907590240791</v>
      </c>
      <c r="AM54" s="62">
        <f t="shared" si="5"/>
        <v>656.1472407820097</v>
      </c>
      <c r="AN54" s="62">
        <f ca="1">AVERAGE(OFFSET($AM$3,0,0,'Données projet'!$E$10+1,1))-AVERAGE(OFFSET($H$3,0,0,'Données projet'!$E$10+1,1))</f>
        <v>499.92116338695428</v>
      </c>
      <c r="AO54" s="62">
        <f t="shared" si="36"/>
        <v>316.79403154855652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211.70619219850786</v>
      </c>
      <c r="BJ54" s="62">
        <f t="shared" si="38"/>
        <v>426.883837098247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65.185244145333371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0.18367163827109229</v>
      </c>
      <c r="BS54" s="24">
        <f t="shared" si="9"/>
        <v>65.368915783604464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1.9895196601282805E-13</v>
      </c>
      <c r="O55" s="14">
        <f>N55*VLOOKUP('Données projet'!$B$9,Paramètres!$A$1:$I$89,3,0)*VLOOKUP('Données projet'!$B$9,Paramètres!$A$1:$I$89,5,0)</f>
        <v>1.8001173884840681E-13</v>
      </c>
      <c r="P55" s="14">
        <f t="shared" si="33"/>
        <v>2.5254331426407198E-12</v>
      </c>
      <c r="Q55" s="22">
        <f t="shared" si="53"/>
        <v>4.7119831685935622E-12</v>
      </c>
      <c r="R55" s="62">
        <f t="shared" si="0"/>
        <v>237.24829145131812</v>
      </c>
      <c r="S55" s="62">
        <f ca="1">AVERAGE(OFFSET($R$3,0,0,'Données projet'!$E$9+1,1))-AVERAGE(OFFSET($H$3,0,0,'Données projet'!$E$9+1,1))</f>
        <v>327.07074355218322</v>
      </c>
      <c r="T55" s="62">
        <f t="shared" si="34"/>
        <v>462.01668587029087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5.2013848009281167</v>
      </c>
      <c r="AA55" s="23">
        <f>EXP(-LN(2)/25)*AA54+(1-EXP(-LN(2)/25))/(LN(2)/25)*Calculateur!V55*Calculateur!X55*VLOOKUP('Données projet'!$B$9,Paramètres!$A$1:$I$89,3,0)*0.475*44/12</f>
        <v>4.4359465123509016</v>
      </c>
      <c r="AB55" s="23">
        <f>EXP(-LN(2)/2)*AB54+(1-EXP(-LN(2)/2))/(LN(2)/2)*V55*Y55*VLOOKUP('Données projet'!$B$9,Paramètres!$A$1:$I$89,3,0)*0.475*44/12</f>
        <v>2.878471794778726E-7</v>
      </c>
      <c r="AC55" s="24">
        <f t="shared" si="3"/>
        <v>9.6373316011261974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202.13232000000002</v>
      </c>
      <c r="AK55" s="14">
        <f t="shared" si="35"/>
        <v>50.212497488959627</v>
      </c>
      <c r="AL55" s="22">
        <f t="shared" si="4"/>
        <v>439.50055712660469</v>
      </c>
      <c r="AM55" s="62">
        <f t="shared" si="5"/>
        <v>676.74884857791812</v>
      </c>
      <c r="AN55" s="62">
        <f ca="1">AVERAGE(OFFSET($AM$3,0,0,'Données projet'!$E$10+1,1))-AVERAGE(OFFSET($H$3,0,0,'Données projet'!$E$10+1,1))</f>
        <v>499.92116338695428</v>
      </c>
      <c r="AO55" s="62">
        <f t="shared" si="36"/>
        <v>316.79403154855652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211.70619219850786</v>
      </c>
      <c r="BJ55" s="62">
        <f t="shared" si="38"/>
        <v>426.883837098247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63.907001266716428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0.12987546093313196</v>
      </c>
      <c r="BS55" s="24">
        <f t="shared" si="9"/>
        <v>64.036876727649556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1.9895196601282805E-13</v>
      </c>
      <c r="O56" s="14">
        <f>N56*VLOOKUP('Données projet'!$B$9,Paramètres!$A$1:$I$89,3,0)*VLOOKUP('Données projet'!$B$9,Paramètres!$A$1:$I$89,5,0)</f>
        <v>1.8001173884840681E-13</v>
      </c>
      <c r="P56" s="14">
        <f t="shared" si="33"/>
        <v>2.5254331426407198E-12</v>
      </c>
      <c r="Q56" s="22">
        <f t="shared" si="53"/>
        <v>4.7119831685935622E-12</v>
      </c>
      <c r="R56" s="62">
        <f t="shared" si="0"/>
        <v>238.22124154060188</v>
      </c>
      <c r="S56" s="62">
        <f ca="1">AVERAGE(OFFSET($R$3,0,0,'Données projet'!$E$9+1,1))-AVERAGE(OFFSET($H$3,0,0,'Données projet'!$E$9+1,1))</f>
        <v>327.07074355218322</v>
      </c>
      <c r="T56" s="62">
        <f t="shared" si="34"/>
        <v>462.01668587029087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5.0993888175133835</v>
      </c>
      <c r="AA56" s="23">
        <f>EXP(-LN(2)/25)*AA55+(1-EXP(-LN(2)/25))/(LN(2)/25)*Calculateur!V56*Calculateur!X56*VLOOKUP('Données projet'!$B$9,Paramètres!$A$1:$I$89,3,0)*0.475*44/12</f>
        <v>4.3146453216943774</v>
      </c>
      <c r="AB56" s="23">
        <f>EXP(-LN(2)/2)*AB55+(1-EXP(-LN(2)/2))/(LN(2)/2)*V56*Y56*VLOOKUP('Données projet'!$B$9,Paramètres!$A$1:$I$89,3,0)*0.475*44/12</f>
        <v>2.0353869255422493E-7</v>
      </c>
      <c r="AC56" s="24">
        <f t="shared" si="3"/>
        <v>9.4140343427464526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211.36127999999999</v>
      </c>
      <c r="AK56" s="14">
        <f t="shared" si="35"/>
        <v>52.232947669705631</v>
      </c>
      <c r="AL56" s="22">
        <f t="shared" si="4"/>
        <v>459.09327985807062</v>
      </c>
      <c r="AM56" s="62">
        <f t="shared" si="5"/>
        <v>697.31452139866781</v>
      </c>
      <c r="AN56" s="62">
        <f ca="1">AVERAGE(OFFSET($AM$3,0,0,'Données projet'!$E$10+1,1))-AVERAGE(OFFSET($H$3,0,0,'Données projet'!$E$10+1,1))</f>
        <v>499.92116338695428</v>
      </c>
      <c r="AO56" s="62">
        <f t="shared" si="36"/>
        <v>316.79403154855652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211.70619219850786</v>
      </c>
      <c r="BJ56" s="62">
        <f t="shared" si="38"/>
        <v>426.883837098247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62.653823951297994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9.1835819135546143E-2</v>
      </c>
      <c r="BS56" s="24">
        <f t="shared" si="9"/>
        <v>62.745659770433541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1.9895196601282805E-13</v>
      </c>
      <c r="O57" s="14">
        <f>N57*VLOOKUP('Données projet'!$B$9,Paramètres!$A$1:$I$89,3,0)*VLOOKUP('Données projet'!$B$9,Paramètres!$A$1:$I$89,5,0)</f>
        <v>1.8001173884840681E-13</v>
      </c>
      <c r="P57" s="14">
        <f t="shared" si="33"/>
        <v>2.5254331426407198E-12</v>
      </c>
      <c r="Q57" s="22">
        <f t="shared" si="53"/>
        <v>4.7119831685935622E-12</v>
      </c>
      <c r="R57" s="62">
        <f t="shared" si="0"/>
        <v>239.17731312102711</v>
      </c>
      <c r="S57" s="62">
        <f ca="1">AVERAGE(OFFSET($R$3,0,0,'Données projet'!$E$9+1,1))-AVERAGE(OFFSET($H$3,0,0,'Données projet'!$E$9+1,1))</f>
        <v>327.07074355218322</v>
      </c>
      <c r="T57" s="62">
        <f t="shared" si="34"/>
        <v>462.01668587029087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4.9993929131220058</v>
      </c>
      <c r="AA57" s="23">
        <f>EXP(-LN(2)/25)*AA56+(1-EXP(-LN(2)/25))/(LN(2)/25)*Calculateur!V57*Calculateur!X57*VLOOKUP('Données projet'!$B$9,Paramètres!$A$1:$I$89,3,0)*0.475*44/12</f>
        <v>4.1966611184753084</v>
      </c>
      <c r="AB57" s="23">
        <f>EXP(-LN(2)/2)*AB56+(1-EXP(-LN(2)/2))/(LN(2)/2)*V57*Y57*VLOOKUP('Données projet'!$B$9,Paramètres!$A$1:$I$89,3,0)*0.475*44/12</f>
        <v>1.439235897389363E-7</v>
      </c>
      <c r="AC57" s="24">
        <f t="shared" si="3"/>
        <v>9.1960541755209029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220.59023999999997</v>
      </c>
      <c r="AK57" s="14">
        <f t="shared" si="35"/>
        <v>54.24315145708789</v>
      </c>
      <c r="AL57" s="22">
        <f t="shared" si="4"/>
        <v>478.66815678776129</v>
      </c>
      <c r="AM57" s="62">
        <f t="shared" si="5"/>
        <v>717.84546990878368</v>
      </c>
      <c r="AN57" s="62">
        <f ca="1">AVERAGE(OFFSET($AM$3,0,0,'Données projet'!$E$10+1,1))-AVERAGE(OFFSET($H$3,0,0,'Données projet'!$E$10+1,1))</f>
        <v>499.92116338695428</v>
      </c>
      <c r="AO57" s="62">
        <f t="shared" si="36"/>
        <v>316.79403154855652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211.70619219850786</v>
      </c>
      <c r="BJ57" s="62">
        <f t="shared" si="38"/>
        <v>426.883837098247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61.425220678672225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6.4937730466565979E-2</v>
      </c>
      <c r="BS57" s="24">
        <f t="shared" si="9"/>
        <v>61.490158409138793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1.9895196601282805E-13</v>
      </c>
      <c r="O58" s="14">
        <f>N58*VLOOKUP('Données projet'!$B$9,Paramètres!$A$1:$I$89,3,0)*VLOOKUP('Données projet'!$B$9,Paramètres!$A$1:$I$89,5,0)</f>
        <v>1.8001173884840681E-13</v>
      </c>
      <c r="P58" s="14">
        <f t="shared" si="33"/>
        <v>2.5254331426407198E-12</v>
      </c>
      <c r="Q58" s="22">
        <f t="shared" si="53"/>
        <v>4.7119831685935622E-12</v>
      </c>
      <c r="R58" s="62">
        <f t="shared" si="0"/>
        <v>240.11679899698785</v>
      </c>
      <c r="S58" s="62">
        <f ca="1">AVERAGE(OFFSET($R$3,0,0,'Données projet'!$E$9+1,1))-AVERAGE(OFFSET($H$3,0,0,'Données projet'!$E$9+1,1))</f>
        <v>327.07074355218322</v>
      </c>
      <c r="T58" s="62">
        <f t="shared" si="34"/>
        <v>462.01668587029087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4.9013578674242639</v>
      </c>
      <c r="AA58" s="23">
        <f>EXP(-LN(2)/25)*AA57+(1-EXP(-LN(2)/25))/(LN(2)/25)*Calculateur!V58*Calculateur!X58*VLOOKUP('Données projet'!$B$9,Paramètres!$A$1:$I$89,3,0)*0.475*44/12</f>
        <v>4.0819031994977841</v>
      </c>
      <c r="AB58" s="23">
        <f>EXP(-LN(2)/2)*AB57+(1-EXP(-LN(2)/2))/(LN(2)/2)*V58*Y58*VLOOKUP('Données projet'!$B$9,Paramètres!$A$1:$I$89,3,0)*0.475*44/12</f>
        <v>1.0176934627711247E-7</v>
      </c>
      <c r="AC58" s="24">
        <f t="shared" si="3"/>
        <v>8.9832611686913939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229.81919999999997</v>
      </c>
      <c r="AK58" s="14">
        <f t="shared" si="35"/>
        <v>56.243586554989342</v>
      </c>
      <c r="AL58" s="22">
        <f t="shared" si="4"/>
        <v>498.22601991660639</v>
      </c>
      <c r="AM58" s="62">
        <f t="shared" si="5"/>
        <v>738.34281891358955</v>
      </c>
      <c r="AN58" s="62">
        <f ca="1">AVERAGE(OFFSET($AM$3,0,0,'Données projet'!$E$10+1,1))-AVERAGE(OFFSET($H$3,0,0,'Données projet'!$E$10+1,1))</f>
        <v>499.92116338695428</v>
      </c>
      <c r="AO58" s="62">
        <f t="shared" si="36"/>
        <v>316.79403154855652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211.70619219850786</v>
      </c>
      <c r="BJ58" s="62">
        <f t="shared" si="38"/>
        <v>426.883837098247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60.220709566848647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4.5917909567773071E-2</v>
      </c>
      <c r="BS58" s="24">
        <f t="shared" si="9"/>
        <v>60.266627476416417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1.9895196601282805E-13</v>
      </c>
      <c r="O59" s="14">
        <f>N59*VLOOKUP('Données projet'!$B$9,Paramètres!$A$1:$I$89,3,0)*VLOOKUP('Données projet'!$B$9,Paramètres!$A$1:$I$89,5,0)</f>
        <v>1.8001173884840681E-13</v>
      </c>
      <c r="P59" s="14">
        <f t="shared" si="33"/>
        <v>2.5254331426407198E-12</v>
      </c>
      <c r="Q59" s="22">
        <f t="shared" si="53"/>
        <v>4.7119831685935622E-12</v>
      </c>
      <c r="R59" s="62">
        <f t="shared" si="0"/>
        <v>241.03998689337635</v>
      </c>
      <c r="S59" s="62">
        <f ca="1">AVERAGE(OFFSET($R$3,0,0,'Données projet'!$E$9+1,1))-AVERAGE(OFFSET($H$3,0,0,'Données projet'!$E$9+1,1))</f>
        <v>327.07074355218322</v>
      </c>
      <c r="T59" s="62">
        <f t="shared" si="34"/>
        <v>462.01668587029087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4.8052452291771814</v>
      </c>
      <c r="AA59" s="23">
        <f>EXP(-LN(2)/25)*AA58+(1-EXP(-LN(2)/25))/(LN(2)/25)*Calculateur!V59*Calculateur!X59*VLOOKUP('Données projet'!$B$9,Paramètres!$A$1:$I$89,3,0)*0.475*44/12</f>
        <v>3.9702833418495573</v>
      </c>
      <c r="AB59" s="23">
        <f>EXP(-LN(2)/2)*AB58+(1-EXP(-LN(2)/2))/(LN(2)/2)*V59*Y59*VLOOKUP('Données projet'!$B$9,Paramètres!$A$1:$I$89,3,0)*0.475*44/12</f>
        <v>7.196179486946815E-8</v>
      </c>
      <c r="AC59" s="24">
        <f t="shared" si="3"/>
        <v>8.7755286429885331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703.58892885664841</v>
      </c>
      <c r="AN59" s="62">
        <f ca="1">AVERAGE(OFFSET($AM$3,0,0,'Données projet'!$E$10+1,1))-AVERAGE(OFFSET($H$3,0,0,'Données projet'!$E$10+1,1))</f>
        <v>499.92116338695428</v>
      </c>
      <c r="AO59" s="62">
        <f t="shared" si="36"/>
        <v>316.79403154855652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211.70619219850786</v>
      </c>
      <c r="BJ59" s="62">
        <f t="shared" si="38"/>
        <v>426.883837098247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59.039818183248698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3.246886523328299E-2</v>
      </c>
      <c r="BS59" s="24">
        <f t="shared" si="9"/>
        <v>59.072287048481982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1.9895196601282805E-13</v>
      </c>
      <c r="O60" s="14">
        <f>N60*VLOOKUP('Données projet'!$B$9,Paramètres!$A$1:$I$89,3,0)*VLOOKUP('Données projet'!$B$9,Paramètres!$A$1:$I$89,5,0)</f>
        <v>1.8001173884840681E-13</v>
      </c>
      <c r="P60" s="14">
        <f t="shared" si="33"/>
        <v>2.5254331426407198E-12</v>
      </c>
      <c r="Q60" s="22">
        <f t="shared" si="53"/>
        <v>4.7119831685935622E-12</v>
      </c>
      <c r="R60" s="62">
        <f t="shared" si="0"/>
        <v>241.9471595437015</v>
      </c>
      <c r="S60" s="62">
        <f ca="1">AVERAGE(OFFSET($R$3,0,0,'Données projet'!$E$9+1,1))-AVERAGE(OFFSET($H$3,0,0,'Données projet'!$E$9+1,1))</f>
        <v>327.07074355218322</v>
      </c>
      <c r="T60" s="62">
        <f t="shared" si="34"/>
        <v>462.01668587029087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4.7110173011432037</v>
      </c>
      <c r="AA60" s="23">
        <f>EXP(-LN(2)/25)*AA59+(1-EXP(-LN(2)/25))/(LN(2)/25)*Calculateur!V60*Calculateur!X60*VLOOKUP('Données projet'!$B$9,Paramètres!$A$1:$I$89,3,0)*0.475*44/12</f>
        <v>3.8617157350785543</v>
      </c>
      <c r="AB60" s="23">
        <f>EXP(-LN(2)/2)*AB59+(1-EXP(-LN(2)/2))/(LN(2)/2)*V60*Y60*VLOOKUP('Données projet'!$B$9,Paramètres!$A$1:$I$89,3,0)*0.475*44/12</f>
        <v>5.0884673138556234E-8</v>
      </c>
      <c r="AC60" s="24">
        <f t="shared" si="3"/>
        <v>8.57273308710643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722.53349330211711</v>
      </c>
      <c r="AN60" s="62">
        <f ca="1">AVERAGE(OFFSET($AM$3,0,0,'Données projet'!$E$10+1,1))-AVERAGE(OFFSET($H$3,0,0,'Données projet'!$E$10+1,1))</f>
        <v>499.92116338695428</v>
      </c>
      <c r="AO60" s="62">
        <f t="shared" si="36"/>
        <v>316.79403154855652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211.70619219850786</v>
      </c>
      <c r="BJ60" s="62">
        <f t="shared" si="38"/>
        <v>426.883837098247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57.882083359408519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2.2958954783886536E-2</v>
      </c>
      <c r="BS60" s="24">
        <f t="shared" si="9"/>
        <v>57.905042314192407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1.9895196601282805E-13</v>
      </c>
      <c r="O61" s="14">
        <f>N61*VLOOKUP('Données projet'!$B$9,Paramètres!$A$1:$I$89,3,0)*VLOOKUP('Données projet'!$B$9,Paramètres!$A$1:$I$89,5,0)</f>
        <v>1.8001173884840681E-13</v>
      </c>
      <c r="P61" s="14">
        <f t="shared" si="33"/>
        <v>2.5254331426407198E-12</v>
      </c>
      <c r="Q61" s="22">
        <f t="shared" si="53"/>
        <v>4.7119831685935622E-12</v>
      </c>
      <c r="R61" s="62">
        <f t="shared" si="0"/>
        <v>242.83859477667775</v>
      </c>
      <c r="S61" s="62">
        <f ca="1">AVERAGE(OFFSET($R$3,0,0,'Données projet'!$E$9+1,1))-AVERAGE(OFFSET($H$3,0,0,'Données projet'!$E$9+1,1))</f>
        <v>327.07074355218322</v>
      </c>
      <c r="T61" s="62">
        <f t="shared" si="34"/>
        <v>462.01668587029087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4.6186371253046108</v>
      </c>
      <c r="AA61" s="23">
        <f>EXP(-LN(2)/25)*AA60+(1-EXP(-LN(2)/25))/(LN(2)/25)*Calculateur!V61*Calculateur!X61*VLOOKUP('Données projet'!$B$9,Paramètres!$A$1:$I$89,3,0)*0.475*44/12</f>
        <v>3.7561169152240268</v>
      </c>
      <c r="AB61" s="23">
        <f>EXP(-LN(2)/2)*AB60+(1-EXP(-LN(2)/2))/(LN(2)/2)*V61*Y61*VLOOKUP('Données projet'!$B$9,Paramètres!$A$1:$I$89,3,0)*0.475*44/12</f>
        <v>3.5980897434734075E-8</v>
      </c>
      <c r="AC61" s="24">
        <f t="shared" si="3"/>
        <v>8.3747540765095358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741.44793736432302</v>
      </c>
      <c r="AN61" s="62">
        <f ca="1">AVERAGE(OFFSET($AM$3,0,0,'Données projet'!$E$10+1,1))-AVERAGE(OFFSET($H$3,0,0,'Données projet'!$E$10+1,1))</f>
        <v>499.92116338695428</v>
      </c>
      <c r="AO61" s="62">
        <f t="shared" si="36"/>
        <v>316.79403154855652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211.70619219850786</v>
      </c>
      <c r="BJ61" s="62">
        <f t="shared" si="38"/>
        <v>426.883837098247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56.747051009315328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1.6234432616641495E-2</v>
      </c>
      <c r="BS61" s="24">
        <f t="shared" si="9"/>
        <v>56.76328544193197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1.9895196601282805E-13</v>
      </c>
      <c r="O62" s="14">
        <f>N62*VLOOKUP('Données projet'!$B$9,Paramètres!$A$1:$I$89,3,0)*VLOOKUP('Données projet'!$B$9,Paramètres!$A$1:$I$89,5,0)</f>
        <v>1.8001173884840681E-13</v>
      </c>
      <c r="P62" s="14">
        <f t="shared" si="33"/>
        <v>2.5254331426407198E-12</v>
      </c>
      <c r="Q62" s="22">
        <f t="shared" si="53"/>
        <v>4.7119831685935622E-12</v>
      </c>
      <c r="R62" s="62">
        <f t="shared" si="0"/>
        <v>243.71456560131239</v>
      </c>
      <c r="S62" s="62">
        <f ca="1">AVERAGE(OFFSET($R$3,0,0,'Données projet'!$E$9+1,1))-AVERAGE(OFFSET($H$3,0,0,'Données projet'!$E$9+1,1))</f>
        <v>327.07074355218322</v>
      </c>
      <c r="T62" s="62">
        <f t="shared" si="34"/>
        <v>462.01668587029087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4.5280684683678691</v>
      </c>
      <c r="AA62" s="23">
        <f>EXP(-LN(2)/25)*AA61+(1-EXP(-LN(2)/25))/(LN(2)/25)*Calculateur!V62*Calculateur!X62*VLOOKUP('Données projet'!$B$9,Paramètres!$A$1:$I$89,3,0)*0.475*44/12</f>
        <v>3.6534057006516218</v>
      </c>
      <c r="AB62" s="23">
        <f>EXP(-LN(2)/2)*AB61+(1-EXP(-LN(2)/2))/(LN(2)/2)*V62*Y62*VLOOKUP('Données projet'!$B$9,Paramètres!$A$1:$I$89,3,0)*0.475*44/12</f>
        <v>2.5442336569278117E-8</v>
      </c>
      <c r="AC62" s="24">
        <f t="shared" si="3"/>
        <v>8.1814741944618277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760.33312682429221</v>
      </c>
      <c r="AN62" s="62">
        <f ca="1">AVERAGE(OFFSET($AM$3,0,0,'Données projet'!$E$10+1,1))-AVERAGE(OFFSET($H$3,0,0,'Données projet'!$E$10+1,1))</f>
        <v>499.92116338695428</v>
      </c>
      <c r="AO62" s="62">
        <f t="shared" si="36"/>
        <v>316.79403154855652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211.70619219850786</v>
      </c>
      <c r="BJ62" s="62">
        <f t="shared" si="38"/>
        <v>426.883837098247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55.634275951306094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1.1479477391943268E-2</v>
      </c>
      <c r="BS62" s="24">
        <f t="shared" si="9"/>
        <v>55.645755428698038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1.9895196601282805E-13</v>
      </c>
      <c r="O63" s="14">
        <f>N63*VLOOKUP('Données projet'!$B$9,Paramètres!$A$1:$I$89,3,0)*VLOOKUP('Données projet'!$B$9,Paramètres!$A$1:$I$89,5,0)</f>
        <v>1.8001173884840681E-13</v>
      </c>
      <c r="P63" s="14">
        <f t="shared" si="33"/>
        <v>2.5254331426407198E-12</v>
      </c>
      <c r="Q63" s="22">
        <f t="shared" si="53"/>
        <v>4.7119831685935622E-12</v>
      </c>
      <c r="R63" s="62">
        <f t="shared" si="0"/>
        <v>244.57534029051709</v>
      </c>
      <c r="S63" s="62">
        <f ca="1">AVERAGE(OFFSET($R$3,0,0,'Données projet'!$E$9+1,1))-AVERAGE(OFFSET($H$3,0,0,'Données projet'!$E$9+1,1))</f>
        <v>327.07074355218322</v>
      </c>
      <c r="T63" s="62">
        <f t="shared" si="34"/>
        <v>462.01668587029087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4.4392758075522307</v>
      </c>
      <c r="AA63" s="23">
        <f>EXP(-LN(2)/25)*AA62+(1-EXP(-LN(2)/25))/(LN(2)/25)*Calculateur!V63*Calculateur!X63*VLOOKUP('Données projet'!$B$9,Paramètres!$A$1:$I$89,3,0)*0.475*44/12</f>
        <v>3.5535031296430475</v>
      </c>
      <c r="AB63" s="23">
        <f>EXP(-LN(2)/2)*AB62+(1-EXP(-LN(2)/2))/(LN(2)/2)*V63*Y63*VLOOKUP('Données projet'!$B$9,Paramètres!$A$1:$I$89,3,0)*0.475*44/12</f>
        <v>1.7990448717367038E-8</v>
      </c>
      <c r="AC63" s="24">
        <f t="shared" si="3"/>
        <v>7.9927789551857273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779.18987805370762</v>
      </c>
      <c r="AN63" s="62">
        <f ca="1">AVERAGE(OFFSET($AM$3,0,0,'Données projet'!$E$10+1,1))-AVERAGE(OFFSET($H$3,0,0,'Données projet'!$E$10+1,1))</f>
        <v>499.92116338695428</v>
      </c>
      <c r="AO63" s="62">
        <f t="shared" si="36"/>
        <v>316.79403154855652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211.70619219850786</v>
      </c>
      <c r="BJ63" s="62">
        <f t="shared" si="38"/>
        <v>426.883837098247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54.543321733458654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8.1172163083207474E-3</v>
      </c>
      <c r="BS63" s="24">
        <f t="shared" si="9"/>
        <v>54.551438949766975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1.9895196601282805E-13</v>
      </c>
      <c r="O64" s="14">
        <f>N64*VLOOKUP('Données projet'!$B$9,Paramètres!$A$1:$I$89,3,0)*VLOOKUP('Données projet'!$B$9,Paramètres!$A$1:$I$89,5,0)</f>
        <v>1.8001173884840681E-13</v>
      </c>
      <c r="P64" s="14">
        <f t="shared" si="33"/>
        <v>2.5254331426407198E-12</v>
      </c>
      <c r="Q64" s="22">
        <f t="shared" si="53"/>
        <v>4.7119831685935622E-12</v>
      </c>
      <c r="R64" s="62">
        <f t="shared" si="0"/>
        <v>245.42118246326794</v>
      </c>
      <c r="S64" s="62">
        <f ca="1">AVERAGE(OFFSET($R$3,0,0,'Données projet'!$E$9+1,1))-AVERAGE(OFFSET($H$3,0,0,'Données projet'!$E$9+1,1))</f>
        <v>327.07074355218322</v>
      </c>
      <c r="T64" s="62">
        <f t="shared" si="34"/>
        <v>462.01668587029087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4.3522243166570123</v>
      </c>
      <c r="AA64" s="23">
        <f>EXP(-LN(2)/25)*AA63+(1-EXP(-LN(2)/25))/(LN(2)/25)*Calculateur!V64*Calculateur!X64*VLOOKUP('Données projet'!$B$9,Paramètres!$A$1:$I$89,3,0)*0.475*44/12</f>
        <v>3.4563323996923505</v>
      </c>
      <c r="AB64" s="23">
        <f>EXP(-LN(2)/2)*AB63+(1-EXP(-LN(2)/2))/(LN(2)/2)*V64*Y64*VLOOKUP('Données projet'!$B$9,Paramètres!$A$1:$I$89,3,0)*0.475*44/12</f>
        <v>1.2721168284639058E-8</v>
      </c>
      <c r="AC64" s="24">
        <f t="shared" si="3"/>
        <v>7.8085567290705313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229.63823999999994</v>
      </c>
      <c r="AK64" s="14">
        <f t="shared" si="35"/>
        <v>56.204453396569633</v>
      </c>
      <c r="AL64" s="22">
        <f t="shared" si="4"/>
        <v>497.84269099902531</v>
      </c>
      <c r="AM64" s="62">
        <f t="shared" si="5"/>
        <v>743.26387346228853</v>
      </c>
      <c r="AN64" s="62">
        <f ca="1">AVERAGE(OFFSET($AM$3,0,0,'Données projet'!$E$10+1,1))-AVERAGE(OFFSET($H$3,0,0,'Données projet'!$E$10+1,1))</f>
        <v>499.92116338695428</v>
      </c>
      <c r="AO64" s="62">
        <f t="shared" si="36"/>
        <v>316.79403154855652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211.70619219850786</v>
      </c>
      <c r="BJ64" s="62">
        <f t="shared" si="38"/>
        <v>426.883837098247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53.47376046240683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5.7397386959716339E-3</v>
      </c>
      <c r="BS64" s="24">
        <f t="shared" si="9"/>
        <v>53.479500201102802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1.9895196601282805E-13</v>
      </c>
      <c r="O65" s="14">
        <f>N65*VLOOKUP('Données projet'!$B$9,Paramètres!$A$1:$I$89,3,0)*VLOOKUP('Données projet'!$B$9,Paramètres!$A$1:$I$89,5,0)</f>
        <v>1.8001173884840681E-13</v>
      </c>
      <c r="P65" s="14">
        <f t="shared" si="33"/>
        <v>2.5254331426407198E-12</v>
      </c>
      <c r="Q65" s="22">
        <f t="shared" si="53"/>
        <v>4.7119831685935622E-12</v>
      </c>
      <c r="R65" s="62">
        <f t="shared" si="0"/>
        <v>246.25235116534139</v>
      </c>
      <c r="S65" s="62">
        <f ca="1">AVERAGE(OFFSET($R$3,0,0,'Données projet'!$E$9+1,1))-AVERAGE(OFFSET($H$3,0,0,'Données projet'!$E$9+1,1))</f>
        <v>327.07074355218322</v>
      </c>
      <c r="T65" s="62">
        <f t="shared" si="34"/>
        <v>462.01668587029087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4.2668798524020817</v>
      </c>
      <c r="AA65" s="23">
        <f>EXP(-LN(2)/25)*AA64+(1-EXP(-LN(2)/25))/(LN(2)/25)*Calculateur!V65*Calculateur!X65*VLOOKUP('Données projet'!$B$9,Paramètres!$A$1:$I$89,3,0)*0.475*44/12</f>
        <v>3.3618188084621417</v>
      </c>
      <c r="AB65" s="23">
        <f>EXP(-LN(2)/2)*AB64+(1-EXP(-LN(2)/2))/(LN(2)/2)*V65*Y65*VLOOKUP('Données projet'!$B$9,Paramètres!$A$1:$I$89,3,0)*0.475*44/12</f>
        <v>8.9952243586835188E-9</v>
      </c>
      <c r="AC65" s="24">
        <f t="shared" si="3"/>
        <v>7.6286986698594479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237.60047999999995</v>
      </c>
      <c r="AK65" s="14">
        <f t="shared" si="35"/>
        <v>57.922960533442058</v>
      </c>
      <c r="AL65" s="22">
        <f t="shared" si="4"/>
        <v>514.70332559574479</v>
      </c>
      <c r="AM65" s="62">
        <f t="shared" si="5"/>
        <v>760.95567676108146</v>
      </c>
      <c r="AN65" s="62">
        <f ca="1">AVERAGE(OFFSET($AM$3,0,0,'Données projet'!$E$10+1,1))-AVERAGE(OFFSET($H$3,0,0,'Données projet'!$E$10+1,1))</f>
        <v>499.92116338695428</v>
      </c>
      <c r="AO65" s="62">
        <f t="shared" si="36"/>
        <v>316.79403154855652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211.70619219850786</v>
      </c>
      <c r="BJ65" s="62">
        <f t="shared" si="38"/>
        <v>426.883837098247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52.425172635512375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4.0586081541603737E-3</v>
      </c>
      <c r="BS65" s="24">
        <f t="shared" si="9"/>
        <v>52.429231243666536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1.9895196601282805E-13</v>
      </c>
      <c r="O66" s="14">
        <f>N66*VLOOKUP('Données projet'!$B$9,Paramètres!$A$1:$I$89,3,0)*VLOOKUP('Données projet'!$B$9,Paramètres!$A$1:$I$89,5,0)</f>
        <v>1.8001173884840681E-13</v>
      </c>
      <c r="P66" s="14">
        <f t="shared" si="33"/>
        <v>2.5254331426407198E-12</v>
      </c>
      <c r="Q66" s="22">
        <f t="shared" si="53"/>
        <v>4.7119831685935622E-12</v>
      </c>
      <c r="R66" s="62">
        <f t="shared" si="0"/>
        <v>247.0691009486487</v>
      </c>
      <c r="S66" s="62">
        <f ca="1">AVERAGE(OFFSET($R$3,0,0,'Données projet'!$E$9+1,1))-AVERAGE(OFFSET($H$3,0,0,'Données projet'!$E$9+1,1))</f>
        <v>327.07074355218322</v>
      </c>
      <c r="T66" s="62">
        <f t="shared" si="34"/>
        <v>462.01668587029087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4.1832089410362077</v>
      </c>
      <c r="AA66" s="23">
        <f>EXP(-LN(2)/25)*AA65+(1-EXP(-LN(2)/25))/(LN(2)/25)*Calculateur!V66*Calculateur!X66*VLOOKUP('Données projet'!$B$9,Paramètres!$A$1:$I$89,3,0)*0.475*44/12</f>
        <v>3.2698896963543769</v>
      </c>
      <c r="AB66" s="23">
        <f>EXP(-LN(2)/2)*AB65+(1-EXP(-LN(2)/2))/(LN(2)/2)*V66*Y66*VLOOKUP('Données projet'!$B$9,Paramètres!$A$1:$I$89,3,0)*0.475*44/12</f>
        <v>6.3605841423195292E-9</v>
      </c>
      <c r="AC66" s="24">
        <f t="shared" si="3"/>
        <v>7.4530986437511686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245.56271999999998</v>
      </c>
      <c r="AK66" s="14">
        <f t="shared" si="35"/>
        <v>59.634776048276898</v>
      </c>
      <c r="AL66" s="22">
        <f t="shared" si="4"/>
        <v>531.55230561741564</v>
      </c>
      <c r="AM66" s="62">
        <f t="shared" si="5"/>
        <v>778.62140656605959</v>
      </c>
      <c r="AN66" s="62">
        <f ca="1">AVERAGE(OFFSET($AM$3,0,0,'Données projet'!$E$10+1,1))-AVERAGE(OFFSET($H$3,0,0,'Données projet'!$E$10+1,1))</f>
        <v>499.92116338695428</v>
      </c>
      <c r="AO66" s="62">
        <f t="shared" si="36"/>
        <v>316.79403154855652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211.70619219850786</v>
      </c>
      <c r="BJ66" s="62">
        <f t="shared" si="38"/>
        <v>426.883837098247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51.397146976327896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2.869869347985817E-3</v>
      </c>
      <c r="BS66" s="24">
        <f t="shared" si="9"/>
        <v>51.400016845675879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1.9895196601282805E-13</v>
      </c>
      <c r="O67" s="14">
        <f>N67*VLOOKUP('Données projet'!$B$9,Paramètres!$A$1:$I$89,3,0)*VLOOKUP('Données projet'!$B$9,Paramètres!$A$1:$I$89,5,0)</f>
        <v>1.8001173884840681E-13</v>
      </c>
      <c r="P67" s="14">
        <f t="shared" si="33"/>
        <v>2.5254331426407198E-12</v>
      </c>
      <c r="Q67" s="22">
        <f t="shared" ref="Q67:Q98" si="54">(O67+P67)*0.475*44/12</f>
        <v>4.7119831685935622E-12</v>
      </c>
      <c r="R67" s="62">
        <f t="shared" ref="R67:R130" si="55">Q67+(I67+J67)*44/12</f>
        <v>247.87168194919454</v>
      </c>
      <c r="S67" s="62">
        <f ca="1">AVERAGE(OFFSET($R$3,0,0,'Données projet'!$E$9+1,1))-AVERAGE(OFFSET($H$3,0,0,'Données projet'!$E$9+1,1))</f>
        <v>327.07074355218322</v>
      </c>
      <c r="T67" s="62">
        <f t="shared" si="34"/>
        <v>462.01668587029087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4.1011787652080018</v>
      </c>
      <c r="AA67" s="23">
        <f>EXP(-LN(2)/25)*AA66+(1-EXP(-LN(2)/25))/(LN(2)/25)*Calculateur!V67*Calculateur!X67*VLOOKUP('Données projet'!$B$9,Paramètres!$A$1:$I$89,3,0)*0.475*44/12</f>
        <v>3.1804743906515407</v>
      </c>
      <c r="AB67" s="23">
        <f>EXP(-LN(2)/2)*AB66+(1-EXP(-LN(2)/2))/(LN(2)/2)*V67*Y67*VLOOKUP('Données projet'!$B$9,Paramètres!$A$1:$I$89,3,0)*0.475*44/12</f>
        <v>4.4976121793417594E-9</v>
      </c>
      <c r="AC67" s="24">
        <f t="shared" si="3"/>
        <v>7.2816531603571546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253.52495999999999</v>
      </c>
      <c r="AK67" s="14">
        <f t="shared" si="35"/>
        <v>61.340141798422209</v>
      </c>
      <c r="AL67" s="22">
        <f t="shared" si="4"/>
        <v>548.39005229891859</v>
      </c>
      <c r="AM67" s="62">
        <f t="shared" si="5"/>
        <v>796.26173424810838</v>
      </c>
      <c r="AN67" s="62">
        <f ca="1">AVERAGE(OFFSET($AM$3,0,0,'Données projet'!$E$10+1,1))-AVERAGE(OFFSET($H$3,0,0,'Données projet'!$E$10+1,1))</f>
        <v>499.92116338695428</v>
      </c>
      <c r="AO67" s="62">
        <f t="shared" si="36"/>
        <v>316.79403154855652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211.70619219850786</v>
      </c>
      <c r="BJ67" s="62">
        <f t="shared" si="38"/>
        <v>426.883837098247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50.389280273286289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2.0293040770801869E-3</v>
      </c>
      <c r="BS67" s="24">
        <f t="shared" si="9"/>
        <v>50.391309577363366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1.9895196601282805E-13</v>
      </c>
      <c r="O68" s="14">
        <f>N68*VLOOKUP('Données projet'!$B$9,Paramètres!$A$1:$I$89,3,0)*VLOOKUP('Données projet'!$B$9,Paramètres!$A$1:$I$89,5,0)</f>
        <v>1.8001173884840681E-13</v>
      </c>
      <c r="P68" s="14">
        <f t="shared" si="33"/>
        <v>2.5254331426407198E-12</v>
      </c>
      <c r="Q68" s="22">
        <f t="shared" si="54"/>
        <v>4.7119831685935622E-12</v>
      </c>
      <c r="R68" s="62">
        <f t="shared" si="55"/>
        <v>248.66033996368327</v>
      </c>
      <c r="S68" s="62">
        <f ca="1">AVERAGE(OFFSET($R$3,0,0,'Données projet'!$E$9+1,1))-AVERAGE(OFFSET($H$3,0,0,'Données projet'!$E$9+1,1))</f>
        <v>327.07074355218322</v>
      </c>
      <c r="T68" s="62">
        <f t="shared" si="34"/>
        <v>462.01668587029087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4.0207571510943199</v>
      </c>
      <c r="AA68" s="23">
        <f>EXP(-LN(2)/25)*AA67+(1-EXP(-LN(2)/25))/(LN(2)/25)*Calculateur!V68*Calculateur!X68*VLOOKUP('Données projet'!$B$9,Paramètres!$A$1:$I$89,3,0)*0.475*44/12</f>
        <v>3.0935041511852952</v>
      </c>
      <c r="AB68" s="23">
        <f>EXP(-LN(2)/2)*AB67+(1-EXP(-LN(2)/2))/(LN(2)/2)*V68*Y68*VLOOKUP('Données projet'!$B$9,Paramètres!$A$1:$I$89,3,0)*0.475*44/12</f>
        <v>3.1802920711597646E-9</v>
      </c>
      <c r="AC68" s="24">
        <f t="shared" ref="AC68:AC131" si="57">SUM(Z68:AB68)</f>
        <v>7.114261305459908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261.48719999999997</v>
      </c>
      <c r="AK68" s="14">
        <f t="shared" si="35"/>
        <v>63.039283586802391</v>
      </c>
      <c r="AL68" s="22">
        <f t="shared" ref="AL68:AL131" si="58">(AJ68+AK68)*0.475*44/12</f>
        <v>565.21695891368086</v>
      </c>
      <c r="AM68" s="62">
        <f t="shared" ref="AM68:AM131" si="59">AL68+(AD68+AE68)*44/12</f>
        <v>813.87729887735941</v>
      </c>
      <c r="AN68" s="62">
        <f ca="1">AVERAGE(OFFSET($AM$3,0,0,'Données projet'!$E$10+1,1))-AVERAGE(OFFSET($H$3,0,0,'Données projet'!$E$10+1,1))</f>
        <v>499.92116338695428</v>
      </c>
      <c r="AO68" s="62">
        <f t="shared" si="36"/>
        <v>316.79403154855652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211.70619219850786</v>
      </c>
      <c r="BJ68" s="62">
        <f t="shared" si="38"/>
        <v>426.883837098247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49.40117722155334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1.4349346739929085E-3</v>
      </c>
      <c r="BS68" s="24">
        <f t="shared" ref="BS68:BS131" si="63">SUM(BP68:BR68)</f>
        <v>49.402612156227335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1.9895196601282805E-13</v>
      </c>
      <c r="O69" s="14">
        <f>N69*VLOOKUP('Données projet'!$B$9,Paramètres!$A$1:$I$89,3,0)*VLOOKUP('Données projet'!$B$9,Paramètres!$A$1:$I$89,5,0)</f>
        <v>1.8001173884840681E-13</v>
      </c>
      <c r="P69" s="14">
        <f t="shared" ref="P69:P132" si="87">EXP(-1.0587+0.8836*LN(O69)+0.284)</f>
        <v>2.5254331426407198E-12</v>
      </c>
      <c r="Q69" s="22">
        <f t="shared" si="54"/>
        <v>4.7119831685935622E-12</v>
      </c>
      <c r="R69" s="62">
        <f t="shared" si="55"/>
        <v>249.43531652479584</v>
      </c>
      <c r="S69" s="62">
        <f ca="1">AVERAGE(OFFSET($R$3,0,0,'Données projet'!$E$9+1,1))-AVERAGE(OFFSET($H$3,0,0,'Données projet'!$E$9+1,1))</f>
        <v>327.07074355218322</v>
      </c>
      <c r="T69" s="62">
        <f t="shared" ref="T69:T132" si="88">$T$3</f>
        <v>462.01668587029087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3.9419125557810659</v>
      </c>
      <c r="AA69" s="23">
        <f>EXP(-LN(2)/25)*AA68+(1-EXP(-LN(2)/25))/(LN(2)/25)*Calculateur!V69*Calculateur!X69*VLOOKUP('Données projet'!$B$9,Paramètres!$A$1:$I$89,3,0)*0.475*44/12</f>
        <v>3.0089121174908202</v>
      </c>
      <c r="AB69" s="23">
        <f>EXP(-LN(2)/2)*AB68+(1-EXP(-LN(2)/2))/(LN(2)/2)*V69*Y69*VLOOKUP('Données projet'!$B$9,Paramètres!$A$1:$I$89,3,0)*0.475*44/12</f>
        <v>2.2488060896708797E-9</v>
      </c>
      <c r="AC69" s="24">
        <f t="shared" si="57"/>
        <v>6.9508246755206926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776.7764462172014</v>
      </c>
      <c r="AN69" s="62">
        <f ca="1">AVERAGE(OFFSET($AM$3,0,0,'Données projet'!$E$10+1,1))-AVERAGE(OFFSET($H$3,0,0,'Données projet'!$E$10+1,1))</f>
        <v>499.92116338695428</v>
      </c>
      <c r="AO69" s="62">
        <f t="shared" ref="AO69:AO132" si="90">$AO$3</f>
        <v>316.79403154855652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211.70619219850786</v>
      </c>
      <c r="BJ69" s="62">
        <f t="shared" ref="BJ69:BJ132" si="92">$BJ$3</f>
        <v>426.883837098247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48.432450267981523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1.0146520385400934E-3</v>
      </c>
      <c r="BS69" s="24">
        <f t="shared" si="63"/>
        <v>48.433464920020064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1.9895196601282805E-13</v>
      </c>
      <c r="O70" s="14">
        <f>N70*VLOOKUP('Données projet'!$B$9,Paramètres!$A$1:$I$89,3,0)*VLOOKUP('Données projet'!$B$9,Paramètres!$A$1:$I$89,5,0)</f>
        <v>1.8001173884840681E-13</v>
      </c>
      <c r="P70" s="14">
        <f t="shared" si="87"/>
        <v>2.5254331426407198E-12</v>
      </c>
      <c r="Q70" s="22">
        <f t="shared" si="54"/>
        <v>4.7119831685935622E-12</v>
      </c>
      <c r="R70" s="62">
        <f t="shared" si="55"/>
        <v>250.19684897516109</v>
      </c>
      <c r="S70" s="62">
        <f ca="1">AVERAGE(OFFSET($R$3,0,0,'Données projet'!$E$9+1,1))-AVERAGE(OFFSET($H$3,0,0,'Données projet'!$E$9+1,1))</f>
        <v>327.07074355218322</v>
      </c>
      <c r="T70" s="62">
        <f t="shared" si="88"/>
        <v>462.01668587029087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3.8646140548914505</v>
      </c>
      <c r="AA70" s="23">
        <f>EXP(-LN(2)/25)*AA69+(1-EXP(-LN(2)/25))/(LN(2)/25)*Calculateur!V70*Calculateur!X70*VLOOKUP('Données projet'!$B$9,Paramètres!$A$1:$I$89,3,0)*0.475*44/12</f>
        <v>2.9266332574062224</v>
      </c>
      <c r="AB70" s="23">
        <f>EXP(-LN(2)/2)*AB69+(1-EXP(-LN(2)/2))/(LN(2)/2)*V70*Y70*VLOOKUP('Données projet'!$B$9,Paramètres!$A$1:$I$89,3,0)*0.475*44/12</f>
        <v>1.5901460355798823E-9</v>
      </c>
      <c r="AC70" s="24">
        <f t="shared" si="57"/>
        <v>6.7912473138878182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793.23063046816299</v>
      </c>
      <c r="AN70" s="62">
        <f ca="1">AVERAGE(OFFSET($AM$3,0,0,'Données projet'!$E$10+1,1))-AVERAGE(OFFSET($H$3,0,0,'Données projet'!$E$10+1,1))</f>
        <v>499.92116338695428</v>
      </c>
      <c r="AO70" s="62">
        <f t="shared" si="90"/>
        <v>316.79403154855652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211.70619219850786</v>
      </c>
      <c r="BJ70" s="62">
        <f t="shared" si="92"/>
        <v>426.883837098247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47.482719459104146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7.1746733699645424E-4</v>
      </c>
      <c r="BS70" s="24">
        <f t="shared" si="63"/>
        <v>47.483436926441144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1.9895196601282805E-13</v>
      </c>
      <c r="O71" s="14">
        <f>N71*VLOOKUP('Données projet'!$B$9,Paramètres!$A$1:$I$89,3,0)*VLOOKUP('Données projet'!$B$9,Paramètres!$A$1:$I$89,5,0)</f>
        <v>1.8001173884840681E-13</v>
      </c>
      <c r="P71" s="14">
        <f t="shared" si="87"/>
        <v>2.5254331426407198E-12</v>
      </c>
      <c r="Q71" s="22">
        <f t="shared" si="54"/>
        <v>4.7119831685935622E-12</v>
      </c>
      <c r="R71" s="62">
        <f t="shared" si="55"/>
        <v>250.9451705400439</v>
      </c>
      <c r="S71" s="62">
        <f ca="1">AVERAGE(OFFSET($R$3,0,0,'Données projet'!$E$9+1,1))-AVERAGE(OFFSET($H$3,0,0,'Données projet'!$E$9+1,1))</f>
        <v>327.07074355218322</v>
      </c>
      <c r="T71" s="62">
        <f t="shared" si="88"/>
        <v>462.01668587029087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3.7888313304568504</v>
      </c>
      <c r="AA71" s="23">
        <f>EXP(-LN(2)/25)*AA70+(1-EXP(-LN(2)/25))/(LN(2)/25)*Calculateur!V71*Calculateur!X71*VLOOKUP('Données projet'!$B$9,Paramètres!$A$1:$I$89,3,0)*0.475*44/12</f>
        <v>2.8466043170774951</v>
      </c>
      <c r="AB71" s="23">
        <f>EXP(-LN(2)/2)*AB70+(1-EXP(-LN(2)/2))/(LN(2)/2)*V71*Y71*VLOOKUP('Données projet'!$B$9,Paramètres!$A$1:$I$89,3,0)*0.475*44/12</f>
        <v>1.1244030448354398E-9</v>
      </c>
      <c r="AC71" s="24">
        <f t="shared" si="57"/>
        <v>6.6354356486587482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809.66208565042405</v>
      </c>
      <c r="AN71" s="62">
        <f ca="1">AVERAGE(OFFSET($AM$3,0,0,'Données projet'!$E$10+1,1))-AVERAGE(OFFSET($H$3,0,0,'Données projet'!$E$10+1,1))</f>
        <v>499.92116338695428</v>
      </c>
      <c r="AO71" s="62">
        <f t="shared" si="90"/>
        <v>316.79403154855652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211.70619219850786</v>
      </c>
      <c r="BJ71" s="62">
        <f t="shared" si="92"/>
        <v>426.883837098247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46.551612292110264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5.0732601927004671E-4</v>
      </c>
      <c r="BS71" s="24">
        <f t="shared" si="63"/>
        <v>46.552119618129531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1.9895196601282805E-13</v>
      </c>
      <c r="O72" s="14">
        <f>N72*VLOOKUP('Données projet'!$B$9,Paramètres!$A$1:$I$89,3,0)*VLOOKUP('Données projet'!$B$9,Paramètres!$A$1:$I$89,5,0)</f>
        <v>1.8001173884840681E-13</v>
      </c>
      <c r="P72" s="14">
        <f t="shared" si="87"/>
        <v>2.5254331426407198E-12</v>
      </c>
      <c r="Q72" s="22">
        <f t="shared" si="54"/>
        <v>4.7119831685935622E-12</v>
      </c>
      <c r="R72" s="62">
        <f t="shared" si="55"/>
        <v>251.68051039877255</v>
      </c>
      <c r="S72" s="62">
        <f ca="1">AVERAGE(OFFSET($R$3,0,0,'Données projet'!$E$9+1,1))-AVERAGE(OFFSET($H$3,0,0,'Données projet'!$E$9+1,1))</f>
        <v>327.07074355218322</v>
      </c>
      <c r="T72" s="62">
        <f t="shared" si="88"/>
        <v>462.01668587029087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3.7145346590255151</v>
      </c>
      <c r="AA72" s="23">
        <f>EXP(-LN(2)/25)*AA71+(1-EXP(-LN(2)/25))/(LN(2)/25)*Calculateur!V72*Calculateur!X72*VLOOKUP('Données projet'!$B$9,Paramètres!$A$1:$I$89,3,0)*0.475*44/12</f>
        <v>2.7687637723305958</v>
      </c>
      <c r="AB72" s="23">
        <f>EXP(-LN(2)/2)*AB71+(1-EXP(-LN(2)/2))/(LN(2)/2)*V72*Y72*VLOOKUP('Données projet'!$B$9,Paramètres!$A$1:$I$89,3,0)*0.475*44/12</f>
        <v>7.9507301778994115E-10</v>
      </c>
      <c r="AC72" s="24">
        <f t="shared" si="57"/>
        <v>6.4832984321511846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826.07134561000134</v>
      </c>
      <c r="AN72" s="62">
        <f ca="1">AVERAGE(OFFSET($AM$3,0,0,'Données projet'!$E$10+1,1))-AVERAGE(OFFSET($H$3,0,0,'Données projet'!$E$10+1,1))</f>
        <v>499.92116338695428</v>
      </c>
      <c r="AO72" s="62">
        <f t="shared" si="90"/>
        <v>316.79403154855652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211.70619219850786</v>
      </c>
      <c r="BJ72" s="62">
        <f t="shared" si="92"/>
        <v>426.883837098247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45.638763568741837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3.5873366849822712E-4</v>
      </c>
      <c r="BS72" s="24">
        <f t="shared" si="63"/>
        <v>45.639122302410335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1.9895196601282805E-13</v>
      </c>
      <c r="O73" s="14">
        <f>N73*VLOOKUP('Données projet'!$B$9,Paramètres!$A$1:$I$89,3,0)*VLOOKUP('Données projet'!$B$9,Paramètres!$A$1:$I$89,5,0)</f>
        <v>1.8001173884840681E-13</v>
      </c>
      <c r="P73" s="14">
        <f t="shared" si="87"/>
        <v>2.5254331426407198E-12</v>
      </c>
      <c r="Q73" s="22">
        <f t="shared" si="54"/>
        <v>4.7119831685935622E-12</v>
      </c>
      <c r="R73" s="62">
        <f t="shared" si="55"/>
        <v>252.40309375492578</v>
      </c>
      <c r="S73" s="62">
        <f ca="1">AVERAGE(OFFSET($R$3,0,0,'Données projet'!$E$9+1,1))-AVERAGE(OFFSET($H$3,0,0,'Données projet'!$E$9+1,1))</f>
        <v>327.07074355218322</v>
      </c>
      <c r="T73" s="62">
        <f t="shared" si="88"/>
        <v>462.01668587029087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3.641694900004453</v>
      </c>
      <c r="AA73" s="23">
        <f>EXP(-LN(2)/25)*AA72+(1-EXP(-LN(2)/25))/(LN(2)/25)*Calculateur!V73*Calculateur!X73*VLOOKUP('Données projet'!$B$9,Paramètres!$A$1:$I$89,3,0)*0.475*44/12</f>
        <v>2.6930517813732568</v>
      </c>
      <c r="AB73" s="23">
        <f>EXP(-LN(2)/2)*AB72+(1-EXP(-LN(2)/2))/(LN(2)/2)*V73*Y73*VLOOKUP('Données projet'!$B$9,Paramètres!$A$1:$I$89,3,0)*0.475*44/12</f>
        <v>5.6220152241771992E-10</v>
      </c>
      <c r="AC73" s="24">
        <f t="shared" si="57"/>
        <v>6.3347466819399116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842.45892224294175</v>
      </c>
      <c r="AN73" s="62">
        <f ca="1">AVERAGE(OFFSET($AM$3,0,0,'Données projet'!$E$10+1,1))-AVERAGE(OFFSET($H$3,0,0,'Données projet'!$E$10+1,1))</f>
        <v>499.92116338695428</v>
      </c>
      <c r="AO73" s="62">
        <f t="shared" si="90"/>
        <v>316.79403154855652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211.70619219850786</v>
      </c>
      <c r="BJ73" s="62">
        <f t="shared" si="92"/>
        <v>426.883837098247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44.743815252055924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2.5366300963502336E-4</v>
      </c>
      <c r="BS73" s="24">
        <f t="shared" si="63"/>
        <v>44.744068915065561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1.8001173884840681E-13</v>
      </c>
      <c r="P74" s="14">
        <f t="shared" si="87"/>
        <v>2.5254331426407198E-12</v>
      </c>
      <c r="Q74" s="22">
        <f t="shared" si="54"/>
        <v>4.7119831685935622E-12</v>
      </c>
      <c r="R74" s="62">
        <f t="shared" si="55"/>
        <v>253.11314190530419</v>
      </c>
      <c r="S74" s="62">
        <f ca="1">AVERAGE(OFFSET($R$3,0,0,'Données projet'!$E$9+1,1))-AVERAGE(OFFSET($H$3,0,0,'Données projet'!$E$9+1,1))</f>
        <v>327.07074355218322</v>
      </c>
      <c r="T74" s="62">
        <f t="shared" si="88"/>
        <v>462.01668587029087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3.570283484229928</v>
      </c>
      <c r="AA74" s="23">
        <f>EXP(-LN(2)/25)*AA73+(1-EXP(-LN(2)/25))/(LN(2)/25)*Calculateur!V74*Calculateur!X74*VLOOKUP('Données projet'!$B$9,Paramètres!$A$1:$I$89,3,0)*0.475*44/12</f>
        <v>2.6194101387901672</v>
      </c>
      <c r="AB74" s="23">
        <f>EXP(-LN(2)/2)*AB73+(1-EXP(-LN(2)/2))/(LN(2)/2)*V74*Y74*VLOOKUP('Données projet'!$B$9,Paramètres!$A$1:$I$89,3,0)*0.475*44/12</f>
        <v>3.9753650889497058E-10</v>
      </c>
      <c r="AC74" s="24">
        <f t="shared" si="57"/>
        <v>6.1896936234176314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254.79167999999996</v>
      </c>
      <c r="AK74" s="14">
        <f t="shared" si="89"/>
        <v>61.610870508448471</v>
      </c>
      <c r="AL74" s="22">
        <f t="shared" si="58"/>
        <v>551.067775468881</v>
      </c>
      <c r="AM74" s="62">
        <f t="shared" si="59"/>
        <v>804.18091737418047</v>
      </c>
      <c r="AN74" s="62">
        <f ca="1">AVERAGE(OFFSET($AM$3,0,0,'Données projet'!$E$10+1,1))-AVERAGE(OFFSET($H$3,0,0,'Données projet'!$E$10+1,1))</f>
        <v>499.92116338695428</v>
      </c>
      <c r="AO74" s="62">
        <f t="shared" si="90"/>
        <v>316.79403154855652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211.70619219850786</v>
      </c>
      <c r="BJ74" s="62">
        <f t="shared" si="92"/>
        <v>426.883837098247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43.866416325995644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1.7936683424911356E-4</v>
      </c>
      <c r="BS74" s="24">
        <f t="shared" si="63"/>
        <v>43.86659569282989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1.8001173884840681E-13</v>
      </c>
      <c r="P75" s="14">
        <f t="shared" si="87"/>
        <v>2.5254331426407198E-12</v>
      </c>
      <c r="Q75" s="22">
        <f t="shared" si="54"/>
        <v>4.7119831685935622E-12</v>
      </c>
      <c r="R75" s="62">
        <f t="shared" si="55"/>
        <v>253.81087230770339</v>
      </c>
      <c r="S75" s="62">
        <f ca="1">AVERAGE(OFFSET($R$3,0,0,'Données projet'!$E$9+1,1))-AVERAGE(OFFSET($H$3,0,0,'Données projet'!$E$9+1,1))</f>
        <v>327.07074355218322</v>
      </c>
      <c r="T75" s="62">
        <f t="shared" si="88"/>
        <v>462.01668587029087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3.5002724027620786</v>
      </c>
      <c r="AA75" s="23">
        <f>EXP(-LN(2)/25)*AA74+(1-EXP(-LN(2)/25))/(LN(2)/25)*Calculateur!V75*Calculateur!X75*VLOOKUP('Données projet'!$B$9,Paramètres!$A$1:$I$89,3,0)*0.475*44/12</f>
        <v>2.5477822307961575</v>
      </c>
      <c r="AB75" s="23">
        <f>EXP(-LN(2)/2)*AB74+(1-EXP(-LN(2)/2))/(LN(2)/2)*V75*Y75*VLOOKUP('Données projet'!$B$9,Paramètres!$A$1:$I$89,3,0)*0.475*44/12</f>
        <v>2.8110076120885996E-10</v>
      </c>
      <c r="AC75" s="24">
        <f t="shared" si="57"/>
        <v>6.0480546338393362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261.66816</v>
      </c>
      <c r="AK75" s="14">
        <f t="shared" si="89"/>
        <v>63.077829793082856</v>
      </c>
      <c r="AL75" s="22">
        <f t="shared" si="58"/>
        <v>565.5992655562859</v>
      </c>
      <c r="AM75" s="62">
        <f t="shared" si="59"/>
        <v>819.41013786398457</v>
      </c>
      <c r="AN75" s="62">
        <f ca="1">AVERAGE(OFFSET($AM$3,0,0,'Données projet'!$E$10+1,1))-AVERAGE(OFFSET($H$3,0,0,'Données projet'!$E$10+1,1))</f>
        <v>499.92116338695428</v>
      </c>
      <c r="AO75" s="62">
        <f t="shared" si="90"/>
        <v>316.79403154855652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211.70619219850786</v>
      </c>
      <c r="BJ75" s="62">
        <f t="shared" si="92"/>
        <v>426.883837098247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43.006222657714908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1.2683150481751168E-4</v>
      </c>
      <c r="BS75" s="24">
        <f t="shared" si="63"/>
        <v>43.006349489219723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1.8001173884840681E-13</v>
      </c>
      <c r="P76" s="14">
        <f t="shared" si="87"/>
        <v>2.5254331426407198E-12</v>
      </c>
      <c r="Q76" s="22">
        <f t="shared" si="54"/>
        <v>4.7119831685935622E-12</v>
      </c>
      <c r="R76" s="62">
        <f t="shared" si="55"/>
        <v>254.4964986475124</v>
      </c>
      <c r="S76" s="62">
        <f ca="1">AVERAGE(OFFSET($R$3,0,0,'Données projet'!$E$9+1,1))-AVERAGE(OFFSET($H$3,0,0,'Données projet'!$E$9+1,1))</f>
        <v>327.07074355218322</v>
      </c>
      <c r="T76" s="62">
        <f t="shared" si="88"/>
        <v>462.01668587029087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3.4316341958992704</v>
      </c>
      <c r="AA76" s="23">
        <f>EXP(-LN(2)/25)*AA75+(1-EXP(-LN(2)/25))/(LN(2)/25)*Calculateur!V76*Calculateur!X76*VLOOKUP('Données projet'!$B$9,Paramètres!$A$1:$I$89,3,0)*0.475*44/12</f>
        <v>2.478112991712992</v>
      </c>
      <c r="AB76" s="23">
        <f>EXP(-LN(2)/2)*AB75+(1-EXP(-LN(2)/2))/(LN(2)/2)*V76*Y76*VLOOKUP('Données projet'!$B$9,Paramètres!$A$1:$I$89,3,0)*0.475*44/12</f>
        <v>1.9876825444748529E-10</v>
      </c>
      <c r="AC76" s="24">
        <f t="shared" si="57"/>
        <v>5.909747187811031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268.54464000000002</v>
      </c>
      <c r="AK76" s="14">
        <f t="shared" si="89"/>
        <v>64.54030807605065</v>
      </c>
      <c r="AL76" s="22">
        <f t="shared" si="58"/>
        <v>580.12295123245474</v>
      </c>
      <c r="AM76" s="62">
        <f t="shared" si="59"/>
        <v>834.61944987996242</v>
      </c>
      <c r="AN76" s="62">
        <f ca="1">AVERAGE(OFFSET($AM$3,0,0,'Données projet'!$E$10+1,1))-AVERAGE(OFFSET($H$3,0,0,'Données projet'!$E$10+1,1))</f>
        <v>499.92116338695428</v>
      </c>
      <c r="AO76" s="62">
        <f t="shared" si="90"/>
        <v>316.79403154855652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211.70619219850786</v>
      </c>
      <c r="BJ76" s="62">
        <f t="shared" si="92"/>
        <v>426.883837098247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42.162896862602821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8.968341712455678E-5</v>
      </c>
      <c r="BS76" s="24">
        <f t="shared" si="63"/>
        <v>42.162986546019944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1.8001173884840681E-13</v>
      </c>
      <c r="P77" s="14">
        <f t="shared" si="87"/>
        <v>2.5254331426407198E-12</v>
      </c>
      <c r="Q77" s="22">
        <f t="shared" si="54"/>
        <v>4.7119831685935622E-12</v>
      </c>
      <c r="R77" s="62">
        <f t="shared" si="55"/>
        <v>255.17023090315666</v>
      </c>
      <c r="S77" s="62">
        <f ca="1">AVERAGE(OFFSET($R$3,0,0,'Données projet'!$E$9+1,1))-AVERAGE(OFFSET($H$3,0,0,'Données projet'!$E$9+1,1))</f>
        <v>327.07074355218322</v>
      </c>
      <c r="T77" s="62">
        <f t="shared" si="88"/>
        <v>462.01668587029087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3.3643419424078695</v>
      </c>
      <c r="AA77" s="23">
        <f>EXP(-LN(2)/25)*AA76+(1-EXP(-LN(2)/25))/(LN(2)/25)*Calculateur!V77*Calculateur!X77*VLOOKUP('Données projet'!$B$9,Paramètres!$A$1:$I$89,3,0)*0.475*44/12</f>
        <v>2.4103488616363018</v>
      </c>
      <c r="AB77" s="23">
        <f>EXP(-LN(2)/2)*AB76+(1-EXP(-LN(2)/2))/(LN(2)/2)*V77*Y77*VLOOKUP('Données projet'!$B$9,Paramètres!$A$1:$I$89,3,0)*0.475*44/12</f>
        <v>1.4055038060442998E-10</v>
      </c>
      <c r="AC77" s="24">
        <f t="shared" si="57"/>
        <v>5.774690804184722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275.42112000000003</v>
      </c>
      <c r="AK77" s="14">
        <f t="shared" si="89"/>
        <v>65.998433293601067</v>
      </c>
      <c r="AL77" s="22">
        <f t="shared" si="58"/>
        <v>594.63905531968851</v>
      </c>
      <c r="AM77" s="62">
        <f t="shared" si="59"/>
        <v>849.80928622284046</v>
      </c>
      <c r="AN77" s="62">
        <f ca="1">AVERAGE(OFFSET($AM$3,0,0,'Données projet'!$E$10+1,1))-AVERAGE(OFFSET($H$3,0,0,'Données projet'!$E$10+1,1))</f>
        <v>499.92116338695428</v>
      </c>
      <c r="AO77" s="62">
        <f t="shared" si="90"/>
        <v>316.79403154855652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211.70619219850786</v>
      </c>
      <c r="BJ77" s="62">
        <f t="shared" si="92"/>
        <v>426.883837098247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41.33610817195494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6.3415752408755839E-5</v>
      </c>
      <c r="BS77" s="24">
        <f t="shared" si="63"/>
        <v>41.336171587707348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1.8001173884840681E-13</v>
      </c>
      <c r="P78" s="14">
        <f t="shared" si="87"/>
        <v>2.5254331426407198E-12</v>
      </c>
      <c r="Q78" s="22">
        <f t="shared" si="54"/>
        <v>4.7119831685935622E-12</v>
      </c>
      <c r="R78" s="62">
        <f t="shared" si="55"/>
        <v>255.83227541040509</v>
      </c>
      <c r="S78" s="62">
        <f ca="1">AVERAGE(OFFSET($R$3,0,0,'Données projet'!$E$9+1,1))-AVERAGE(OFFSET($H$3,0,0,'Données projet'!$E$9+1,1))</f>
        <v>327.07074355218322</v>
      </c>
      <c r="T78" s="62">
        <f t="shared" si="88"/>
        <v>462.01668587029087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3.2983692489632133</v>
      </c>
      <c r="AA78" s="23">
        <f>EXP(-LN(2)/25)*AA77+(1-EXP(-LN(2)/25))/(LN(2)/25)*Calculateur!V78*Calculateur!X78*VLOOKUP('Données projet'!$B$9,Paramètres!$A$1:$I$89,3,0)*0.475*44/12</f>
        <v>2.3444377452601195</v>
      </c>
      <c r="AB78" s="23">
        <f>EXP(-LN(2)/2)*AB77+(1-EXP(-LN(2)/2))/(LN(2)/2)*V78*Y78*VLOOKUP('Données projet'!$B$9,Paramètres!$A$1:$I$89,3,0)*0.475*44/12</f>
        <v>9.9384127223742644E-11</v>
      </c>
      <c r="AC78" s="24">
        <f t="shared" si="57"/>
        <v>5.6428069943227177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282.29760000000005</v>
      </c>
      <c r="AK78" s="14">
        <f t="shared" si="89"/>
        <v>67.452326629470178</v>
      </c>
      <c r="AL78" s="22">
        <f t="shared" si="58"/>
        <v>609.14778887966054</v>
      </c>
      <c r="AM78" s="62">
        <f t="shared" si="59"/>
        <v>864.98006429006091</v>
      </c>
      <c r="AN78" s="62">
        <f ca="1">AVERAGE(OFFSET($AM$3,0,0,'Données projet'!$E$10+1,1))-AVERAGE(OFFSET($H$3,0,0,'Données projet'!$E$10+1,1))</f>
        <v>499.92116338695428</v>
      </c>
      <c r="AO78" s="62">
        <f t="shared" si="90"/>
        <v>316.79403154855652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211.70619219850786</v>
      </c>
      <c r="BJ78" s="62">
        <f t="shared" si="92"/>
        <v>426.883837098247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40.525532303239359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4.484170856227839E-5</v>
      </c>
      <c r="BS78" s="24">
        <f t="shared" si="63"/>
        <v>40.525577144947924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1.8001173884840681E-13</v>
      </c>
      <c r="P79" s="14">
        <f t="shared" si="87"/>
        <v>2.5254331426407198E-12</v>
      </c>
      <c r="Q79" s="22">
        <f t="shared" si="54"/>
        <v>4.7119831685935622E-12</v>
      </c>
      <c r="R79" s="62">
        <f t="shared" si="55"/>
        <v>256.4828349255626</v>
      </c>
      <c r="S79" s="62">
        <f ca="1">AVERAGE(OFFSET($R$3,0,0,'Données projet'!$E$9+1,1))-AVERAGE(OFFSET($H$3,0,0,'Données projet'!$E$9+1,1))</f>
        <v>327.07074355218322</v>
      </c>
      <c r="T79" s="62">
        <f t="shared" si="88"/>
        <v>462.01668587029087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3.233690239797637</v>
      </c>
      <c r="AA79" s="23">
        <f>EXP(-LN(2)/25)*AA78+(1-EXP(-LN(2)/25))/(LN(2)/25)*Calculateur!V79*Calculateur!X79*VLOOKUP('Données projet'!$B$9,Paramètres!$A$1:$I$89,3,0)*0.475*44/12</f>
        <v>2.2803289718273589</v>
      </c>
      <c r="AB79" s="23">
        <f>EXP(-LN(2)/2)*AB78+(1-EXP(-LN(2)/2))/(LN(2)/2)*V79*Y79*VLOOKUP('Données projet'!$B$9,Paramètres!$A$1:$I$89,3,0)*0.475*44/12</f>
        <v>7.027519030221499E-11</v>
      </c>
      <c r="AC79" s="24">
        <f t="shared" si="57"/>
        <v>5.5140192116952713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825.90487037476953</v>
      </c>
      <c r="AN79" s="62">
        <f ca="1">AVERAGE(OFFSET($AM$3,0,0,'Données projet'!$E$10+1,1))-AVERAGE(OFFSET($H$3,0,0,'Données projet'!$E$10+1,1))</f>
        <v>499.92116338695428</v>
      </c>
      <c r="AO79" s="62">
        <f t="shared" si="90"/>
        <v>316.79403154855652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211.70619219850786</v>
      </c>
      <c r="BJ79" s="62">
        <f t="shared" si="92"/>
        <v>426.883837098247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39.73085133290683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3.170787620437792E-5</v>
      </c>
      <c r="BS79" s="24">
        <f t="shared" si="63"/>
        <v>39.730883040783034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1.8001173884840681E-13</v>
      </c>
      <c r="P80" s="14">
        <f t="shared" si="87"/>
        <v>2.5254331426407198E-12</v>
      </c>
      <c r="Q80" s="22">
        <f t="shared" si="54"/>
        <v>4.7119831685935622E-12</v>
      </c>
      <c r="R80" s="62">
        <f t="shared" si="55"/>
        <v>257.12210868756529</v>
      </c>
      <c r="S80" s="62">
        <f ca="1">AVERAGE(OFFSET($R$3,0,0,'Données projet'!$E$9+1,1))-AVERAGE(OFFSET($H$3,0,0,'Données projet'!$E$9+1,1))</f>
        <v>327.07074355218322</v>
      </c>
      <c r="T80" s="62">
        <f t="shared" si="88"/>
        <v>462.01668587029087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3.1702795465514977</v>
      </c>
      <c r="AA80" s="23">
        <f>EXP(-LN(2)/25)*AA79+(1-EXP(-LN(2)/25))/(LN(2)/25)*Calculateur!V80*Calculateur!X80*VLOOKUP('Données projet'!$B$9,Paramètres!$A$1:$I$89,3,0)*0.475*44/12</f>
        <v>2.2179732561754508</v>
      </c>
      <c r="AB80" s="23">
        <f>EXP(-LN(2)/2)*AB79+(1-EXP(-LN(2)/2))/(LN(2)/2)*V80*Y80*VLOOKUP('Données projet'!$B$9,Paramètres!$A$1:$I$89,3,0)*0.475*44/12</f>
        <v>4.9692063611871322E-11</v>
      </c>
      <c r="AC80" s="24">
        <f t="shared" si="57"/>
        <v>5.3882528027766403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840.30170463439276</v>
      </c>
      <c r="AN80" s="62">
        <f ca="1">AVERAGE(OFFSET($AM$3,0,0,'Données projet'!$E$10+1,1))-AVERAGE(OFFSET($H$3,0,0,'Données projet'!$E$10+1,1))</f>
        <v>499.92116338695428</v>
      </c>
      <c r="AO80" s="62">
        <f t="shared" si="90"/>
        <v>316.79403154855652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211.70619219850786</v>
      </c>
      <c r="BJ80" s="62">
        <f t="shared" si="92"/>
        <v>426.883837098247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38.951753571694987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2.2420854281139195E-5</v>
      </c>
      <c r="BS80" s="24">
        <f t="shared" si="63"/>
        <v>38.951775992549265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1.8001173884840681E-13</v>
      </c>
      <c r="P81" s="14">
        <f t="shared" si="87"/>
        <v>2.5254331426407198E-12</v>
      </c>
      <c r="Q81" s="22">
        <f t="shared" si="54"/>
        <v>4.7119831685935622E-12</v>
      </c>
      <c r="R81" s="62">
        <f t="shared" si="55"/>
        <v>257.7502924789992</v>
      </c>
      <c r="S81" s="62">
        <f ca="1">AVERAGE(OFFSET($R$3,0,0,'Données projet'!$E$9+1,1))-AVERAGE(OFFSET($H$3,0,0,'Données projet'!$E$9+1,1))</f>
        <v>327.07074355218322</v>
      </c>
      <c r="T81" s="62">
        <f t="shared" si="88"/>
        <v>462.01668587029087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3.1081122983232112</v>
      </c>
      <c r="AA81" s="23">
        <f>EXP(-LN(2)/25)*AA80+(1-EXP(-LN(2)/25))/(LN(2)/25)*Calculateur!V81*Calculateur!X81*VLOOKUP('Données projet'!$B$9,Paramètres!$A$1:$I$89,3,0)*0.475*44/12</f>
        <v>2.1573226608471887</v>
      </c>
      <c r="AB81" s="23">
        <f>EXP(-LN(2)/2)*AB80+(1-EXP(-LN(2)/2))/(LN(2)/2)*V81*Y81*VLOOKUP('Données projet'!$B$9,Paramètres!$A$1:$I$89,3,0)*0.475*44/12</f>
        <v>3.5137595151107495E-11</v>
      </c>
      <c r="AC81" s="24">
        <f t="shared" si="57"/>
        <v>5.2654349592055372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854.68068521237251</v>
      </c>
      <c r="AN81" s="62">
        <f ca="1">AVERAGE(OFFSET($AM$3,0,0,'Données projet'!$E$10+1,1))-AVERAGE(OFFSET($H$3,0,0,'Données projet'!$E$10+1,1))</f>
        <v>499.92116338695428</v>
      </c>
      <c r="AO81" s="62">
        <f t="shared" si="90"/>
        <v>316.79403154855652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211.70619219850786</v>
      </c>
      <c r="BJ81" s="62">
        <f t="shared" si="92"/>
        <v>426.883837098247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38.187933442377798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1.585393810218896E-5</v>
      </c>
      <c r="BS81" s="24">
        <f t="shared" si="63"/>
        <v>38.1879492963159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1.8001173884840681E-13</v>
      </c>
      <c r="P82" s="14">
        <f t="shared" si="87"/>
        <v>2.5254331426407198E-12</v>
      </c>
      <c r="Q82" s="22">
        <f t="shared" si="54"/>
        <v>4.7119831685935622E-12</v>
      </c>
      <c r="R82" s="62">
        <f t="shared" si="55"/>
        <v>258.36757868606037</v>
      </c>
      <c r="S82" s="62">
        <f ca="1">AVERAGE(OFFSET($R$3,0,0,'Données projet'!$E$9+1,1))-AVERAGE(OFFSET($H$3,0,0,'Données projet'!$E$9+1,1))</f>
        <v>327.07074355218322</v>
      </c>
      <c r="T82" s="62">
        <f t="shared" si="88"/>
        <v>462.01668587029087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3.047164111914404</v>
      </c>
      <c r="AA82" s="23">
        <f>EXP(-LN(2)/25)*AA81+(1-EXP(-LN(2)/25))/(LN(2)/25)*Calculateur!V82*Calculateur!X82*VLOOKUP('Données projet'!$B$9,Paramètres!$A$1:$I$89,3,0)*0.475*44/12</f>
        <v>2.0983305592376542</v>
      </c>
      <c r="AB82" s="23">
        <f>EXP(-LN(2)/2)*AB81+(1-EXP(-LN(2)/2))/(LN(2)/2)*V82*Y82*VLOOKUP('Données projet'!$B$9,Paramètres!$A$1:$I$89,3,0)*0.475*44/12</f>
        <v>2.4846031805935661E-11</v>
      </c>
      <c r="AC82" s="24">
        <f t="shared" si="57"/>
        <v>5.1454946711769036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869.04218218772735</v>
      </c>
      <c r="AN82" s="62">
        <f ca="1">AVERAGE(OFFSET($AM$3,0,0,'Données projet'!$E$10+1,1))-AVERAGE(OFFSET($H$3,0,0,'Données projet'!$E$10+1,1))</f>
        <v>499.92116338695428</v>
      </c>
      <c r="AO82" s="62">
        <f t="shared" si="90"/>
        <v>316.79403154855652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211.70619219850786</v>
      </c>
      <c r="BJ82" s="62">
        <f t="shared" si="92"/>
        <v>426.883837098247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37.43909135991224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1.1210427140569598E-5</v>
      </c>
      <c r="BS82" s="24">
        <f t="shared" si="63"/>
        <v>37.439102570339379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1.8001173884840681E-13</v>
      </c>
      <c r="P83" s="14">
        <f t="shared" si="87"/>
        <v>2.5254331426407198E-12</v>
      </c>
      <c r="Q83" s="22">
        <f t="shared" si="54"/>
        <v>4.7119831685935622E-12</v>
      </c>
      <c r="R83" s="62">
        <f t="shared" si="55"/>
        <v>258.97415635747427</v>
      </c>
      <c r="S83" s="62">
        <f ca="1">AVERAGE(OFFSET($R$3,0,0,'Données projet'!$E$9+1,1))-AVERAGE(OFFSET($H$3,0,0,'Données projet'!$E$9+1,1))</f>
        <v>327.07074355218322</v>
      </c>
      <c r="T83" s="62">
        <f t="shared" si="88"/>
        <v>462.01668587029087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2.9874110822663504</v>
      </c>
      <c r="AA83" s="23">
        <f>EXP(-LN(2)/25)*AA82+(1-EXP(-LN(2)/25))/(LN(2)/25)*Calculateur!V83*Calculateur!X83*VLOOKUP('Données projet'!$B$9,Paramètres!$A$1:$I$89,3,0)*0.475*44/12</f>
        <v>2.0409515997488921</v>
      </c>
      <c r="AB83" s="23">
        <f>EXP(-LN(2)/2)*AB82+(1-EXP(-LN(2)/2))/(LN(2)/2)*V83*Y83*VLOOKUP('Données projet'!$B$9,Paramètres!$A$1:$I$89,3,0)*0.475*44/12</f>
        <v>1.7568797575553748E-11</v>
      </c>
      <c r="AC83" s="24">
        <f t="shared" si="57"/>
        <v>5.0283626820328111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883.38655365497175</v>
      </c>
      <c r="AN83" s="62">
        <f ca="1">AVERAGE(OFFSET($AM$3,0,0,'Données projet'!$E$10+1,1))-AVERAGE(OFFSET($H$3,0,0,'Données projet'!$E$10+1,1))</f>
        <v>499.92116338695428</v>
      </c>
      <c r="AO83" s="62">
        <f t="shared" si="90"/>
        <v>316.79403154855652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211.70619219850786</v>
      </c>
      <c r="BJ83" s="62">
        <f t="shared" si="92"/>
        <v>426.883837098247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36.70493361393526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7.9269690510944799E-6</v>
      </c>
      <c r="BS83" s="24">
        <f t="shared" si="63"/>
        <v>36.704941540904315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1.8001173884840681E-13</v>
      </c>
      <c r="P84" s="14">
        <f t="shared" si="87"/>
        <v>2.5254331426407198E-12</v>
      </c>
      <c r="Q84" s="22">
        <f t="shared" si="54"/>
        <v>4.7119831685935622E-12</v>
      </c>
      <c r="R84" s="62">
        <f t="shared" si="55"/>
        <v>259.57021126239351</v>
      </c>
      <c r="S84" s="62">
        <f ca="1">AVERAGE(OFFSET($R$3,0,0,'Données projet'!$E$9+1,1))-AVERAGE(OFFSET($H$3,0,0,'Données projet'!$E$9+1,1))</f>
        <v>327.07074355218322</v>
      </c>
      <c r="T84" s="62">
        <f t="shared" si="88"/>
        <v>462.01668587029087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2.9288297730839461</v>
      </c>
      <c r="AA84" s="23">
        <f>EXP(-LN(2)/25)*AA83+(1-EXP(-LN(2)/25))/(LN(2)/25)*Calculateur!V84*Calculateur!X84*VLOOKUP('Données projet'!$B$9,Paramètres!$A$1:$I$89,3,0)*0.475*44/12</f>
        <v>1.9851416709247787</v>
      </c>
      <c r="AB84" s="23">
        <f>EXP(-LN(2)/2)*AB83+(1-EXP(-LN(2)/2))/(LN(2)/2)*V84*Y84*VLOOKUP('Données projet'!$B$9,Paramètres!$A$1:$I$89,3,0)*0.475*44/12</f>
        <v>1.2423015902967831E-11</v>
      </c>
      <c r="AC84" s="24">
        <f t="shared" si="57"/>
        <v>4.9139714440211479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270.35424</v>
      </c>
      <c r="AK84" s="14">
        <f t="shared" si="89"/>
        <v>64.924442218534367</v>
      </c>
      <c r="AL84" s="22">
        <f t="shared" si="58"/>
        <v>583.94370486394735</v>
      </c>
      <c r="AM84" s="62">
        <f t="shared" si="59"/>
        <v>843.5139161263362</v>
      </c>
      <c r="AN84" s="62">
        <f ca="1">AVERAGE(OFFSET($AM$3,0,0,'Données projet'!$E$10+1,1))-AVERAGE(OFFSET($H$3,0,0,'Données projet'!$E$10+1,1))</f>
        <v>499.92116338695428</v>
      </c>
      <c r="AO84" s="62">
        <f t="shared" si="90"/>
        <v>316.79403154855652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211.70619219850786</v>
      </c>
      <c r="BJ84" s="62">
        <f t="shared" si="92"/>
        <v>426.883837098247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35.985172253564883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5.6052135702847988E-6</v>
      </c>
      <c r="BS84" s="24">
        <f t="shared" si="63"/>
        <v>35.985177858778457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1.8001173884840681E-13</v>
      </c>
      <c r="P85" s="14">
        <f t="shared" si="87"/>
        <v>2.5254331426407198E-12</v>
      </c>
      <c r="Q85" s="22">
        <f t="shared" si="54"/>
        <v>4.7119831685935622E-12</v>
      </c>
      <c r="R85" s="62">
        <f t="shared" si="55"/>
        <v>260.15592594729168</v>
      </c>
      <c r="S85" s="62">
        <f ca="1">AVERAGE(OFFSET($R$3,0,0,'Données projet'!$E$9+1,1))-AVERAGE(OFFSET($H$3,0,0,'Données projet'!$E$9+1,1))</f>
        <v>327.07074355218322</v>
      </c>
      <c r="T85" s="62">
        <f t="shared" si="88"/>
        <v>462.01668587029087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2.8713972076435383</v>
      </c>
      <c r="AA85" s="23">
        <f>EXP(-LN(2)/25)*AA84+(1-EXP(-LN(2)/25))/(LN(2)/25)*Calculateur!V85*Calculateur!X85*VLOOKUP('Données projet'!$B$9,Paramètres!$A$1:$I$89,3,0)*0.475*44/12</f>
        <v>1.9308578675392771</v>
      </c>
      <c r="AB85" s="23">
        <f>EXP(-LN(2)/2)*AB84+(1-EXP(-LN(2)/2))/(LN(2)/2)*V85*Y85*VLOOKUP('Données projet'!$B$9,Paramètres!$A$1:$I$89,3,0)*0.475*44/12</f>
        <v>8.7843987877768738E-12</v>
      </c>
      <c r="AC85" s="24">
        <f t="shared" si="57"/>
        <v>4.8022550751915993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276.50687999999997</v>
      </c>
      <c r="AK85" s="14">
        <f t="shared" si="89"/>
        <v>66.228273722513677</v>
      </c>
      <c r="AL85" s="22">
        <f t="shared" si="58"/>
        <v>596.93039273337797</v>
      </c>
      <c r="AM85" s="62">
        <f t="shared" si="59"/>
        <v>857.08631868066493</v>
      </c>
      <c r="AN85" s="62">
        <f ca="1">AVERAGE(OFFSET($AM$3,0,0,'Données projet'!$E$10+1,1))-AVERAGE(OFFSET($H$3,0,0,'Données projet'!$E$10+1,1))</f>
        <v>499.92116338695428</v>
      </c>
      <c r="AO85" s="62">
        <f t="shared" si="90"/>
        <v>316.79403154855652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211.70619219850786</v>
      </c>
      <c r="BJ85" s="62">
        <f t="shared" si="92"/>
        <v>426.883837098247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35.279524974460287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3.96348452554724E-6</v>
      </c>
      <c r="BS85" s="24">
        <f t="shared" si="63"/>
        <v>35.279528937944811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1.8001173884840681E-13</v>
      </c>
      <c r="P86" s="14">
        <f t="shared" si="87"/>
        <v>2.5254331426407198E-12</v>
      </c>
      <c r="Q86" s="22">
        <f t="shared" si="54"/>
        <v>4.7119831685935622E-12</v>
      </c>
      <c r="R86" s="62">
        <f t="shared" si="55"/>
        <v>260.73147979186865</v>
      </c>
      <c r="S86" s="62">
        <f ca="1">AVERAGE(OFFSET($R$3,0,0,'Données projet'!$E$9+1,1))-AVERAGE(OFFSET($H$3,0,0,'Données projet'!$E$9+1,1))</f>
        <v>327.07074355218322</v>
      </c>
      <c r="T86" s="62">
        <f t="shared" si="88"/>
        <v>462.01668587029087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2.8150908597810109</v>
      </c>
      <c r="AA86" s="23">
        <f>EXP(-LN(2)/25)*AA85+(1-EXP(-LN(2)/25))/(LN(2)/25)*Calculateur!V86*Calculateur!X86*VLOOKUP('Données projet'!$B$9,Paramètres!$A$1:$I$89,3,0)*0.475*44/12</f>
        <v>1.8780584576120134</v>
      </c>
      <c r="AB86" s="23">
        <f>EXP(-LN(2)/2)*AB85+(1-EXP(-LN(2)/2))/(LN(2)/2)*V86*Y86*VLOOKUP('Données projet'!$B$9,Paramètres!$A$1:$I$89,3,0)*0.475*44/12</f>
        <v>6.2115079514839153E-12</v>
      </c>
      <c r="AC86" s="24">
        <f t="shared" si="57"/>
        <v>4.6931493173992358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282.65952000000004</v>
      </c>
      <c r="AK86" s="14">
        <f t="shared" si="89"/>
        <v>67.528732309967324</v>
      </c>
      <c r="AL86" s="22">
        <f t="shared" si="58"/>
        <v>609.91120610652649</v>
      </c>
      <c r="AM86" s="62">
        <f t="shared" si="59"/>
        <v>870.64268589839048</v>
      </c>
      <c r="AN86" s="62">
        <f ca="1">AVERAGE(OFFSET($AM$3,0,0,'Données projet'!$E$10+1,1))-AVERAGE(OFFSET($H$3,0,0,'Données projet'!$E$10+1,1))</f>
        <v>499.92116338695428</v>
      </c>
      <c r="AO86" s="62">
        <f t="shared" si="90"/>
        <v>316.79403154855652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211.70619219850786</v>
      </c>
      <c r="BJ86" s="62">
        <f t="shared" si="92"/>
        <v>426.883837098247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34.587715008096588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2.8026067851423994E-6</v>
      </c>
      <c r="BS86" s="24">
        <f t="shared" si="63"/>
        <v>34.587717810703374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1.8001173884840681E-13</v>
      </c>
      <c r="P87" s="14">
        <f t="shared" si="87"/>
        <v>2.5254331426407198E-12</v>
      </c>
      <c r="Q87" s="22">
        <f t="shared" si="54"/>
        <v>4.7119831685935622E-12</v>
      </c>
      <c r="R87" s="62">
        <f t="shared" si="55"/>
        <v>261.29704906398786</v>
      </c>
      <c r="S87" s="62">
        <f ca="1">AVERAGE(OFFSET($R$3,0,0,'Données projet'!$E$9+1,1))-AVERAGE(OFFSET($H$3,0,0,'Données projet'!$E$9+1,1))</f>
        <v>327.07074355218322</v>
      </c>
      <c r="T87" s="62">
        <f t="shared" si="88"/>
        <v>462.01668587029087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2.7598886450565865</v>
      </c>
      <c r="AA87" s="23">
        <f>EXP(-LN(2)/25)*AA86+(1-EXP(-LN(2)/25))/(LN(2)/25)*Calculateur!V87*Calculateur!X87*VLOOKUP('Données projet'!$B$9,Paramètres!$A$1:$I$89,3,0)*0.475*44/12</f>
        <v>1.8267028503258109</v>
      </c>
      <c r="AB87" s="23">
        <f>EXP(-LN(2)/2)*AB86+(1-EXP(-LN(2)/2))/(LN(2)/2)*V87*Y87*VLOOKUP('Données projet'!$B$9,Paramètres!$A$1:$I$89,3,0)*0.475*44/12</f>
        <v>4.3921993938884369E-12</v>
      </c>
      <c r="AC87" s="24">
        <f t="shared" si="57"/>
        <v>4.5865914953867897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288.81216000000006</v>
      </c>
      <c r="AK87" s="14">
        <f t="shared" si="89"/>
        <v>68.825899854238159</v>
      </c>
      <c r="AL87" s="22">
        <f t="shared" si="58"/>
        <v>622.88628757946492</v>
      </c>
      <c r="AM87" s="62">
        <f t="shared" si="59"/>
        <v>884.183336643448</v>
      </c>
      <c r="AN87" s="62">
        <f ca="1">AVERAGE(OFFSET($AM$3,0,0,'Données projet'!$E$10+1,1))-AVERAGE(OFFSET($H$3,0,0,'Données projet'!$E$10+1,1))</f>
        <v>499.92116338695428</v>
      </c>
      <c r="AO87" s="62">
        <f t="shared" si="90"/>
        <v>316.79403154855652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211.70619219850786</v>
      </c>
      <c r="BJ87" s="62">
        <f t="shared" si="92"/>
        <v>426.883837098247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33.909471013210869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1.98174226277362E-6</v>
      </c>
      <c r="BS87" s="24">
        <f t="shared" si="63"/>
        <v>33.909472994953134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1.8001173884840681E-13</v>
      </c>
      <c r="P88" s="14">
        <f t="shared" si="87"/>
        <v>2.5254331426407198E-12</v>
      </c>
      <c r="Q88" s="22">
        <f t="shared" si="54"/>
        <v>4.7119831685935622E-12</v>
      </c>
      <c r="R88" s="62">
        <f t="shared" si="55"/>
        <v>261.85280697365931</v>
      </c>
      <c r="S88" s="62">
        <f ca="1">AVERAGE(OFFSET($R$3,0,0,'Données projet'!$E$9+1,1))-AVERAGE(OFFSET($H$3,0,0,'Données projet'!$E$9+1,1))</f>
        <v>327.07074355218322</v>
      </c>
      <c r="T88" s="62">
        <f t="shared" si="88"/>
        <v>462.01668587029087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2.7057689120928816</v>
      </c>
      <c r="AA88" s="23">
        <f>EXP(-LN(2)/25)*AA87+(1-EXP(-LN(2)/25))/(LN(2)/25)*Calculateur!V88*Calculateur!X88*VLOOKUP('Données projet'!$B$9,Paramètres!$A$1:$I$89,3,0)*0.475*44/12</f>
        <v>1.7767515648215237</v>
      </c>
      <c r="AB88" s="23">
        <f>EXP(-LN(2)/2)*AB87+(1-EXP(-LN(2)/2))/(LN(2)/2)*V88*Y88*VLOOKUP('Données projet'!$B$9,Paramètres!$A$1:$I$89,3,0)*0.475*44/12</f>
        <v>3.1057539757419576E-12</v>
      </c>
      <c r="AC88" s="24">
        <f t="shared" si="57"/>
        <v>4.4825204769175118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294.96480000000003</v>
      </c>
      <c r="AK88" s="14">
        <f t="shared" si="89"/>
        <v>70.119854541045001</v>
      </c>
      <c r="AL88" s="22">
        <f t="shared" si="58"/>
        <v>635.85577332565333</v>
      </c>
      <c r="AM88" s="62">
        <f t="shared" si="59"/>
        <v>897.70858029930787</v>
      </c>
      <c r="AN88" s="62">
        <f ca="1">AVERAGE(OFFSET($AM$3,0,0,'Données projet'!$E$10+1,1))-AVERAGE(OFFSET($H$3,0,0,'Données projet'!$E$10+1,1))</f>
        <v>499.92116338695428</v>
      </c>
      <c r="AO88" s="62">
        <f t="shared" si="90"/>
        <v>316.79403154855652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211.70619219850786</v>
      </c>
      <c r="BJ88" s="62">
        <f t="shared" si="92"/>
        <v>426.883837098247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33.244526969376871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1.4013033925711997E-6</v>
      </c>
      <c r="BS88" s="24">
        <f t="shared" si="63"/>
        <v>33.244528370680264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1.8001173884840681E-13</v>
      </c>
      <c r="P89" s="14">
        <f t="shared" si="87"/>
        <v>2.5254331426407198E-12</v>
      </c>
      <c r="Q89" s="22">
        <f t="shared" si="54"/>
        <v>4.7119831685935622E-12</v>
      </c>
      <c r="R89" s="62">
        <f t="shared" si="55"/>
        <v>262.39892372608642</v>
      </c>
      <c r="S89" s="62">
        <f ca="1">AVERAGE(OFFSET($R$3,0,0,'Données projet'!$E$9+1,1))-AVERAGE(OFFSET($H$3,0,0,'Données projet'!$E$9+1,1))</f>
        <v>327.07074355218322</v>
      </c>
      <c r="T89" s="62">
        <f t="shared" si="88"/>
        <v>462.01668587029087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2.6527104340828176</v>
      </c>
      <c r="AA89" s="23">
        <f>EXP(-LN(2)/25)*AA88+(1-EXP(-LN(2)/25))/(LN(2)/25)*Calculateur!V89*Calculateur!X89*VLOOKUP('Données projet'!$B$9,Paramètres!$A$1:$I$89,3,0)*0.475*44/12</f>
        <v>1.7281661998461753</v>
      </c>
      <c r="AB89" s="23">
        <f>EXP(-LN(2)/2)*AB88+(1-EXP(-LN(2)/2))/(LN(2)/2)*V89*Y89*VLOOKUP('Données projet'!$B$9,Paramètres!$A$1:$I$89,3,0)*0.475*44/12</f>
        <v>2.1960996969442184E-12</v>
      </c>
      <c r="AC89" s="24">
        <f t="shared" si="57"/>
        <v>4.3808766339311891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275.42112000000003</v>
      </c>
      <c r="AK89" s="14">
        <f t="shared" si="89"/>
        <v>65.998433293601067</v>
      </c>
      <c r="AL89" s="22">
        <f t="shared" si="58"/>
        <v>594.63905531968851</v>
      </c>
      <c r="AM89" s="62">
        <f t="shared" si="59"/>
        <v>857.03797904577027</v>
      </c>
      <c r="AN89" s="62">
        <f ca="1">AVERAGE(OFFSET($AM$3,0,0,'Données projet'!$E$10+1,1))-AVERAGE(OFFSET($H$3,0,0,'Données projet'!$E$10+1,1))</f>
        <v>499.92116338695428</v>
      </c>
      <c r="AO89" s="62">
        <f t="shared" si="90"/>
        <v>316.79403154855652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211.70619219850786</v>
      </c>
      <c r="BJ89" s="62">
        <f t="shared" si="92"/>
        <v>426.883837098247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32.592622072666636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9.9087113138680999E-7</v>
      </c>
      <c r="BS89" s="24">
        <f t="shared" si="63"/>
        <v>32.592623063537765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1.8001173884840681E-13</v>
      </c>
      <c r="P90" s="14">
        <f t="shared" si="87"/>
        <v>2.5254331426407198E-12</v>
      </c>
      <c r="Q90" s="22">
        <f t="shared" si="54"/>
        <v>4.7119831685935622E-12</v>
      </c>
      <c r="R90" s="62">
        <f t="shared" si="55"/>
        <v>262.93556657379315</v>
      </c>
      <c r="S90" s="62">
        <f ca="1">AVERAGE(OFFSET($R$3,0,0,'Données projet'!$E$9+1,1))-AVERAGE(OFFSET($H$3,0,0,'Données projet'!$E$9+1,1))</f>
        <v>327.07074355218322</v>
      </c>
      <c r="T90" s="62">
        <f t="shared" si="88"/>
        <v>462.01668587029087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2.6006924004640548</v>
      </c>
      <c r="AA90" s="23">
        <f>EXP(-LN(2)/25)*AA89+(1-EXP(-LN(2)/25))/(LN(2)/25)*Calculateur!V90*Calculateur!X90*VLOOKUP('Données projet'!$B$9,Paramètres!$A$1:$I$89,3,0)*0.475*44/12</f>
        <v>1.6809094042310708</v>
      </c>
      <c r="AB90" s="23">
        <f>EXP(-LN(2)/2)*AB89+(1-EXP(-LN(2)/2))/(LN(2)/2)*V90*Y90*VLOOKUP('Données projet'!$B$9,Paramètres!$A$1:$I$89,3,0)*0.475*44/12</f>
        <v>1.5528769878709788E-12</v>
      </c>
      <c r="AC90" s="24">
        <f t="shared" si="57"/>
        <v>4.2816018046966784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281.21184</v>
      </c>
      <c r="AK90" s="14">
        <f t="shared" si="89"/>
        <v>67.22304110496664</v>
      </c>
      <c r="AL90" s="22">
        <f t="shared" si="58"/>
        <v>606.85741792448357</v>
      </c>
      <c r="AM90" s="62">
        <f t="shared" si="59"/>
        <v>869.79298449827206</v>
      </c>
      <c r="AN90" s="62">
        <f ca="1">AVERAGE(OFFSET($AM$3,0,0,'Données projet'!$E$10+1,1))-AVERAGE(OFFSET($H$3,0,0,'Données projet'!$E$10+1,1))</f>
        <v>499.92116338695428</v>
      </c>
      <c r="AO90" s="62">
        <f t="shared" si="90"/>
        <v>316.79403154855652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211.70619219850786</v>
      </c>
      <c r="BJ90" s="62">
        <f t="shared" si="92"/>
        <v>426.883837098247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31.953500633358168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7.0065169628559984E-7</v>
      </c>
      <c r="BS90" s="24">
        <f t="shared" si="63"/>
        <v>31.953501334009864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1.8001173884840681E-13</v>
      </c>
      <c r="P91" s="14">
        <f t="shared" si="87"/>
        <v>2.5254331426407198E-12</v>
      </c>
      <c r="Q91" s="22">
        <f t="shared" si="54"/>
        <v>4.7119831685935622E-12</v>
      </c>
      <c r="R91" s="62">
        <f t="shared" si="55"/>
        <v>263.46289986784581</v>
      </c>
      <c r="S91" s="62">
        <f ca="1">AVERAGE(OFFSET($R$3,0,0,'Données projet'!$E$9+1,1))-AVERAGE(OFFSET($H$3,0,0,'Données projet'!$E$9+1,1))</f>
        <v>327.07074355218322</v>
      </c>
      <c r="T91" s="62">
        <f t="shared" si="88"/>
        <v>462.01668587029087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2.5496944087566882</v>
      </c>
      <c r="AA91" s="23">
        <f>EXP(-LN(2)/25)*AA90+(1-EXP(-LN(2)/25))/(LN(2)/25)*Calculateur!V91*Calculateur!X91*VLOOKUP('Données projet'!$B$9,Paramètres!$A$1:$I$89,3,0)*0.475*44/12</f>
        <v>1.6349448481771884</v>
      </c>
      <c r="AB91" s="23">
        <f>EXP(-LN(2)/2)*AB90+(1-EXP(-LN(2)/2))/(LN(2)/2)*V91*Y91*VLOOKUP('Données projet'!$B$9,Paramètres!$A$1:$I$89,3,0)*0.475*44/12</f>
        <v>1.0980498484721092E-12</v>
      </c>
      <c r="AC91" s="24">
        <f t="shared" si="57"/>
        <v>4.1846392569349744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287.00255999999996</v>
      </c>
      <c r="AK91" s="14">
        <f t="shared" si="89"/>
        <v>68.444716936118553</v>
      </c>
      <c r="AL91" s="22">
        <f t="shared" si="58"/>
        <v>619.07067399707296</v>
      </c>
      <c r="AM91" s="62">
        <f t="shared" si="59"/>
        <v>882.53357386491405</v>
      </c>
      <c r="AN91" s="62">
        <f ca="1">AVERAGE(OFFSET($AM$3,0,0,'Données projet'!$E$10+1,1))-AVERAGE(OFFSET($H$3,0,0,'Données projet'!$E$10+1,1))</f>
        <v>499.92116338695428</v>
      </c>
      <c r="AO91" s="62">
        <f t="shared" si="90"/>
        <v>316.79403154855652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211.70619219850786</v>
      </c>
      <c r="BJ91" s="62">
        <f t="shared" si="92"/>
        <v>426.883837098247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31.326911975648951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4.9543556569340499E-7</v>
      </c>
      <c r="BS91" s="24">
        <f t="shared" si="63"/>
        <v>31.326912471084515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1.8001173884840681E-13</v>
      </c>
      <c r="P92" s="14">
        <f t="shared" si="87"/>
        <v>2.5254331426407198E-12</v>
      </c>
      <c r="Q92" s="22">
        <f t="shared" si="54"/>
        <v>4.7119831685935622E-12</v>
      </c>
      <c r="R92" s="62">
        <f t="shared" si="55"/>
        <v>263.98108510818724</v>
      </c>
      <c r="S92" s="62">
        <f ca="1">AVERAGE(OFFSET($R$3,0,0,'Données projet'!$E$9+1,1))-AVERAGE(OFFSET($H$3,0,0,'Données projet'!$E$9+1,1))</f>
        <v>327.07074355218322</v>
      </c>
      <c r="T92" s="62">
        <f t="shared" si="88"/>
        <v>462.01668587029087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2.4996964565609994</v>
      </c>
      <c r="AA92" s="23">
        <f>EXP(-LN(2)/25)*AA91+(1-EXP(-LN(2)/25))/(LN(2)/25)*Calculateur!V92*Calculateur!X92*VLOOKUP('Données projet'!$B$9,Paramètres!$A$1:$I$89,3,0)*0.475*44/12</f>
        <v>1.5902371953257703</v>
      </c>
      <c r="AB92" s="23">
        <f>EXP(-LN(2)/2)*AB91+(1-EXP(-LN(2)/2))/(LN(2)/2)*V92*Y92*VLOOKUP('Données projet'!$B$9,Paramètres!$A$1:$I$89,3,0)*0.475*44/12</f>
        <v>7.7643849393548941E-13</v>
      </c>
      <c r="AC92" s="24">
        <f t="shared" si="57"/>
        <v>4.089933651887546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292.79327999999992</v>
      </c>
      <c r="AK92" s="14">
        <f t="shared" si="89"/>
        <v>69.663526761731433</v>
      </c>
      <c r="AL92" s="22">
        <f t="shared" si="58"/>
        <v>631.27893844334869</v>
      </c>
      <c r="AM92" s="62">
        <f t="shared" si="59"/>
        <v>895.26002355153128</v>
      </c>
      <c r="AN92" s="62">
        <f ca="1">AVERAGE(OFFSET($AM$3,0,0,'Données projet'!$E$10+1,1))-AVERAGE(OFFSET($H$3,0,0,'Données projet'!$E$10+1,1))</f>
        <v>499.92116338695428</v>
      </c>
      <c r="AO92" s="62">
        <f t="shared" si="90"/>
        <v>316.79403154855652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211.70619219850786</v>
      </c>
      <c r="BJ92" s="62">
        <f t="shared" si="92"/>
        <v>426.883837098247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30.712610339336067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3.5032584814279992E-7</v>
      </c>
      <c r="BS92" s="24">
        <f t="shared" si="63"/>
        <v>30.712610689661915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1.8001173884840681E-13</v>
      </c>
      <c r="P93" s="14">
        <f t="shared" si="87"/>
        <v>2.5254331426407198E-12</v>
      </c>
      <c r="Q93" s="22">
        <f t="shared" si="54"/>
        <v>4.7119831685935622E-12</v>
      </c>
      <c r="R93" s="62">
        <f t="shared" si="55"/>
        <v>264.49028099309749</v>
      </c>
      <c r="S93" s="62">
        <f ca="1">AVERAGE(OFFSET($R$3,0,0,'Données projet'!$E$9+1,1))-AVERAGE(OFFSET($H$3,0,0,'Données projet'!$E$9+1,1))</f>
        <v>327.07074355218322</v>
      </c>
      <c r="T93" s="62">
        <f t="shared" si="88"/>
        <v>462.01668587029087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2.4506789337121284</v>
      </c>
      <c r="AA93" s="23">
        <f>EXP(-LN(2)/25)*AA92+(1-EXP(-LN(2)/25))/(LN(2)/25)*Calculateur!V93*Calculateur!X93*VLOOKUP('Données projet'!$B$9,Paramètres!$A$1:$I$89,3,0)*0.475*44/12</f>
        <v>1.5467520755926476</v>
      </c>
      <c r="AB93" s="23">
        <f>EXP(-LN(2)/2)*AB92+(1-EXP(-LN(2)/2))/(LN(2)/2)*V93*Y93*VLOOKUP('Données projet'!$B$9,Paramètres!$A$1:$I$89,3,0)*0.475*44/12</f>
        <v>5.4902492423605461E-13</v>
      </c>
      <c r="AC93" s="24">
        <f t="shared" si="57"/>
        <v>3.9974310093053251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298.58399999999995</v>
      </c>
      <c r="AK93" s="14">
        <f t="shared" si="89"/>
        <v>70.879533797607607</v>
      </c>
      <c r="AL93" s="22">
        <f t="shared" si="58"/>
        <v>643.48232136416652</v>
      </c>
      <c r="AM93" s="62">
        <f t="shared" si="59"/>
        <v>907.97260235725935</v>
      </c>
      <c r="AN93" s="62">
        <f ca="1">AVERAGE(OFFSET($AM$3,0,0,'Données projet'!$E$10+1,1))-AVERAGE(OFFSET($H$3,0,0,'Données projet'!$E$10+1,1))</f>
        <v>499.92116338695428</v>
      </c>
      <c r="AO93" s="62">
        <f t="shared" si="90"/>
        <v>316.79403154855652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211.70619219850786</v>
      </c>
      <c r="BJ93" s="62">
        <f t="shared" si="92"/>
        <v>426.883837098247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30.110354783424278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2.477177828467025E-7</v>
      </c>
      <c r="BS93" s="24">
        <f t="shared" si="63"/>
        <v>30.11035503114206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1.8001173884840681E-13</v>
      </c>
      <c r="P94" s="14">
        <f t="shared" si="87"/>
        <v>2.5254331426407198E-12</v>
      </c>
      <c r="Q94" s="22">
        <f t="shared" si="54"/>
        <v>4.7119831685935622E-12</v>
      </c>
      <c r="R94" s="62">
        <f t="shared" si="55"/>
        <v>264.99064346779591</v>
      </c>
      <c r="S94" s="62">
        <f ca="1">AVERAGE(OFFSET($R$3,0,0,'Données projet'!$E$9+1,1))-AVERAGE(OFFSET($H$3,0,0,'Données projet'!$E$9+1,1))</f>
        <v>327.07074355218322</v>
      </c>
      <c r="T94" s="62">
        <f t="shared" si="88"/>
        <v>462.01668587029087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2.4026226145885872</v>
      </c>
      <c r="AA94" s="23">
        <f>EXP(-LN(2)/25)*AA93+(1-EXP(-LN(2)/25))/(LN(2)/25)*Calculateur!V94*Calculateur!X94*VLOOKUP('Données projet'!$B$9,Paramètres!$A$1:$I$89,3,0)*0.475*44/12</f>
        <v>1.5044560587454101</v>
      </c>
      <c r="AB94" s="23">
        <f>EXP(-LN(2)/2)*AB93+(1-EXP(-LN(2)/2))/(LN(2)/2)*V94*Y94*VLOOKUP('Données projet'!$B$9,Paramètres!$A$1:$I$89,3,0)*0.475*44/12</f>
        <v>3.882192469677447E-13</v>
      </c>
      <c r="AC94" s="24">
        <f t="shared" si="57"/>
        <v>3.9070786733343854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278.67839999999995</v>
      </c>
      <c r="AK94" s="14">
        <f t="shared" si="89"/>
        <v>66.687639951856809</v>
      </c>
      <c r="AL94" s="22">
        <f t="shared" si="58"/>
        <v>601.51251958281716</v>
      </c>
      <c r="AM94" s="62">
        <f t="shared" si="59"/>
        <v>866.50316305060835</v>
      </c>
      <c r="AN94" s="62">
        <f ca="1">AVERAGE(OFFSET($AM$3,0,0,'Données projet'!$E$10+1,1))-AVERAGE(OFFSET($H$3,0,0,'Données projet'!$E$10+1,1))</f>
        <v>499.92116338695428</v>
      </c>
      <c r="AO94" s="62">
        <f t="shared" si="90"/>
        <v>316.79403154855652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211.70619219850786</v>
      </c>
      <c r="BJ94" s="62">
        <f t="shared" si="92"/>
        <v>426.883837098247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29.519909091624303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1.7516292407139996E-7</v>
      </c>
      <c r="BS94" s="24">
        <f t="shared" si="63"/>
        <v>29.519909266787227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1.8001173884840681E-13</v>
      </c>
      <c r="P95" s="14">
        <f t="shared" si="87"/>
        <v>2.5254331426407198E-12</v>
      </c>
      <c r="Q95" s="22">
        <f t="shared" si="54"/>
        <v>4.7119831685935622E-12</v>
      </c>
      <c r="R95" s="62">
        <f t="shared" si="55"/>
        <v>265.48232577220125</v>
      </c>
      <c r="S95" s="62">
        <f ca="1">AVERAGE(OFFSET($R$3,0,0,'Données projet'!$E$9+1,1))-AVERAGE(OFFSET($H$3,0,0,'Données projet'!$E$9+1,1))</f>
        <v>327.07074355218322</v>
      </c>
      <c r="T95" s="62">
        <f t="shared" si="88"/>
        <v>462.01668587029087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2.3555086505715983</v>
      </c>
      <c r="AA95" s="23">
        <f>EXP(-LN(2)/25)*AA94+(1-EXP(-LN(2)/25))/(LN(2)/25)*Calculateur!V95*Calculateur!X95*VLOOKUP('Données projet'!$B$9,Paramètres!$A$1:$I$89,3,0)*0.475*44/12</f>
        <v>1.4633166287031112</v>
      </c>
      <c r="AB95" s="23">
        <f>EXP(-LN(2)/2)*AB94+(1-EXP(-LN(2)/2))/(LN(2)/2)*V95*Y95*VLOOKUP('Données projet'!$B$9,Paramètres!$A$1:$I$89,3,0)*0.475*44/12</f>
        <v>2.7451246211802731E-13</v>
      </c>
      <c r="AC95" s="24">
        <f t="shared" si="57"/>
        <v>3.8188252792749839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284.10719999999992</v>
      </c>
      <c r="AK95" s="14">
        <f t="shared" si="89"/>
        <v>67.834241327943715</v>
      </c>
      <c r="AL95" s="22">
        <f t="shared" si="58"/>
        <v>612.96467697950186</v>
      </c>
      <c r="AM95" s="62">
        <f t="shared" si="59"/>
        <v>878.44700275169839</v>
      </c>
      <c r="AN95" s="62">
        <f ca="1">AVERAGE(OFFSET($AM$3,0,0,'Données projet'!$E$10+1,1))-AVERAGE(OFFSET($H$3,0,0,'Données projet'!$E$10+1,1))</f>
        <v>499.92116338695428</v>
      </c>
      <c r="AO95" s="62">
        <f t="shared" si="90"/>
        <v>316.79403154855652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211.70619219850786</v>
      </c>
      <c r="BJ95" s="62">
        <f t="shared" si="92"/>
        <v>426.883837098247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28.941041679704213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1.2385889142335125E-7</v>
      </c>
      <c r="BS95" s="24">
        <f t="shared" si="63"/>
        <v>28.941041803563106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1.8001173884840681E-13</v>
      </c>
      <c r="P96" s="14">
        <f t="shared" si="87"/>
        <v>2.5254331426407198E-12</v>
      </c>
      <c r="Q96" s="22">
        <f t="shared" si="54"/>
        <v>4.7119831685935622E-12</v>
      </c>
      <c r="R96" s="62">
        <f t="shared" si="55"/>
        <v>265.96547848786213</v>
      </c>
      <c r="S96" s="62">
        <f ca="1">AVERAGE(OFFSET($R$3,0,0,'Données projet'!$E$9+1,1))-AVERAGE(OFFSET($H$3,0,0,'Données projet'!$E$9+1,1))</f>
        <v>327.07074355218322</v>
      </c>
      <c r="T96" s="62">
        <f t="shared" si="88"/>
        <v>462.01668587029087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2.3093185626523018</v>
      </c>
      <c r="AA96" s="23">
        <f>EXP(-LN(2)/25)*AA95+(1-EXP(-LN(2)/25))/(LN(2)/25)*Calculateur!V96*Calculateur!X96*VLOOKUP('Données projet'!$B$9,Paramètres!$A$1:$I$89,3,0)*0.475*44/12</f>
        <v>1.4233021585387475</v>
      </c>
      <c r="AB96" s="23">
        <f>EXP(-LN(2)/2)*AB95+(1-EXP(-LN(2)/2))/(LN(2)/2)*V96*Y96*VLOOKUP('Données projet'!$B$9,Paramètres!$A$1:$I$89,3,0)*0.475*44/12</f>
        <v>1.9410962348387235E-13</v>
      </c>
      <c r="AC96" s="24">
        <f t="shared" si="57"/>
        <v>3.7326207211912434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289.53599999999994</v>
      </c>
      <c r="AK96" s="14">
        <f t="shared" si="89"/>
        <v>68.97829509904436</v>
      </c>
      <c r="AL96" s="22">
        <f t="shared" si="58"/>
        <v>624.41239729750214</v>
      </c>
      <c r="AM96" s="62">
        <f t="shared" si="59"/>
        <v>890.37787578535949</v>
      </c>
      <c r="AN96" s="62">
        <f ca="1">AVERAGE(OFFSET($AM$3,0,0,'Données projet'!$E$10+1,1))-AVERAGE(OFFSET($H$3,0,0,'Données projet'!$E$10+1,1))</f>
        <v>499.92116338695428</v>
      </c>
      <c r="AO96" s="62">
        <f t="shared" si="90"/>
        <v>316.79403154855652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211.70619219850786</v>
      </c>
      <c r="BJ96" s="62">
        <f t="shared" si="92"/>
        <v>426.883837098247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28.373525504657618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8.7581462035699981E-8</v>
      </c>
      <c r="BS96" s="24">
        <f t="shared" si="63"/>
        <v>28.37352559223908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1.8001173884840681E-13</v>
      </c>
      <c r="P97" s="14">
        <f t="shared" si="87"/>
        <v>2.5254331426407198E-12</v>
      </c>
      <c r="Q97" s="22">
        <f t="shared" si="54"/>
        <v>4.7119831685935622E-12</v>
      </c>
      <c r="R97" s="62">
        <f t="shared" si="55"/>
        <v>266.44024958407391</v>
      </c>
      <c r="S97" s="62">
        <f ca="1">AVERAGE(OFFSET($R$3,0,0,'Données projet'!$E$9+1,1))-AVERAGE(OFFSET($H$3,0,0,'Données projet'!$E$9+1,1))</f>
        <v>327.07074355218322</v>
      </c>
      <c r="T97" s="62">
        <f t="shared" si="88"/>
        <v>462.01668587029087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2.264034234183931</v>
      </c>
      <c r="AA97" s="23">
        <f>EXP(-LN(2)/25)*AA96+(1-EXP(-LN(2)/25))/(LN(2)/25)*Calculateur!V97*Calculateur!X97*VLOOKUP('Données projet'!$B$9,Paramètres!$A$1:$I$89,3,0)*0.475*44/12</f>
        <v>1.3843818861652979</v>
      </c>
      <c r="AB97" s="23">
        <f>EXP(-LN(2)/2)*AB96+(1-EXP(-LN(2)/2))/(LN(2)/2)*V97*Y97*VLOOKUP('Données projet'!$B$9,Paramètres!$A$1:$I$89,3,0)*0.475*44/12</f>
        <v>1.3725623105901365E-13</v>
      </c>
      <c r="AC97" s="24">
        <f t="shared" si="57"/>
        <v>3.6484161203493661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294.96479999999997</v>
      </c>
      <c r="AK97" s="14">
        <f t="shared" si="89"/>
        <v>70.119854541045001</v>
      </c>
      <c r="AL97" s="22">
        <f t="shared" si="58"/>
        <v>635.85577332565333</v>
      </c>
      <c r="AM97" s="62">
        <f t="shared" si="59"/>
        <v>902.29602290972252</v>
      </c>
      <c r="AN97" s="62">
        <f ca="1">AVERAGE(OFFSET($AM$3,0,0,'Données projet'!$E$10+1,1))-AVERAGE(OFFSET($H$3,0,0,'Données projet'!$E$10+1,1))</f>
        <v>499.92116338695428</v>
      </c>
      <c r="AO97" s="62">
        <f t="shared" si="90"/>
        <v>316.79403154855652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211.70619219850786</v>
      </c>
      <c r="BJ97" s="62">
        <f t="shared" si="92"/>
        <v>426.883837098247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27.817137975653001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6.1929445711675624E-8</v>
      </c>
      <c r="BS97" s="24">
        <f t="shared" si="63"/>
        <v>27.817138037582446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1.8001173884840681E-13</v>
      </c>
      <c r="P98" s="14">
        <f t="shared" si="87"/>
        <v>2.5254331426407198E-12</v>
      </c>
      <c r="Q98" s="22">
        <f t="shared" si="54"/>
        <v>4.7119831685935622E-12</v>
      </c>
      <c r="R98" s="62">
        <f t="shared" si="55"/>
        <v>266.90678446319561</v>
      </c>
      <c r="S98" s="62">
        <f ca="1">AVERAGE(OFFSET($R$3,0,0,'Données projet'!$E$9+1,1))-AVERAGE(OFFSET($H$3,0,0,'Données projet'!$E$9+1,1))</f>
        <v>327.07074355218322</v>
      </c>
      <c r="T98" s="62">
        <f t="shared" si="88"/>
        <v>462.01668587029087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2.2196379037761118</v>
      </c>
      <c r="AA98" s="23">
        <f>EXP(-LN(2)/25)*AA97+(1-EXP(-LN(2)/25))/(LN(2)/25)*Calculateur!V98*Calculateur!X98*VLOOKUP('Données projet'!$B$9,Paramètres!$A$1:$I$89,3,0)*0.475*44/12</f>
        <v>1.3465258906866284</v>
      </c>
      <c r="AB98" s="23">
        <f>EXP(-LN(2)/2)*AB97+(1-EXP(-LN(2)/2))/(LN(2)/2)*V98*Y98*VLOOKUP('Données projet'!$B$9,Paramètres!$A$1:$I$89,3,0)*0.475*44/12</f>
        <v>9.7054811741936176E-14</v>
      </c>
      <c r="AC98" s="24">
        <f t="shared" si="57"/>
        <v>3.5661637944628377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300.39359999999994</v>
      </c>
      <c r="AK98" s="14">
        <f t="shared" si="89"/>
        <v>71.258970856492667</v>
      </c>
      <c r="AL98" s="22">
        <f t="shared" si="58"/>
        <v>647.29489424172459</v>
      </c>
      <c r="AM98" s="62">
        <f t="shared" si="59"/>
        <v>914.20167870491548</v>
      </c>
      <c r="AN98" s="62">
        <f ca="1">AVERAGE(OFFSET($AM$3,0,0,'Données projet'!$E$10+1,1))-AVERAGE(OFFSET($H$3,0,0,'Données projet'!$E$10+1,1))</f>
        <v>499.92116338695428</v>
      </c>
      <c r="AO98" s="62">
        <f t="shared" si="90"/>
        <v>316.79403154855652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211.70619219850786</v>
      </c>
      <c r="BJ98" s="62">
        <f t="shared" si="92"/>
        <v>426.883837098247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27.271660866729281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4.379073101784999E-8</v>
      </c>
      <c r="BS98" s="24">
        <f t="shared" si="63"/>
        <v>27.271660910520012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1.8001173884840681E-13</v>
      </c>
      <c r="P99" s="14">
        <f t="shared" si="87"/>
        <v>2.5254331426407198E-12</v>
      </c>
      <c r="Q99" s="22">
        <f t="shared" ref="Q99:Q130" si="107">(O99+P99)*0.475*44/12</f>
        <v>4.7119831685935622E-12</v>
      </c>
      <c r="R99" s="62">
        <f t="shared" si="55"/>
        <v>267.36522600518026</v>
      </c>
      <c r="S99" s="62">
        <f ca="1">AVERAGE(OFFSET($R$3,0,0,'Données projet'!$E$9+1,1))-AVERAGE(OFFSET($H$3,0,0,'Données projet'!$E$9+1,1))</f>
        <v>327.07074355218322</v>
      </c>
      <c r="T99" s="62">
        <f t="shared" si="88"/>
        <v>462.01668587029087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2.1761121583285026</v>
      </c>
      <c r="AA99" s="23">
        <f>EXP(-LN(2)/25)*AA98+(1-EXP(-LN(2)/25))/(LN(2)/25)*Calculateur!V99*Calculateur!X99*VLOOKUP('Données projet'!$B$9,Paramètres!$A$1:$I$89,3,0)*0.475*44/12</f>
        <v>1.3097050693950836</v>
      </c>
      <c r="AB99" s="23">
        <f>EXP(-LN(2)/2)*AB98+(1-EXP(-LN(2)/2))/(LN(2)/2)*V99*Y99*VLOOKUP('Données projet'!$B$9,Paramètres!$A$1:$I$89,3,0)*0.475*44/12</f>
        <v>6.8628115529506826E-14</v>
      </c>
      <c r="AC99" s="24">
        <f t="shared" si="57"/>
        <v>3.485817227723655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280.30703999999997</v>
      </c>
      <c r="AK99" s="14">
        <f t="shared" si="89"/>
        <v>67.03189112007388</v>
      </c>
      <c r="AL99" s="22">
        <f t="shared" si="58"/>
        <v>604.94863836746197</v>
      </c>
      <c r="AM99" s="62">
        <f t="shared" si="59"/>
        <v>872.31386437263745</v>
      </c>
      <c r="AN99" s="62">
        <f ca="1">AVERAGE(OFFSET($AM$3,0,0,'Données projet'!$E$10+1,1))-AVERAGE(OFFSET($H$3,0,0,'Données projet'!$E$10+1,1))</f>
        <v>499.92116338695428</v>
      </c>
      <c r="AO99" s="62">
        <f t="shared" si="90"/>
        <v>316.79403154855652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211.70619219850786</v>
      </c>
      <c r="BJ99" s="62">
        <f t="shared" si="92"/>
        <v>426.883837098247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26.736880231203372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3.0964722855837812E-8</v>
      </c>
      <c r="BS99" s="24">
        <f t="shared" si="63"/>
        <v>26.736880262168096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1.8001173884840681E-13</v>
      </c>
      <c r="P100" s="14">
        <f t="shared" si="87"/>
        <v>2.5254331426407198E-12</v>
      </c>
      <c r="Q100" s="22">
        <f t="shared" si="107"/>
        <v>4.7119831685935622E-12</v>
      </c>
      <c r="R100" s="62">
        <f t="shared" si="55"/>
        <v>267.81571461133325</v>
      </c>
      <c r="S100" s="62">
        <f ca="1">AVERAGE(OFFSET($R$3,0,0,'Données projet'!$E$9+1,1))-AVERAGE(OFFSET($H$3,0,0,'Données projet'!$E$9+1,1))</f>
        <v>327.07074355218322</v>
      </c>
      <c r="T100" s="62">
        <f t="shared" si="88"/>
        <v>462.01668587029087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2.1334399262010373</v>
      </c>
      <c r="AA100" s="23">
        <f>EXP(-LN(2)/25)*AA99+(1-EXP(-LN(2)/25))/(LN(2)/25)*Calculateur!V100*Calculateur!X100*VLOOKUP('Données projet'!$B$9,Paramètres!$A$1:$I$89,3,0)*0.475*44/12</f>
        <v>1.2738911153980788</v>
      </c>
      <c r="AB100" s="23">
        <f>EXP(-LN(2)/2)*AB99+(1-EXP(-LN(2)/2))/(LN(2)/2)*V100*Y100*VLOOKUP('Données projet'!$B$9,Paramètres!$A$1:$I$89,3,0)*0.475*44/12</f>
        <v>4.8527405870968088E-14</v>
      </c>
      <c r="AC100" s="24">
        <f t="shared" si="57"/>
        <v>3.4073310415991647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285.55487999999997</v>
      </c>
      <c r="AK100" s="14">
        <f t="shared" si="89"/>
        <v>68.139569194998018</v>
      </c>
      <c r="AL100" s="22">
        <f t="shared" si="58"/>
        <v>616.01783234795482</v>
      </c>
      <c r="AM100" s="62">
        <f t="shared" si="59"/>
        <v>883.83354695928335</v>
      </c>
      <c r="AN100" s="62">
        <f ca="1">AVERAGE(OFFSET($AM$3,0,0,'Données projet'!$E$10+1,1))-AVERAGE(OFFSET($H$3,0,0,'Données projet'!$E$10+1,1))</f>
        <v>499.92116338695428</v>
      </c>
      <c r="AO100" s="62">
        <f t="shared" si="90"/>
        <v>316.79403154855652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211.70619219850786</v>
      </c>
      <c r="BJ100" s="62">
        <f t="shared" si="92"/>
        <v>426.883837098247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26.212586317756145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2.1895365508924995E-8</v>
      </c>
      <c r="BS100" s="24">
        <f t="shared" si="63"/>
        <v>26.212586339651509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1.8001173884840681E-13</v>
      </c>
      <c r="P101" s="14">
        <f t="shared" si="87"/>
        <v>2.5254331426407198E-12</v>
      </c>
      <c r="Q101" s="22">
        <f t="shared" si="107"/>
        <v>4.7119831685935622E-12</v>
      </c>
      <c r="R101" s="62">
        <f t="shared" si="55"/>
        <v>268.25838824731107</v>
      </c>
      <c r="S101" s="62">
        <f ca="1">AVERAGE(OFFSET($R$3,0,0,'Données projet'!$E$9+1,1))-AVERAGE(OFFSET($H$3,0,0,'Données projet'!$E$9+1,1))</f>
        <v>327.07074355218322</v>
      </c>
      <c r="T101" s="62">
        <f t="shared" si="88"/>
        <v>462.01668587029087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2.0916044705181003</v>
      </c>
      <c r="AA101" s="23">
        <f>EXP(-LN(2)/25)*AA100+(1-EXP(-LN(2)/25))/(LN(2)/25)*Calculateur!V101*Calculateur!X101*VLOOKUP('Données projet'!$B$9,Paramètres!$A$1:$I$89,3,0)*0.475*44/12</f>
        <v>1.239056495856496</v>
      </c>
      <c r="AB101" s="23">
        <f>EXP(-LN(2)/2)*AB100+(1-EXP(-LN(2)/2))/(LN(2)/2)*V101*Y101*VLOOKUP('Données projet'!$B$9,Paramètres!$A$1:$I$89,3,0)*0.475*44/12</f>
        <v>3.4314057764753413E-14</v>
      </c>
      <c r="AC101" s="24">
        <f t="shared" si="57"/>
        <v>3.3306609663746305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290.80271999999997</v>
      </c>
      <c r="AK101" s="14">
        <f t="shared" si="89"/>
        <v>69.244880157128961</v>
      </c>
      <c r="AL101" s="22">
        <f t="shared" si="58"/>
        <v>627.08290360699959</v>
      </c>
      <c r="AM101" s="62">
        <f t="shared" si="59"/>
        <v>895.34129185430595</v>
      </c>
      <c r="AN101" s="62">
        <f ca="1">AVERAGE(OFFSET($AM$3,0,0,'Données projet'!$E$10+1,1))-AVERAGE(OFFSET($H$3,0,0,'Données projet'!$E$10+1,1))</f>
        <v>499.92116338695428</v>
      </c>
      <c r="AO101" s="62">
        <f t="shared" si="90"/>
        <v>316.79403154855652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211.70619219850786</v>
      </c>
      <c r="BJ101" s="62">
        <f t="shared" si="92"/>
        <v>426.883837098247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25.698573488163905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1.5482361427918906E-8</v>
      </c>
      <c r="BS101" s="24">
        <f t="shared" si="63"/>
        <v>25.698573503646266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1.8001173884840681E-13</v>
      </c>
      <c r="P102" s="14">
        <f t="shared" si="87"/>
        <v>2.5254331426407198E-12</v>
      </c>
      <c r="Q102" s="22">
        <f t="shared" si="107"/>
        <v>4.7119831685935622E-12</v>
      </c>
      <c r="R102" s="62">
        <f t="shared" si="55"/>
        <v>268.69338248537468</v>
      </c>
      <c r="S102" s="62">
        <f ca="1">AVERAGE(OFFSET($R$3,0,0,'Données projet'!$E$9+1,1))-AVERAGE(OFFSET($H$3,0,0,'Données projet'!$E$9+1,1))</f>
        <v>327.07074355218322</v>
      </c>
      <c r="T102" s="62">
        <f t="shared" si="88"/>
        <v>462.01668587029087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2.0505893826039974</v>
      </c>
      <c r="AA102" s="23">
        <f>EXP(-LN(2)/25)*AA101+(1-EXP(-LN(2)/25))/(LN(2)/25)*Calculateur!V102*Calculateur!X102*VLOOKUP('Données projet'!$B$9,Paramètres!$A$1:$I$89,3,0)*0.475*44/12</f>
        <v>1.2051744308181509</v>
      </c>
      <c r="AB102" s="23">
        <f>EXP(-LN(2)/2)*AB101+(1-EXP(-LN(2)/2))/(LN(2)/2)*V102*Y102*VLOOKUP('Données projet'!$B$9,Paramètres!$A$1:$I$89,3,0)*0.475*44/12</f>
        <v>2.4263702935484044E-14</v>
      </c>
      <c r="AC102" s="24">
        <f t="shared" si="57"/>
        <v>3.2557638134221727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296.05055999999996</v>
      </c>
      <c r="AK102" s="14">
        <f t="shared" si="89"/>
        <v>70.34787165092402</v>
      </c>
      <c r="AL102" s="22">
        <f t="shared" si="58"/>
        <v>638.14393512535923</v>
      </c>
      <c r="AM102" s="62">
        <f t="shared" si="59"/>
        <v>906.8373176107292</v>
      </c>
      <c r="AN102" s="62">
        <f ca="1">AVERAGE(OFFSET($AM$3,0,0,'Données projet'!$E$10+1,1))-AVERAGE(OFFSET($H$3,0,0,'Données projet'!$E$10+1,1))</f>
        <v>499.92116338695428</v>
      </c>
      <c r="AO102" s="62">
        <f t="shared" si="90"/>
        <v>316.79403154855652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211.70619219850786</v>
      </c>
      <c r="BJ102" s="62">
        <f t="shared" si="92"/>
        <v>426.883837098247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25.194640136643102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1.0947682754462498E-8</v>
      </c>
      <c r="BS102" s="24">
        <f t="shared" si="63"/>
        <v>25.194640147590786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1.8001173884840681E-13</v>
      </c>
      <c r="P103" s="14">
        <f t="shared" si="87"/>
        <v>2.5254331426407198E-12</v>
      </c>
      <c r="Q103" s="22">
        <f t="shared" si="107"/>
        <v>4.7119831685935622E-12</v>
      </c>
      <c r="R103" s="62">
        <f t="shared" si="55"/>
        <v>269.12083054590937</v>
      </c>
      <c r="S103" s="62">
        <f ca="1">AVERAGE(OFFSET($R$3,0,0,'Données projet'!$E$9+1,1))-AVERAGE(OFFSET($H$3,0,0,'Données projet'!$E$9+1,1))</f>
        <v>327.07074355218322</v>
      </c>
      <c r="T103" s="62">
        <f t="shared" si="88"/>
        <v>462.01668587029087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2.0103785755471564</v>
      </c>
      <c r="AA103" s="23">
        <f>EXP(-LN(2)/25)*AA102+(1-EXP(-LN(2)/25))/(LN(2)/25)*Calculateur!V103*Calculateur!X103*VLOOKUP('Données projet'!$B$9,Paramètres!$A$1:$I$89,3,0)*0.475*44/12</f>
        <v>1.1722188726300597</v>
      </c>
      <c r="AB103" s="23">
        <f>EXP(-LN(2)/2)*AB102+(1-EXP(-LN(2)/2))/(LN(2)/2)*V103*Y103*VLOOKUP('Données projet'!$B$9,Paramètres!$A$1:$I$89,3,0)*0.475*44/12</f>
        <v>1.7157028882376707E-14</v>
      </c>
      <c r="AC103" s="24">
        <f t="shared" si="57"/>
        <v>3.1825974481772334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301.29840000000002</v>
      </c>
      <c r="AK103" s="14">
        <f t="shared" si="89"/>
        <v>71.448589534990518</v>
      </c>
      <c r="AL103" s="22">
        <f t="shared" si="58"/>
        <v>649.2010067734418</v>
      </c>
      <c r="AM103" s="62">
        <f t="shared" si="59"/>
        <v>918.32183731934651</v>
      </c>
      <c r="AN103" s="62">
        <f ca="1">AVERAGE(OFFSET($AM$3,0,0,'Données projet'!$E$10+1,1))-AVERAGE(OFFSET($H$3,0,0,'Données projet'!$E$10+1,1))</f>
        <v>499.92116338695428</v>
      </c>
      <c r="AO103" s="62">
        <f t="shared" si="90"/>
        <v>316.79403154855652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211.70619219850786</v>
      </c>
      <c r="BJ103" s="62">
        <f t="shared" si="92"/>
        <v>426.883837098247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24.700588610776627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7.741180713959453E-9</v>
      </c>
      <c r="BS103" s="24">
        <f t="shared" si="63"/>
        <v>24.700588618517809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1.8001173884840681E-13</v>
      </c>
      <c r="P104" s="14">
        <f t="shared" si="87"/>
        <v>2.5254331426407198E-12</v>
      </c>
      <c r="Q104" s="22">
        <f t="shared" si="107"/>
        <v>4.7119831685935622E-12</v>
      </c>
      <c r="R104" s="62">
        <f t="shared" si="55"/>
        <v>269.54086333822443</v>
      </c>
      <c r="S104" s="62">
        <f ca="1">AVERAGE(OFFSET($R$3,0,0,'Données projet'!$E$9+1,1))-AVERAGE(OFFSET($H$3,0,0,'Données projet'!$E$9+1,1))</f>
        <v>327.07074355218322</v>
      </c>
      <c r="T104" s="62">
        <f t="shared" si="88"/>
        <v>462.01668587029087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1.9709562778905296</v>
      </c>
      <c r="AA104" s="23">
        <f>EXP(-LN(2)/25)*AA103+(1-EXP(-LN(2)/25))/(LN(2)/25)*Calculateur!V104*Calculateur!X104*VLOOKUP('Données projet'!$B$9,Paramètres!$A$1:$I$89,3,0)*0.475*44/12</f>
        <v>1.1401644859136795</v>
      </c>
      <c r="AB104" s="23">
        <f>EXP(-LN(2)/2)*AB103+(1-EXP(-LN(2)/2))/(LN(2)/2)*V104*Y104*VLOOKUP('Données projet'!$B$9,Paramètres!$A$1:$I$89,3,0)*0.475*44/12</f>
        <v>1.2131851467742022E-14</v>
      </c>
      <c r="AC104" s="24">
        <f t="shared" si="57"/>
        <v>3.1111207638042209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281.75471999999996</v>
      </c>
      <c r="AK104" s="14">
        <f t="shared" si="89"/>
        <v>67.337696723120317</v>
      </c>
      <c r="AL104" s="22">
        <f t="shared" si="58"/>
        <v>608.00262579276773</v>
      </c>
      <c r="AM104" s="62">
        <f t="shared" si="59"/>
        <v>877.54348913098738</v>
      </c>
      <c r="AN104" s="62">
        <f ca="1">AVERAGE(OFFSET($AM$3,0,0,'Données projet'!$E$10+1,1))-AVERAGE(OFFSET($H$3,0,0,'Données projet'!$E$10+1,1))</f>
        <v>499.92116338695428</v>
      </c>
      <c r="AO104" s="62">
        <f t="shared" si="90"/>
        <v>316.79403154855652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211.70619219850786</v>
      </c>
      <c r="BJ104" s="62">
        <f t="shared" si="92"/>
        <v>426.883837098247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24.216225133990719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5.4738413772312488E-9</v>
      </c>
      <c r="BS104" s="24">
        <f t="shared" si="63"/>
        <v>24.216225139464559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1.8001173884840681E-13</v>
      </c>
      <c r="P105" s="14">
        <f t="shared" si="87"/>
        <v>2.5254331426407198E-12</v>
      </c>
      <c r="Q105" s="22">
        <f t="shared" si="107"/>
        <v>4.7119831685935622E-12</v>
      </c>
      <c r="R105" s="62">
        <f t="shared" si="55"/>
        <v>269.95360950064548</v>
      </c>
      <c r="S105" s="62">
        <f ca="1">AVERAGE(OFFSET($R$3,0,0,'Données projet'!$E$9+1,1))-AVERAGE(OFFSET($H$3,0,0,'Données projet'!$E$9+1,1))</f>
        <v>327.07074355218322</v>
      </c>
      <c r="T105" s="62">
        <f t="shared" si="88"/>
        <v>462.01668587029087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1.9323070274457219</v>
      </c>
      <c r="AA105" s="23">
        <f>EXP(-LN(2)/25)*AA104+(1-EXP(-LN(2)/25))/(LN(2)/25)*Calculateur!V105*Calculateur!X105*VLOOKUP('Données projet'!$B$9,Paramètres!$A$1:$I$89,3,0)*0.475*44/12</f>
        <v>1.1089866280877254</v>
      </c>
      <c r="AB105" s="23">
        <f>EXP(-LN(2)/2)*AB104+(1-EXP(-LN(2)/2))/(LN(2)/2)*V105*Y105*VLOOKUP('Données projet'!$B$9,Paramètres!$A$1:$I$89,3,0)*0.475*44/12</f>
        <v>8.5785144411883533E-15</v>
      </c>
      <c r="AC105" s="24">
        <f t="shared" si="57"/>
        <v>3.041293655533456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286.64063999999996</v>
      </c>
      <c r="AK105" s="14">
        <f t="shared" si="89"/>
        <v>68.368446832003599</v>
      </c>
      <c r="AL105" s="22">
        <f t="shared" si="58"/>
        <v>618.30749289907283</v>
      </c>
      <c r="AM105" s="62">
        <f t="shared" si="59"/>
        <v>888.26110239971354</v>
      </c>
      <c r="AN105" s="62">
        <f ca="1">AVERAGE(OFFSET($AM$3,0,0,'Données projet'!$E$10+1,1))-AVERAGE(OFFSET($H$3,0,0,'Données projet'!$E$10+1,1))</f>
        <v>499.92116338695428</v>
      </c>
      <c r="AO105" s="62">
        <f t="shared" si="90"/>
        <v>316.79403154855652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211.70619219850786</v>
      </c>
      <c r="BJ105" s="62">
        <f t="shared" si="92"/>
        <v>426.883837098247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23.741359729552034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3.8705903569797265E-9</v>
      </c>
      <c r="BS105" s="24">
        <f t="shared" si="63"/>
        <v>23.741359733422623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1.8001173884840681E-13</v>
      </c>
      <c r="P106" s="14">
        <f t="shared" si="87"/>
        <v>2.5254331426407198E-12</v>
      </c>
      <c r="Q106" s="22">
        <f t="shared" si="107"/>
        <v>4.7119831685935622E-12</v>
      </c>
      <c r="R106" s="62">
        <f t="shared" si="55"/>
        <v>270.35919543991071</v>
      </c>
      <c r="S106" s="62">
        <f ca="1">AVERAGE(OFFSET($R$3,0,0,'Données projet'!$E$9+1,1))-AVERAGE(OFFSET($H$3,0,0,'Données projet'!$E$9+1,1))</f>
        <v>327.07074355218322</v>
      </c>
      <c r="T106" s="62">
        <f t="shared" si="88"/>
        <v>462.01668587029087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1.8944156652284219</v>
      </c>
      <c r="AA106" s="23">
        <f>EXP(-LN(2)/25)*AA105+(1-EXP(-LN(2)/25))/(LN(2)/25)*Calculateur!V106*Calculateur!X106*VLOOKUP('Données projet'!$B$9,Paramètres!$A$1:$I$89,3,0)*0.475*44/12</f>
        <v>1.0786613304235944</v>
      </c>
      <c r="AB106" s="23">
        <f>EXP(-LN(2)/2)*AB105+(1-EXP(-LN(2)/2))/(LN(2)/2)*V106*Y106*VLOOKUP('Données projet'!$B$9,Paramètres!$A$1:$I$89,3,0)*0.475*44/12</f>
        <v>6.065925733871011E-15</v>
      </c>
      <c r="AC106" s="24">
        <f t="shared" si="57"/>
        <v>2.9730769956520224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291.5265599999999</v>
      </c>
      <c r="AK106" s="14">
        <f t="shared" si="89"/>
        <v>69.397153761857183</v>
      </c>
      <c r="AL106" s="22">
        <f t="shared" si="58"/>
        <v>628.60880146856778</v>
      </c>
      <c r="AM106" s="62">
        <f t="shared" si="59"/>
        <v>898.96799690847376</v>
      </c>
      <c r="AN106" s="62">
        <f ca="1">AVERAGE(OFFSET($AM$3,0,0,'Données projet'!$E$10+1,1))-AVERAGE(OFFSET($H$3,0,0,'Données projet'!$E$10+1,1))</f>
        <v>499.92116338695428</v>
      </c>
      <c r="AO106" s="62">
        <f t="shared" si="90"/>
        <v>316.79403154855652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211.70619219850786</v>
      </c>
      <c r="BJ106" s="62">
        <f t="shared" si="92"/>
        <v>426.883837098247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23.275806146055093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2.7369206886156244E-9</v>
      </c>
      <c r="BS106" s="24">
        <f t="shared" si="63"/>
        <v>23.275806148792014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1.8001173884840681E-13</v>
      </c>
      <c r="P107" s="14">
        <f t="shared" si="87"/>
        <v>2.5254331426407198E-12</v>
      </c>
      <c r="Q107" s="22">
        <f t="shared" si="107"/>
        <v>4.7119831685935622E-12</v>
      </c>
      <c r="R107" s="62">
        <f t="shared" si="55"/>
        <v>270.75774536988399</v>
      </c>
      <c r="S107" s="62">
        <f ca="1">AVERAGE(OFFSET($R$3,0,0,'Données projet'!$E$9+1,1))-AVERAGE(OFFSET($H$3,0,0,'Données projet'!$E$9+1,1))</f>
        <v>327.07074355218322</v>
      </c>
      <c r="T107" s="62">
        <f t="shared" si="88"/>
        <v>462.01668587029087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1.8572673295127542</v>
      </c>
      <c r="AA107" s="23">
        <f>EXP(-LN(2)/25)*AA106+(1-EXP(-LN(2)/25))/(LN(2)/25)*Calculateur!V107*Calculateur!X107*VLOOKUP('Données projet'!$B$9,Paramètres!$A$1:$I$89,3,0)*0.475*44/12</f>
        <v>1.0491652796188271</v>
      </c>
      <c r="AB107" s="23">
        <f>EXP(-LN(2)/2)*AB106+(1-EXP(-LN(2)/2))/(LN(2)/2)*V107*Y107*VLOOKUP('Données projet'!$B$9,Paramètres!$A$1:$I$89,3,0)*0.475*44/12</f>
        <v>4.2892572205941767E-15</v>
      </c>
      <c r="AC107" s="24">
        <f t="shared" si="57"/>
        <v>2.9064326091315857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296.4124799999999</v>
      </c>
      <c r="AK107" s="14">
        <f t="shared" si="89"/>
        <v>70.423855708154704</v>
      </c>
      <c r="AL107" s="22">
        <f t="shared" si="58"/>
        <v>638.90661802503598</v>
      </c>
      <c r="AM107" s="62">
        <f t="shared" si="59"/>
        <v>909.6643633949152</v>
      </c>
      <c r="AN107" s="62">
        <f ca="1">AVERAGE(OFFSET($AM$3,0,0,'Données projet'!$E$10+1,1))-AVERAGE(OFFSET($H$3,0,0,'Données projet'!$E$10+1,1))</f>
        <v>499.92116338695428</v>
      </c>
      <c r="AO107" s="62">
        <f t="shared" si="90"/>
        <v>316.79403154855652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211.70619219850786</v>
      </c>
      <c r="BJ107" s="62">
        <f t="shared" si="92"/>
        <v>426.883837098247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22.819381784370879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1.9352951784898633E-9</v>
      </c>
      <c r="BS107" s="24">
        <f t="shared" si="63"/>
        <v>22.819381786306174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1.8001173884840681E-13</v>
      </c>
      <c r="P108" s="14">
        <f t="shared" si="87"/>
        <v>2.5254331426407198E-12</v>
      </c>
      <c r="Q108" s="22">
        <f t="shared" si="107"/>
        <v>4.7119831685935622E-12</v>
      </c>
      <c r="R108" s="62">
        <f t="shared" si="55"/>
        <v>271.14938134959641</v>
      </c>
      <c r="S108" s="62">
        <f ca="1">AVERAGE(OFFSET($R$3,0,0,'Données projet'!$E$9+1,1))-AVERAGE(OFFSET($H$3,0,0,'Données projet'!$E$9+1,1))</f>
        <v>327.07074355218322</v>
      </c>
      <c r="T108" s="62">
        <f t="shared" si="88"/>
        <v>462.01668587029087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1.8208474500022234</v>
      </c>
      <c r="AA108" s="23">
        <f>EXP(-LN(2)/25)*AA107+(1-EXP(-LN(2)/25))/(LN(2)/25)*Calculateur!V108*Calculateur!X108*VLOOKUP('Données projet'!$B$9,Paramètres!$A$1:$I$89,3,0)*0.475*44/12</f>
        <v>1.020475799874446</v>
      </c>
      <c r="AB108" s="23">
        <f>EXP(-LN(2)/2)*AB107+(1-EXP(-LN(2)/2))/(LN(2)/2)*V108*Y108*VLOOKUP('Données projet'!$B$9,Paramètres!$A$1:$I$89,3,0)*0.475*44/12</f>
        <v>3.0329628669355055E-15</v>
      </c>
      <c r="AC108" s="24">
        <f t="shared" si="57"/>
        <v>2.8413232498766727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301.2983999999999</v>
      </c>
      <c r="AK108" s="14">
        <f t="shared" si="89"/>
        <v>71.448589534990518</v>
      </c>
      <c r="AL108" s="22">
        <f t="shared" si="58"/>
        <v>649.20100677344158</v>
      </c>
      <c r="AM108" s="62">
        <f t="shared" si="59"/>
        <v>920.35038812303333</v>
      </c>
      <c r="AN108" s="62">
        <f ca="1">AVERAGE(OFFSET($AM$3,0,0,'Données projet'!$E$10+1,1))-AVERAGE(OFFSET($H$3,0,0,'Données projet'!$E$10+1,1))</f>
        <v>499.92116338695428</v>
      </c>
      <c r="AO108" s="62">
        <f t="shared" si="90"/>
        <v>316.79403154855652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211.70619219850786</v>
      </c>
      <c r="BJ108" s="62">
        <f t="shared" si="92"/>
        <v>426.883837098247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22.371907626027923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1.3684603443078122E-9</v>
      </c>
      <c r="BS108" s="24">
        <f t="shared" si="63"/>
        <v>22.371907627396382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1.8001173884840681E-13</v>
      </c>
      <c r="P109" s="14">
        <f t="shared" si="87"/>
        <v>2.5254331426407198E-12</v>
      </c>
      <c r="Q109" s="22">
        <f t="shared" si="107"/>
        <v>4.7119831685935622E-12</v>
      </c>
      <c r="R109" s="62">
        <f t="shared" si="55"/>
        <v>271.53422332062769</v>
      </c>
      <c r="S109" s="62">
        <f ca="1">AVERAGE(OFFSET($R$3,0,0,'Données projet'!$E$9+1,1))-AVERAGE(OFFSET($H$3,0,0,'Données projet'!$E$9+1,1))</f>
        <v>327.07074355218322</v>
      </c>
      <c r="T109" s="62">
        <f t="shared" si="88"/>
        <v>462.01668587029087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1.7851417421149609</v>
      </c>
      <c r="AA109" s="23">
        <f>EXP(-LN(2)/25)*AA108+(1-EXP(-LN(2)/25))/(LN(2)/25)*Calculateur!V109*Calculateur!X109*VLOOKUP('Données projet'!$B$9,Paramètres!$A$1:$I$89,3,0)*0.475*44/12</f>
        <v>0.99257083546238933</v>
      </c>
      <c r="AB109" s="23">
        <f>EXP(-LN(2)/2)*AB108+(1-EXP(-LN(2)/2))/(LN(2)/2)*V109*Y109*VLOOKUP('Données projet'!$B$9,Paramètres!$A$1:$I$89,3,0)*0.475*44/12</f>
        <v>2.1446286102970883E-15</v>
      </c>
      <c r="AC109" s="24">
        <f t="shared" si="57"/>
        <v>2.7777125775773523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282.29759999999987</v>
      </c>
      <c r="AK109" s="14">
        <f t="shared" si="89"/>
        <v>67.452326629470178</v>
      </c>
      <c r="AL109" s="22">
        <f t="shared" si="58"/>
        <v>609.14778887966042</v>
      </c>
      <c r="AM109" s="62">
        <f t="shared" si="59"/>
        <v>880.68201220028345</v>
      </c>
      <c r="AN109" s="62">
        <f ca="1">AVERAGE(OFFSET($AM$3,0,0,'Données projet'!$E$10+1,1))-AVERAGE(OFFSET($H$3,0,0,'Données projet'!$E$10+1,1))</f>
        <v>499.92116338695428</v>
      </c>
      <c r="AO109" s="62">
        <f t="shared" si="90"/>
        <v>316.79403154855652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211.70619219850786</v>
      </c>
      <c r="BJ109" s="62">
        <f t="shared" si="92"/>
        <v>426.883837098247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21.933208162997783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9.6764758924493163E-10</v>
      </c>
      <c r="BS109" s="24">
        <f t="shared" si="63"/>
        <v>21.933208163965432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1.8001173884840681E-13</v>
      </c>
      <c r="P110" s="14">
        <f t="shared" si="87"/>
        <v>2.5254331426407198E-12</v>
      </c>
      <c r="Q110" s="22">
        <f t="shared" si="107"/>
        <v>4.7119831685935622E-12</v>
      </c>
      <c r="R110" s="62">
        <f t="shared" si="55"/>
        <v>271.91238914383933</v>
      </c>
      <c r="S110" s="62">
        <f ca="1">AVERAGE(OFFSET($R$3,0,0,'Données projet'!$E$9+1,1))-AVERAGE(OFFSET($H$3,0,0,'Données projet'!$E$9+1,1))</f>
        <v>327.07074355218322</v>
      </c>
      <c r="T110" s="62">
        <f t="shared" si="88"/>
        <v>462.01668587029087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1.7501362013810362</v>
      </c>
      <c r="AA110" s="23">
        <f>EXP(-LN(2)/25)*AA109+(1-EXP(-LN(2)/25))/(LN(2)/25)*Calculateur!V110*Calculateur!X110*VLOOKUP('Données projet'!$B$9,Paramètres!$A$1:$I$89,3,0)*0.475*44/12</f>
        <v>0.96542893376963856</v>
      </c>
      <c r="AB110" s="23">
        <f>EXP(-LN(2)/2)*AB109+(1-EXP(-LN(2)/2))/(LN(2)/2)*V110*Y110*VLOOKUP('Données projet'!$B$9,Paramètres!$A$1:$I$89,3,0)*0.475*44/12</f>
        <v>1.5164814334677527E-15</v>
      </c>
      <c r="AC110" s="24">
        <f t="shared" si="57"/>
        <v>2.7155651351506762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286.82159999999988</v>
      </c>
      <c r="AK110" s="14">
        <f t="shared" si="89"/>
        <v>68.406583284351413</v>
      </c>
      <c r="AL110" s="22">
        <f t="shared" si="58"/>
        <v>618.68908588691181</v>
      </c>
      <c r="AM110" s="62">
        <f t="shared" si="59"/>
        <v>890.60147503074643</v>
      </c>
      <c r="AN110" s="62">
        <f ca="1">AVERAGE(OFFSET($AM$3,0,0,'Données projet'!$E$10+1,1))-AVERAGE(OFFSET($H$3,0,0,'Données projet'!$E$10+1,1))</f>
        <v>499.92116338695428</v>
      </c>
      <c r="AO110" s="62">
        <f t="shared" si="90"/>
        <v>316.79403154855652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211.70619219850786</v>
      </c>
      <c r="BJ110" s="62">
        <f t="shared" si="92"/>
        <v>426.883837098247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21.503111328857415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6.842301721539061E-10</v>
      </c>
      <c r="BS110" s="24">
        <f t="shared" si="63"/>
        <v>21.503111329541646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1.8001173884840681E-13</v>
      </c>
      <c r="P111" s="14">
        <f t="shared" si="87"/>
        <v>2.5254331426407198E-12</v>
      </c>
      <c r="Q111" s="22">
        <f t="shared" si="107"/>
        <v>4.7119831685935622E-12</v>
      </c>
      <c r="R111" s="62">
        <f t="shared" si="55"/>
        <v>272.28399463547044</v>
      </c>
      <c r="S111" s="62">
        <f ca="1">AVERAGE(OFFSET($R$3,0,0,'Données projet'!$E$9+1,1))-AVERAGE(OFFSET($H$3,0,0,'Données projet'!$E$9+1,1))</f>
        <v>327.07074355218322</v>
      </c>
      <c r="T111" s="62">
        <f t="shared" si="88"/>
        <v>462.01668587029087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1.7158170979496323</v>
      </c>
      <c r="AA111" s="23">
        <f>EXP(-LN(2)/25)*AA110+(1-EXP(-LN(2)/25))/(LN(2)/25)*Calculateur!V111*Calculateur!X111*VLOOKUP('Données projet'!$B$9,Paramètres!$A$1:$I$89,3,0)*0.475*44/12</f>
        <v>0.9390292288060067</v>
      </c>
      <c r="AB111" s="23">
        <f>EXP(-LN(2)/2)*AB110+(1-EXP(-LN(2)/2))/(LN(2)/2)*V111*Y111*VLOOKUP('Données projet'!$B$9,Paramètres!$A$1:$I$89,3,0)*0.475*44/12</f>
        <v>1.0723143051485442E-15</v>
      </c>
      <c r="AC111" s="24">
        <f t="shared" si="57"/>
        <v>2.6548463267556399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291.34559999999993</v>
      </c>
      <c r="AK111" s="14">
        <f t="shared" si="89"/>
        <v>69.359089490698707</v>
      </c>
      <c r="AL111" s="22">
        <f t="shared" si="58"/>
        <v>628.22733419630015</v>
      </c>
      <c r="AM111" s="62">
        <f t="shared" si="59"/>
        <v>900.51132883176592</v>
      </c>
      <c r="AN111" s="62">
        <f ca="1">AVERAGE(OFFSET($AM$3,0,0,'Données projet'!$E$10+1,1))-AVERAGE(OFFSET($H$3,0,0,'Données projet'!$E$10+1,1))</f>
        <v>499.92116338695428</v>
      </c>
      <c r="AO111" s="62">
        <f t="shared" si="90"/>
        <v>316.79403154855652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211.70619219850786</v>
      </c>
      <c r="BJ111" s="62">
        <f t="shared" si="92"/>
        <v>426.883837098247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21.081448431301371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4.8382379462246581E-10</v>
      </c>
      <c r="BS111" s="24">
        <f t="shared" si="63"/>
        <v>21.081448431785194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1.8001173884840681E-13</v>
      </c>
      <c r="P112" s="14">
        <f t="shared" si="87"/>
        <v>2.5254331426407198E-12</v>
      </c>
      <c r="Q112" s="22">
        <f t="shared" si="107"/>
        <v>4.7119831685935622E-12</v>
      </c>
      <c r="R112" s="62">
        <f t="shared" si="55"/>
        <v>272.64915360260704</v>
      </c>
      <c r="S112" s="62">
        <f ca="1">AVERAGE(OFFSET($R$3,0,0,'Données projet'!$E$9+1,1))-AVERAGE(OFFSET($H$3,0,0,'Données projet'!$E$9+1,1))</f>
        <v>327.07074355218322</v>
      </c>
      <c r="T112" s="62">
        <f t="shared" si="88"/>
        <v>462.01668587029087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1.6821709712039321</v>
      </c>
      <c r="AA112" s="23">
        <f>EXP(-LN(2)/25)*AA111+(1-EXP(-LN(2)/25))/(LN(2)/25)*Calculateur!V112*Calculateur!X112*VLOOKUP('Données projet'!$B$9,Paramètres!$A$1:$I$89,3,0)*0.475*44/12</f>
        <v>0.91335142516290546</v>
      </c>
      <c r="AB112" s="23">
        <f>EXP(-LN(2)/2)*AB111+(1-EXP(-LN(2)/2))/(LN(2)/2)*V112*Y112*VLOOKUP('Données projet'!$B$9,Paramètres!$A$1:$I$89,3,0)*0.475*44/12</f>
        <v>7.5824071673387637E-16</v>
      </c>
      <c r="AC112" s="24">
        <f t="shared" si="57"/>
        <v>2.5955223963668383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295.86959999999988</v>
      </c>
      <c r="AK112" s="14">
        <f t="shared" si="89"/>
        <v>70.309875568291218</v>
      </c>
      <c r="AL112" s="22">
        <f t="shared" si="58"/>
        <v>637.76258661477357</v>
      </c>
      <c r="AM112" s="62">
        <f t="shared" si="59"/>
        <v>910.41174021737584</v>
      </c>
      <c r="AN112" s="62">
        <f ca="1">AVERAGE(OFFSET($AM$3,0,0,'Données projet'!$E$10+1,1))-AVERAGE(OFFSET($H$3,0,0,'Données projet'!$E$10+1,1))</f>
        <v>499.92116338695428</v>
      </c>
      <c r="AO112" s="62">
        <f t="shared" si="90"/>
        <v>316.79403154855652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211.70619219850786</v>
      </c>
      <c r="BJ112" s="62">
        <f t="shared" si="92"/>
        <v>426.883837098247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20.668054085977431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3.4211508607695305E-10</v>
      </c>
      <c r="BS112" s="24">
        <f t="shared" si="63"/>
        <v>20.668054086319547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1.8001173884840681E-13</v>
      </c>
      <c r="P113" s="14">
        <f t="shared" si="87"/>
        <v>2.5254331426407198E-12</v>
      </c>
      <c r="Q113" s="22">
        <f t="shared" si="107"/>
        <v>4.7119831685935622E-12</v>
      </c>
      <c r="R113" s="62">
        <f t="shared" si="55"/>
        <v>273.00797787803708</v>
      </c>
      <c r="S113" s="62">
        <f ca="1">AVERAGE(OFFSET($R$3,0,0,'Données projet'!$E$9+1,1))-AVERAGE(OFFSET($H$3,0,0,'Données projet'!$E$9+1,1))</f>
        <v>327.07074355218322</v>
      </c>
      <c r="T113" s="62">
        <f t="shared" si="88"/>
        <v>462.01668587029087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1.6491846244816042</v>
      </c>
      <c r="AA113" s="23">
        <f>EXP(-LN(2)/25)*AA112+(1-EXP(-LN(2)/25))/(LN(2)/25)*Calculateur!V113*Calculateur!X113*VLOOKUP('Données projet'!$B$9,Paramètres!$A$1:$I$89,3,0)*0.475*44/12</f>
        <v>0.88837578241076187</v>
      </c>
      <c r="AB113" s="23">
        <f>EXP(-LN(2)/2)*AB112+(1-EXP(-LN(2)/2))/(LN(2)/2)*V113*Y113*VLOOKUP('Données projet'!$B$9,Paramètres!$A$1:$I$89,3,0)*0.475*44/12</f>
        <v>5.3615715257427208E-16</v>
      </c>
      <c r="AC113" s="24">
        <f t="shared" si="57"/>
        <v>2.5375604068923665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300.39359999999988</v>
      </c>
      <c r="AK113" s="14">
        <f t="shared" si="89"/>
        <v>71.258970856492667</v>
      </c>
      <c r="AL113" s="22">
        <f t="shared" si="58"/>
        <v>647.29489424172459</v>
      </c>
      <c r="AM113" s="62">
        <f t="shared" si="59"/>
        <v>920.30287211975701</v>
      </c>
      <c r="AN113" s="62">
        <f ca="1">AVERAGE(OFFSET($AM$3,0,0,'Données projet'!$E$10+1,1))-AVERAGE(OFFSET($H$3,0,0,'Données projet'!$E$10+1,1))</f>
        <v>499.92116338695428</v>
      </c>
      <c r="AO113" s="62">
        <f t="shared" si="90"/>
        <v>316.79403154855652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211.70619219850786</v>
      </c>
      <c r="BJ113" s="62">
        <f t="shared" si="92"/>
        <v>426.883837098247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20.26276615161964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2.4191189731123291E-10</v>
      </c>
      <c r="BS113" s="24">
        <f t="shared" si="63"/>
        <v>20.262766151861552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1.8001173884840681E-13</v>
      </c>
      <c r="P114" s="14">
        <f t="shared" si="87"/>
        <v>2.5254331426407198E-12</v>
      </c>
      <c r="Q114" s="22">
        <f t="shared" si="107"/>
        <v>4.7119831685935622E-12</v>
      </c>
      <c r="R114" s="62">
        <f t="shared" si="55"/>
        <v>273.36057735449924</v>
      </c>
      <c r="S114" s="62">
        <f ca="1">AVERAGE(OFFSET($R$3,0,0,'Données projet'!$E$9+1,1))-AVERAGE(OFFSET($H$3,0,0,'Données projet'!$E$9+1,1))</f>
        <v>327.07074355218322</v>
      </c>
      <c r="T114" s="62">
        <f t="shared" si="88"/>
        <v>462.01668587029087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1.6168451198988161</v>
      </c>
      <c r="AA114" s="23">
        <f>EXP(-LN(2)/25)*AA113+(1-EXP(-LN(2)/25))/(LN(2)/25)*Calculateur!V114*Calculateur!X114*VLOOKUP('Données projet'!$B$9,Paramètres!$A$1:$I$89,3,0)*0.475*44/12</f>
        <v>0.86408309992308763</v>
      </c>
      <c r="AB114" s="23">
        <f>EXP(-LN(2)/2)*AB113+(1-EXP(-LN(2)/2))/(LN(2)/2)*V114*Y114*VLOOKUP('Données projet'!$B$9,Paramètres!$A$1:$I$89,3,0)*0.475*44/12</f>
        <v>3.7912035836693819E-16</v>
      </c>
      <c r="AC114" s="24">
        <f t="shared" si="57"/>
        <v>2.4809282198219043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281.93567999999988</v>
      </c>
      <c r="AK114" s="14">
        <f t="shared" si="89"/>
        <v>67.375909546040361</v>
      </c>
      <c r="AL114" s="22">
        <f t="shared" si="58"/>
        <v>608.38435179268674</v>
      </c>
      <c r="AM114" s="62">
        <f t="shared" si="59"/>
        <v>881.74492914718121</v>
      </c>
      <c r="AN114" s="62">
        <f ca="1">AVERAGE(OFFSET($AM$3,0,0,'Données projet'!$E$10+1,1))-AVERAGE(OFFSET($H$3,0,0,'Données projet'!$E$10+1,1))</f>
        <v>499.92116338695428</v>
      </c>
      <c r="AO114" s="62">
        <f t="shared" si="90"/>
        <v>316.79403154855652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211.70619219850786</v>
      </c>
      <c r="BJ114" s="62">
        <f t="shared" si="92"/>
        <v>426.883837098247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19.865425666453376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1.7105754303847652E-10</v>
      </c>
      <c r="BS114" s="24">
        <f t="shared" si="63"/>
        <v>19.865425666624432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1.8001173884840681E-13</v>
      </c>
      <c r="P115" s="14">
        <f t="shared" si="87"/>
        <v>2.5254331426407198E-12</v>
      </c>
      <c r="Q115" s="22">
        <f t="shared" si="107"/>
        <v>4.7119831685935622E-12</v>
      </c>
      <c r="R115" s="62">
        <f t="shared" si="55"/>
        <v>273.70706001833912</v>
      </c>
      <c r="S115" s="62">
        <f ca="1">AVERAGE(OFFSET($R$3,0,0,'Données projet'!$E$9+1,1))-AVERAGE(OFFSET($H$3,0,0,'Données projet'!$E$9+1,1))</f>
        <v>327.07074355218322</v>
      </c>
      <c r="T115" s="62">
        <f t="shared" si="88"/>
        <v>462.01668587029087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1.5851397732757464</v>
      </c>
      <c r="AA115" s="23">
        <f>EXP(-LN(2)/25)*AA114+(1-EXP(-LN(2)/25))/(LN(2)/25)*Calculateur!V115*Calculateur!X115*VLOOKUP('Données projet'!$B$9,Paramètres!$A$1:$I$89,3,0)*0.475*44/12</f>
        <v>0.84045470211553541</v>
      </c>
      <c r="AB115" s="23">
        <f>EXP(-LN(2)/2)*AB114+(1-EXP(-LN(2)/2))/(LN(2)/2)*V115*Y115*VLOOKUP('Données projet'!$B$9,Paramètres!$A$1:$I$89,3,0)*0.475*44/12</f>
        <v>2.6807857628713604E-16</v>
      </c>
      <c r="AC115" s="24">
        <f t="shared" si="57"/>
        <v>2.4255944753912821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286.09775999999994</v>
      </c>
      <c r="AK115" s="14">
        <f t="shared" si="89"/>
        <v>68.254020651723678</v>
      </c>
      <c r="AL115" s="22">
        <f t="shared" si="58"/>
        <v>617.16268463508527</v>
      </c>
      <c r="AM115" s="62">
        <f t="shared" si="59"/>
        <v>890.86974465341973</v>
      </c>
      <c r="AN115" s="62">
        <f ca="1">AVERAGE(OFFSET($AM$3,0,0,'Données projet'!$E$10+1,1))-AVERAGE(OFFSET($H$3,0,0,'Données projet'!$E$10+1,1))</f>
        <v>499.92116338695428</v>
      </c>
      <c r="AO115" s="62">
        <f t="shared" si="90"/>
        <v>316.79403154855652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211.70619219850786</v>
      </c>
      <c r="BJ115" s="62">
        <f t="shared" si="92"/>
        <v>426.883837098247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19.475876785847454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1.2095594865561645E-10</v>
      </c>
      <c r="BS115" s="24">
        <f t="shared" si="63"/>
        <v>19.47587678596841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1.8001173884840681E-13</v>
      </c>
      <c r="P116" s="14">
        <f t="shared" si="87"/>
        <v>2.5254331426407198E-12</v>
      </c>
      <c r="Q116" s="22">
        <f t="shared" si="107"/>
        <v>4.7119831685935622E-12</v>
      </c>
      <c r="R116" s="62">
        <f t="shared" si="55"/>
        <v>274.04753198258055</v>
      </c>
      <c r="S116" s="62">
        <f ca="1">AVERAGE(OFFSET($R$3,0,0,'Données projet'!$E$9+1,1))-AVERAGE(OFFSET($H$3,0,0,'Données projet'!$E$9+1,1))</f>
        <v>327.07074355218322</v>
      </c>
      <c r="T116" s="62">
        <f t="shared" si="88"/>
        <v>462.01668587029087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1.5540561491616032</v>
      </c>
      <c r="AA116" s="23">
        <f>EXP(-LN(2)/25)*AA115+(1-EXP(-LN(2)/25))/(LN(2)/25)*Calculateur!V116*Calculateur!X116*VLOOKUP('Données projet'!$B$9,Paramètres!$A$1:$I$89,3,0)*0.475*44/12</f>
        <v>0.81747242408859422</v>
      </c>
      <c r="AB116" s="23">
        <f>EXP(-LN(2)/2)*AB115+(1-EXP(-LN(2)/2))/(LN(2)/2)*V116*Y116*VLOOKUP('Données projet'!$B$9,Paramètres!$A$1:$I$89,3,0)*0.475*44/12</f>
        <v>1.8956017918346909E-16</v>
      </c>
      <c r="AC116" s="24">
        <f t="shared" si="57"/>
        <v>2.3715285732501972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290.25983999999994</v>
      </c>
      <c r="AK116" s="14">
        <f t="shared" si="89"/>
        <v>69.130646003237317</v>
      </c>
      <c r="AL116" s="22">
        <f t="shared" si="58"/>
        <v>625.93842978897146</v>
      </c>
      <c r="AM116" s="62">
        <f t="shared" si="59"/>
        <v>899.9859617715473</v>
      </c>
      <c r="AN116" s="62">
        <f ca="1">AVERAGE(OFFSET($AM$3,0,0,'Données projet'!$E$10+1,1))-AVERAGE(OFFSET($H$3,0,0,'Données projet'!$E$10+1,1))</f>
        <v>499.92116338695428</v>
      </c>
      <c r="AO116" s="62">
        <f t="shared" si="90"/>
        <v>316.79403154855652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211.70619219850786</v>
      </c>
      <c r="BJ116" s="62">
        <f t="shared" si="92"/>
        <v>426.883837098247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19.09396672118886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8.5528771519238262E-11</v>
      </c>
      <c r="BS116" s="24">
        <f t="shared" si="63"/>
        <v>19.093966721274388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1.8001173884840681E-13</v>
      </c>
      <c r="P117" s="14">
        <f t="shared" si="87"/>
        <v>2.5254331426407198E-12</v>
      </c>
      <c r="Q117" s="22">
        <f t="shared" si="107"/>
        <v>4.7119831685935622E-12</v>
      </c>
      <c r="R117" s="62">
        <f t="shared" si="55"/>
        <v>274.38209751942372</v>
      </c>
      <c r="S117" s="62">
        <f ca="1">AVERAGE(OFFSET($R$3,0,0,'Données projet'!$E$9+1,1))-AVERAGE(OFFSET($H$3,0,0,'Données projet'!$E$9+1,1))</f>
        <v>327.07074355218322</v>
      </c>
      <c r="T117" s="62">
        <f t="shared" si="88"/>
        <v>462.01668587029087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1.5235820559571998</v>
      </c>
      <c r="AA117" s="23">
        <f>EXP(-LN(2)/25)*AA116+(1-EXP(-LN(2)/25))/(LN(2)/25)*Calculateur!V117*Calculateur!X117*VLOOKUP('Données projet'!$B$9,Paramètres!$A$1:$I$89,3,0)*0.475*44/12</f>
        <v>0.79511859766288517</v>
      </c>
      <c r="AB117" s="23">
        <f>EXP(-LN(2)/2)*AB116+(1-EXP(-LN(2)/2))/(LN(2)/2)*V117*Y117*VLOOKUP('Données projet'!$B$9,Paramètres!$A$1:$I$89,3,0)*0.475*44/12</f>
        <v>1.3403928814356802E-16</v>
      </c>
      <c r="AC117" s="24">
        <f t="shared" si="57"/>
        <v>2.3187006536200849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294.42191999999994</v>
      </c>
      <c r="AK117" s="14">
        <f t="shared" si="89"/>
        <v>70.005809366676559</v>
      </c>
      <c r="AL117" s="22">
        <f t="shared" si="58"/>
        <v>634.71162864696146</v>
      </c>
      <c r="AM117" s="62">
        <f t="shared" si="59"/>
        <v>909.09372616638052</v>
      </c>
      <c r="AN117" s="62">
        <f ca="1">AVERAGE(OFFSET($AM$3,0,0,'Données projet'!$E$10+1,1))-AVERAGE(OFFSET($H$3,0,0,'Données projet'!$E$10+1,1))</f>
        <v>499.92116338695428</v>
      </c>
      <c r="AO117" s="62">
        <f t="shared" si="90"/>
        <v>316.79403154855652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211.70619219850786</v>
      </c>
      <c r="BJ117" s="62">
        <f t="shared" si="92"/>
        <v>426.883837098247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18.719545679956081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6.0477974327808227E-11</v>
      </c>
      <c r="BS117" s="24">
        <f t="shared" si="63"/>
        <v>18.719545680016559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1.8001173884840681E-13</v>
      </c>
      <c r="P118" s="14">
        <f t="shared" si="87"/>
        <v>2.5254331426407198E-12</v>
      </c>
      <c r="Q118" s="22">
        <f t="shared" si="107"/>
        <v>4.7119831685935622E-12</v>
      </c>
      <c r="R118" s="62">
        <f t="shared" si="55"/>
        <v>274.71085909217913</v>
      </c>
      <c r="S118" s="62">
        <f ca="1">AVERAGE(OFFSET($R$3,0,0,'Données projet'!$E$9+1,1))-AVERAGE(OFFSET($H$3,0,0,'Données projet'!$E$9+1,1))</f>
        <v>327.07074355218322</v>
      </c>
      <c r="T118" s="62">
        <f t="shared" si="88"/>
        <v>462.01668587029087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1.4937055411331732</v>
      </c>
      <c r="AA118" s="23">
        <f>EXP(-LN(2)/25)*AA117+(1-EXP(-LN(2)/25))/(LN(2)/25)*Calculateur!V118*Calculateur!X118*VLOOKUP('Données projet'!$B$9,Paramètres!$A$1:$I$89,3,0)*0.475*44/12</f>
        <v>0.7733760377963238</v>
      </c>
      <c r="AB118" s="23">
        <f>EXP(-LN(2)/2)*AB117+(1-EXP(-LN(2)/2))/(LN(2)/2)*V118*Y118*VLOOKUP('Données projet'!$B$9,Paramètres!$A$1:$I$89,3,0)*0.475*44/12</f>
        <v>9.4780089591734547E-17</v>
      </c>
      <c r="AC118" s="24">
        <f t="shared" si="57"/>
        <v>2.2670815789294969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298.58399999999995</v>
      </c>
      <c r="AK118" s="14">
        <f t="shared" si="89"/>
        <v>70.879533797607607</v>
      </c>
      <c r="AL118" s="22">
        <f t="shared" si="58"/>
        <v>643.48232136416652</v>
      </c>
      <c r="AM118" s="62">
        <f t="shared" si="59"/>
        <v>918.193180456341</v>
      </c>
      <c r="AN118" s="62">
        <f ca="1">AVERAGE(OFFSET($AM$3,0,0,'Données projet'!$E$10+1,1))-AVERAGE(OFFSET($H$3,0,0,'Données projet'!$E$10+1,1))</f>
        <v>499.92116338695428</v>
      </c>
      <c r="AO118" s="62">
        <f t="shared" si="90"/>
        <v>316.79403154855652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211.70619219850786</v>
      </c>
      <c r="BJ118" s="62">
        <f t="shared" si="92"/>
        <v>426.883837098247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18.352466806967595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4.2764385759619131E-11</v>
      </c>
      <c r="BS118" s="24">
        <f t="shared" si="63"/>
        <v>18.352466807010359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1.8001173884840681E-13</v>
      </c>
      <c r="P119" s="14">
        <f t="shared" si="87"/>
        <v>2.5254331426407198E-12</v>
      </c>
      <c r="Q119" s="22">
        <f t="shared" si="107"/>
        <v>4.7119831685935622E-12</v>
      </c>
      <c r="R119" s="62">
        <f t="shared" si="55"/>
        <v>275.03391738664806</v>
      </c>
      <c r="S119" s="62">
        <f ca="1">AVERAGE(OFFSET($R$3,0,0,'Données projet'!$E$9+1,1))-AVERAGE(OFFSET($H$3,0,0,'Données projet'!$E$9+1,1))</f>
        <v>327.07074355218322</v>
      </c>
      <c r="T119" s="62">
        <f t="shared" si="88"/>
        <v>462.01668587029087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1.4644148865419711</v>
      </c>
      <c r="AA119" s="23">
        <f>EXP(-LN(2)/25)*AA118+(1-EXP(-LN(2)/25))/(LN(2)/25)*Calculateur!V119*Calculateur!X119*VLOOKUP('Données projet'!$B$9,Paramètres!$A$1:$I$89,3,0)*0.475*44/12</f>
        <v>0.75222802937270505</v>
      </c>
      <c r="AB119" s="23">
        <f>EXP(-LN(2)/2)*AB118+(1-EXP(-LN(2)/2))/(LN(2)/2)*V119*Y119*VLOOKUP('Données projet'!$B$9,Paramètres!$A$1:$I$89,3,0)*0.475*44/12</f>
        <v>6.701964407178401E-17</v>
      </c>
      <c r="AC119" s="24">
        <f t="shared" si="57"/>
        <v>2.2166429159146759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499.92116338695428</v>
      </c>
      <c r="AO119" s="62">
        <f t="shared" si="90"/>
        <v>316.79403154855652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211.70619219850786</v>
      </c>
      <c r="BJ119" s="62">
        <f t="shared" si="92"/>
        <v>426.883837098247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17.992586126782406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3.0238987163904113E-11</v>
      </c>
      <c r="BS119" s="24">
        <f t="shared" si="63"/>
        <v>17.992586126812647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1.8001173884840681E-13</v>
      </c>
      <c r="P120" s="14">
        <f t="shared" si="87"/>
        <v>2.5254331426407198E-12</v>
      </c>
      <c r="Q120" s="22">
        <f t="shared" si="107"/>
        <v>4.7119831685935622E-12</v>
      </c>
      <c r="R120" s="62">
        <f t="shared" si="55"/>
        <v>275.35137134195799</v>
      </c>
      <c r="S120" s="62">
        <f ca="1">AVERAGE(OFFSET($R$3,0,0,'Données projet'!$E$9+1,1))-AVERAGE(OFFSET($H$3,0,0,'Données projet'!$E$9+1,1))</f>
        <v>327.07074355218322</v>
      </c>
      <c r="T120" s="62">
        <f t="shared" si="88"/>
        <v>462.01668587029087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1.4356986038217672</v>
      </c>
      <c r="AA120" s="23">
        <f>EXP(-LN(2)/25)*AA119+(1-EXP(-LN(2)/25))/(LN(2)/25)*Calculateur!V120*Calculateur!X120*VLOOKUP('Données projet'!$B$9,Paramètres!$A$1:$I$89,3,0)*0.475*44/12</f>
        <v>0.73165831435155559</v>
      </c>
      <c r="AB120" s="23">
        <f>EXP(-LN(2)/2)*AB119+(1-EXP(-LN(2)/2))/(LN(2)/2)*V120*Y120*VLOOKUP('Données projet'!$B$9,Paramètres!$A$1:$I$89,3,0)*0.475*44/12</f>
        <v>4.7390044795867273E-17</v>
      </c>
      <c r="AC120" s="24">
        <f t="shared" si="57"/>
        <v>2.167356918173323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499.92116338695428</v>
      </c>
      <c r="AO120" s="62">
        <f t="shared" si="90"/>
        <v>316.79403154855652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211.70619219850786</v>
      </c>
      <c r="BJ120" s="62">
        <f t="shared" si="92"/>
        <v>426.883837098247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17.639762487230108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2.1382192879809566E-11</v>
      </c>
      <c r="BS120" s="24">
        <f t="shared" si="63"/>
        <v>17.639762487251492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1.8001173884840681E-13</v>
      </c>
      <c r="P121" s="14">
        <f t="shared" si="87"/>
        <v>2.5254331426407198E-12</v>
      </c>
      <c r="Q121" s="22">
        <f t="shared" si="107"/>
        <v>4.7119831685935622E-12</v>
      </c>
      <c r="R121" s="62">
        <f t="shared" si="55"/>
        <v>275.66331818086405</v>
      </c>
      <c r="S121" s="62">
        <f ca="1">AVERAGE(OFFSET($R$3,0,0,'Données projet'!$E$9+1,1))-AVERAGE(OFFSET($H$3,0,0,'Données projet'!$E$9+1,1))</f>
        <v>327.07074355218322</v>
      </c>
      <c r="T121" s="62">
        <f t="shared" si="88"/>
        <v>462.01668587029087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1.4075454298905035</v>
      </c>
      <c r="AA121" s="23">
        <f>EXP(-LN(2)/25)*AA120+(1-EXP(-LN(2)/25))/(LN(2)/25)*Calculateur!V121*Calculateur!X121*VLOOKUP('Données projet'!$B$9,Paramètres!$A$1:$I$89,3,0)*0.475*44/12</f>
        <v>0.71165107926937377</v>
      </c>
      <c r="AB121" s="23">
        <f>EXP(-LN(2)/2)*AB120+(1-EXP(-LN(2)/2))/(LN(2)/2)*V121*Y121*VLOOKUP('Données projet'!$B$9,Paramètres!$A$1:$I$89,3,0)*0.475*44/12</f>
        <v>3.3509822035892005E-17</v>
      </c>
      <c r="AC121" s="24">
        <f t="shared" si="57"/>
        <v>2.1191965091598775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499.92116338695428</v>
      </c>
      <c r="AO121" s="62">
        <f t="shared" si="90"/>
        <v>316.79403154855652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211.70619219850786</v>
      </c>
      <c r="BJ121" s="62">
        <f t="shared" si="92"/>
        <v>426.883837098247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17.293857504048262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1.5119493581952057E-11</v>
      </c>
      <c r="BS121" s="24">
        <f t="shared" si="63"/>
        <v>17.293857504063382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1.8001173884840681E-13</v>
      </c>
      <c r="P122" s="14">
        <f t="shared" si="87"/>
        <v>2.5254331426407198E-12</v>
      </c>
      <c r="Q122" s="22">
        <f t="shared" si="107"/>
        <v>4.7119831685935622E-12</v>
      </c>
      <c r="R122" s="62">
        <f t="shared" si="55"/>
        <v>275.96985343952372</v>
      </c>
      <c r="S122" s="62">
        <f ca="1">AVERAGE(OFFSET($R$3,0,0,'Données projet'!$E$9+1,1))-AVERAGE(OFFSET($H$3,0,0,'Données projet'!$E$9+1,1))</f>
        <v>327.07074355218322</v>
      </c>
      <c r="T122" s="62">
        <f t="shared" si="88"/>
        <v>462.01668587029087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1.3799443225282912</v>
      </c>
      <c r="AA122" s="23">
        <f>EXP(-LN(2)/25)*AA121+(1-EXP(-LN(2)/25))/(LN(2)/25)*Calculateur!V122*Calculateur!X122*VLOOKUP('Données projet'!$B$9,Paramètres!$A$1:$I$89,3,0)*0.475*44/12</f>
        <v>0.69219094308264895</v>
      </c>
      <c r="AB122" s="23">
        <f>EXP(-LN(2)/2)*AB121+(1-EXP(-LN(2)/2))/(LN(2)/2)*V122*Y122*VLOOKUP('Données projet'!$B$9,Paramètres!$A$1:$I$89,3,0)*0.475*44/12</f>
        <v>2.3695022397933637E-17</v>
      </c>
      <c r="AC122" s="24">
        <f t="shared" si="57"/>
        <v>2.0721352656109402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499.92116338695428</v>
      </c>
      <c r="AO122" s="62">
        <f t="shared" si="90"/>
        <v>316.79403154855652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211.70619219850786</v>
      </c>
      <c r="BJ122" s="62">
        <f t="shared" si="92"/>
        <v>426.883837098247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16.954735506605402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1.0691096439904783E-11</v>
      </c>
      <c r="BS122" s="24">
        <f t="shared" si="63"/>
        <v>16.954735506616093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1.8001173884840681E-13</v>
      </c>
      <c r="P123" s="14">
        <f t="shared" si="87"/>
        <v>2.5254331426407198E-12</v>
      </c>
      <c r="Q123" s="22">
        <f t="shared" si="107"/>
        <v>4.7119831685935622E-12</v>
      </c>
      <c r="R123" s="62">
        <f t="shared" si="55"/>
        <v>276.2710709967559</v>
      </c>
      <c r="S123" s="62">
        <f ca="1">AVERAGE(OFFSET($R$3,0,0,'Données projet'!$E$9+1,1))-AVERAGE(OFFSET($H$3,0,0,'Données projet'!$E$9+1,1))</f>
        <v>327.07074355218322</v>
      </c>
      <c r="T123" s="62">
        <f t="shared" si="88"/>
        <v>462.01668587029087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1.3528844560464388</v>
      </c>
      <c r="AA123" s="23">
        <f>EXP(-LN(2)/25)*AA122+(1-EXP(-LN(2)/25))/(LN(2)/25)*Calculateur!V123*Calculateur!X123*VLOOKUP('Données projet'!$B$9,Paramètres!$A$1:$I$89,3,0)*0.475*44/12</f>
        <v>0.67326294534331421</v>
      </c>
      <c r="AB123" s="23">
        <f>EXP(-LN(2)/2)*AB122+(1-EXP(-LN(2)/2))/(LN(2)/2)*V123*Y123*VLOOKUP('Données projet'!$B$9,Paramètres!$A$1:$I$89,3,0)*0.475*44/12</f>
        <v>1.6754911017946003E-17</v>
      </c>
      <c r="AC123" s="24">
        <f t="shared" si="57"/>
        <v>2.0261474013897529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499.92116338695428</v>
      </c>
      <c r="AO123" s="62">
        <f t="shared" si="90"/>
        <v>316.79403154855652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211.70619219850786</v>
      </c>
      <c r="BJ123" s="62">
        <f t="shared" si="92"/>
        <v>426.883837098247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16.622263484688403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7.5597467909760283E-12</v>
      </c>
      <c r="BS123" s="24">
        <f t="shared" si="63"/>
        <v>16.622263484695964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1.8001173884840681E-13</v>
      </c>
      <c r="P124" s="14">
        <f t="shared" si="87"/>
        <v>2.5254331426407198E-12</v>
      </c>
      <c r="Q124" s="22">
        <f t="shared" si="107"/>
        <v>4.7119831685935622E-12</v>
      </c>
      <c r="R124" s="62">
        <f t="shared" si="55"/>
        <v>276.56706310279162</v>
      </c>
      <c r="S124" s="62">
        <f ca="1">AVERAGE(OFFSET($R$3,0,0,'Données projet'!$E$9+1,1))-AVERAGE(OFFSET($H$3,0,0,'Données projet'!$E$9+1,1))</f>
        <v>327.07074355218322</v>
      </c>
      <c r="T124" s="62">
        <f t="shared" si="88"/>
        <v>462.01668587029087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1.3263552170414068</v>
      </c>
      <c r="AA124" s="23">
        <f>EXP(-LN(2)/25)*AA123+(1-EXP(-LN(2)/25))/(LN(2)/25)*Calculateur!V124*Calculateur!X124*VLOOKUP('Données projet'!$B$9,Paramètres!$A$1:$I$89,3,0)*0.475*44/12</f>
        <v>0.65485253469754179</v>
      </c>
      <c r="AB124" s="23">
        <f>EXP(-LN(2)/2)*AB123+(1-EXP(-LN(2)/2))/(LN(2)/2)*V124*Y124*VLOOKUP('Données projet'!$B$9,Paramètres!$A$1:$I$89,3,0)*0.475*44/12</f>
        <v>1.1847511198966818E-17</v>
      </c>
      <c r="AC124" s="24">
        <f t="shared" si="57"/>
        <v>1.9812077517389486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499.92116338695428</v>
      </c>
      <c r="AO124" s="62">
        <f t="shared" si="90"/>
        <v>316.79403154855652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211.70619219850786</v>
      </c>
      <c r="BJ124" s="62">
        <f t="shared" si="92"/>
        <v>426.883837098247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16.296311036333289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5.3455482199523914E-12</v>
      </c>
      <c r="BS124" s="24">
        <f t="shared" si="63"/>
        <v>16.296311036338636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1.8001173884840681E-13</v>
      </c>
      <c r="P125" s="14">
        <f t="shared" si="87"/>
        <v>2.5254331426407198E-12</v>
      </c>
      <c r="Q125" s="22">
        <f t="shared" si="107"/>
        <v>4.7119831685935622E-12</v>
      </c>
      <c r="R125" s="62">
        <f t="shared" si="55"/>
        <v>276.85792040752688</v>
      </c>
      <c r="S125" s="62">
        <f ca="1">AVERAGE(OFFSET($R$3,0,0,'Données projet'!$E$9+1,1))-AVERAGE(OFFSET($H$3,0,0,'Données projet'!$E$9+1,1))</f>
        <v>327.07074355218322</v>
      </c>
      <c r="T125" s="62">
        <f t="shared" si="88"/>
        <v>462.01668587029087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1.3003462002320254</v>
      </c>
      <c r="AA125" s="23">
        <f>EXP(-LN(2)/25)*AA124+(1-EXP(-LN(2)/25))/(LN(2)/25)*Calculateur!V125*Calculateur!X125*VLOOKUP('Données projet'!$B$9,Paramètres!$A$1:$I$89,3,0)*0.475*44/12</f>
        <v>0.63694555769903938</v>
      </c>
      <c r="AB125" s="23">
        <f>EXP(-LN(2)/2)*AB124+(1-EXP(-LN(2)/2))/(LN(2)/2)*V125*Y125*VLOOKUP('Données projet'!$B$9,Paramètres!$A$1:$I$89,3,0)*0.475*44/12</f>
        <v>8.3774555089730013E-18</v>
      </c>
      <c r="AC125" s="24">
        <f t="shared" si="57"/>
        <v>1.9372917579310647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499.92116338695428</v>
      </c>
      <c r="AO125" s="62">
        <f t="shared" si="90"/>
        <v>316.79403154855652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211.70619219850786</v>
      </c>
      <c r="BJ125" s="62">
        <f t="shared" si="92"/>
        <v>426.883837098247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15.976750316679055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3.7798733954880142E-12</v>
      </c>
      <c r="BS125" s="24">
        <f t="shared" si="63"/>
        <v>15.976750316682836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1.8001173884840681E-13</v>
      </c>
      <c r="P126" s="14">
        <f t="shared" si="87"/>
        <v>2.5254331426407198E-12</v>
      </c>
      <c r="Q126" s="22">
        <f t="shared" si="107"/>
        <v>4.7119831685935622E-12</v>
      </c>
      <c r="R126" s="62">
        <f t="shared" si="55"/>
        <v>277.14373198828446</v>
      </c>
      <c r="S126" s="62">
        <f ca="1">AVERAGE(OFFSET($R$3,0,0,'Données projet'!$E$9+1,1))-AVERAGE(OFFSET($H$3,0,0,'Données projet'!$E$9+1,1))</f>
        <v>327.07074355218322</v>
      </c>
      <c r="T126" s="62">
        <f t="shared" si="88"/>
        <v>462.01668587029087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1.2748472043783421</v>
      </c>
      <c r="AA126" s="23">
        <f>EXP(-LN(2)/25)*AA125+(1-EXP(-LN(2)/25))/(LN(2)/25)*Calculateur!V126*Calculateur!X126*VLOOKUP('Données projet'!$B$9,Paramètres!$A$1:$I$89,3,0)*0.475*44/12</f>
        <v>0.61952824792824801</v>
      </c>
      <c r="AB126" s="23">
        <f>EXP(-LN(2)/2)*AB125+(1-EXP(-LN(2)/2))/(LN(2)/2)*V126*Y126*VLOOKUP('Données projet'!$B$9,Paramètres!$A$1:$I$89,3,0)*0.475*44/12</f>
        <v>5.9237555994834092E-18</v>
      </c>
      <c r="AC126" s="24">
        <f t="shared" si="57"/>
        <v>1.8943754523065901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499.92116338695428</v>
      </c>
      <c r="AO126" s="62">
        <f t="shared" si="90"/>
        <v>316.79403154855652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211.70619219850786</v>
      </c>
      <c r="BJ126" s="62">
        <f t="shared" si="92"/>
        <v>426.883837098247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15.663455987824447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2.6727741099761957E-12</v>
      </c>
      <c r="BS126" s="24">
        <f t="shared" si="63"/>
        <v>15.66345598782712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1.8001173884840681E-13</v>
      </c>
      <c r="P127" s="14">
        <f t="shared" si="87"/>
        <v>2.5254331426407198E-12</v>
      </c>
      <c r="Q127" s="22">
        <f t="shared" si="107"/>
        <v>4.7119831685935622E-12</v>
      </c>
      <c r="R127" s="62">
        <f t="shared" si="55"/>
        <v>277.42458537709484</v>
      </c>
      <c r="S127" s="62">
        <f ca="1">AVERAGE(OFFSET($R$3,0,0,'Données projet'!$E$9+1,1))-AVERAGE(OFFSET($H$3,0,0,'Données projet'!$E$9+1,1))</f>
        <v>327.07074355218322</v>
      </c>
      <c r="T127" s="62">
        <f t="shared" si="88"/>
        <v>462.01668587029087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1.2498482282804979</v>
      </c>
      <c r="AA127" s="23">
        <f>EXP(-LN(2)/25)*AA126+(1-EXP(-LN(2)/25))/(LN(2)/25)*Calculateur!V127*Calculateur!X127*VLOOKUP('Données projet'!$B$9,Paramètres!$A$1:$I$89,3,0)*0.475*44/12</f>
        <v>0.60258721540907545</v>
      </c>
      <c r="AB127" s="23">
        <f>EXP(-LN(2)/2)*AB126+(1-EXP(-LN(2)/2))/(LN(2)/2)*V127*Y127*VLOOKUP('Données projet'!$B$9,Paramètres!$A$1:$I$89,3,0)*0.475*44/12</f>
        <v>4.1887277544865006E-18</v>
      </c>
      <c r="AC127" s="24">
        <f t="shared" si="57"/>
        <v>1.8524354436895734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499.92116338695428</v>
      </c>
      <c r="AO127" s="62">
        <f t="shared" si="90"/>
        <v>316.79403154855652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211.70619219850786</v>
      </c>
      <c r="BJ127" s="62">
        <f t="shared" si="92"/>
        <v>426.883837098247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15.356305169668007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1.8899366977440071E-12</v>
      </c>
      <c r="BS127" s="24">
        <f t="shared" si="63"/>
        <v>15.356305169669897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1.8001173884840681E-13</v>
      </c>
      <c r="P128" s="14">
        <f t="shared" si="87"/>
        <v>2.5254331426407198E-12</v>
      </c>
      <c r="Q128" s="22">
        <f t="shared" si="107"/>
        <v>4.7119831685935622E-12</v>
      </c>
      <c r="R128" s="62">
        <f t="shared" si="55"/>
        <v>277.70056658750349</v>
      </c>
      <c r="S128" s="62">
        <f ca="1">AVERAGE(OFFSET($R$3,0,0,'Données projet'!$E$9+1,1))-AVERAGE(OFFSET($H$3,0,0,'Données projet'!$E$9+1,1))</f>
        <v>327.07074355218322</v>
      </c>
      <c r="T128" s="62">
        <f t="shared" si="88"/>
        <v>462.01668587029087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1.2253394668560627</v>
      </c>
      <c r="AA128" s="23">
        <f>EXP(-LN(2)/25)*AA127+(1-EXP(-LN(2)/25))/(LN(2)/25)*Calculateur!V128*Calculateur!X128*VLOOKUP('Données projet'!$B$9,Paramètres!$A$1:$I$89,3,0)*0.475*44/12</f>
        <v>0.58610943631502987</v>
      </c>
      <c r="AB128" s="23">
        <f>EXP(-LN(2)/2)*AB127+(1-EXP(-LN(2)/2))/(LN(2)/2)*V128*Y128*VLOOKUP('Données projet'!$B$9,Paramètres!$A$1:$I$89,3,0)*0.475*44/12</f>
        <v>2.9618777997417046E-18</v>
      </c>
      <c r="AC128" s="24">
        <f t="shared" si="57"/>
        <v>1.8114489031710925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499.92116338695428</v>
      </c>
      <c r="AO128" s="62">
        <f t="shared" si="90"/>
        <v>316.79403154855652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211.70619219850786</v>
      </c>
      <c r="BJ128" s="62">
        <f t="shared" si="92"/>
        <v>426.883837098247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15.055177391712114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1.3363870549880978E-12</v>
      </c>
      <c r="BS128" s="24">
        <f t="shared" si="63"/>
        <v>15.05517739171345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1.8001173884840681E-13</v>
      </c>
      <c r="P129" s="14">
        <f t="shared" si="87"/>
        <v>2.5254331426407198E-12</v>
      </c>
      <c r="Q129" s="22">
        <f t="shared" si="107"/>
        <v>4.7119831685935622E-12</v>
      </c>
      <c r="R129" s="62">
        <f t="shared" si="55"/>
        <v>277.97176014091309</v>
      </c>
      <c r="S129" s="62">
        <f ca="1">AVERAGE(OFFSET($R$3,0,0,'Données projet'!$E$9+1,1))-AVERAGE(OFFSET($H$3,0,0,'Données projet'!$E$9+1,1))</f>
        <v>327.07074355218322</v>
      </c>
      <c r="T129" s="62">
        <f t="shared" si="88"/>
        <v>462.01668587029087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1.201311307294292</v>
      </c>
      <c r="AA129" s="23">
        <f>EXP(-LN(2)/25)*AA128+(1-EXP(-LN(2)/25))/(LN(2)/25)*Calculateur!V129*Calculateur!X129*VLOOKUP('Données projet'!$B$9,Paramètres!$A$1:$I$89,3,0)*0.475*44/12</f>
        <v>0.57008224295683974</v>
      </c>
      <c r="AB129" s="23">
        <f>EXP(-LN(2)/2)*AB128+(1-EXP(-LN(2)/2))/(LN(2)/2)*V129*Y129*VLOOKUP('Données projet'!$B$9,Paramètres!$A$1:$I$89,3,0)*0.475*44/12</f>
        <v>2.0943638772432503E-18</v>
      </c>
      <c r="AC129" s="24">
        <f t="shared" si="57"/>
        <v>1.7713935502511318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499.92116338695428</v>
      </c>
      <c r="AO129" s="62">
        <f t="shared" si="90"/>
        <v>316.79403154855652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211.70619219850786</v>
      </c>
      <c r="BJ129" s="62">
        <f t="shared" si="92"/>
        <v>426.883837098247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14.759954545812127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9.4496834887200354E-13</v>
      </c>
      <c r="BS129" s="24">
        <f t="shared" si="63"/>
        <v>14.759954545813072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1.8001173884840681E-13</v>
      </c>
      <c r="P130" s="14">
        <f t="shared" si="87"/>
        <v>2.5254331426407198E-12</v>
      </c>
      <c r="Q130" s="22">
        <f t="shared" si="107"/>
        <v>4.7119831685935622E-12</v>
      </c>
      <c r="R130" s="62">
        <f t="shared" si="55"/>
        <v>278.238249092469</v>
      </c>
      <c r="S130" s="62">
        <f ca="1">AVERAGE(OFFSET($R$3,0,0,'Données projet'!$E$9+1,1))-AVERAGE(OFFSET($H$3,0,0,'Données projet'!$E$9+1,1))</f>
        <v>327.07074355218322</v>
      </c>
      <c r="T130" s="62">
        <f t="shared" si="88"/>
        <v>462.01668587029087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1.1777543252857976</v>
      </c>
      <c r="AA130" s="23">
        <f>EXP(-LN(2)/25)*AA129+(1-EXP(-LN(2)/25))/(LN(2)/25)*Calculateur!V130*Calculateur!X130*VLOOKUP('Données projet'!$B$9,Paramètres!$A$1:$I$89,3,0)*0.475*44/12</f>
        <v>0.55449331404386271</v>
      </c>
      <c r="AB130" s="23">
        <f>EXP(-LN(2)/2)*AB129+(1-EXP(-LN(2)/2))/(LN(2)/2)*V130*Y130*VLOOKUP('Données projet'!$B$9,Paramètres!$A$1:$I$89,3,0)*0.475*44/12</f>
        <v>1.4809388998708523E-18</v>
      </c>
      <c r="AC130" s="24">
        <f t="shared" si="57"/>
        <v>1.7322476393296604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499.92116338695428</v>
      </c>
      <c r="AO130" s="62">
        <f t="shared" si="90"/>
        <v>316.79403154855652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211.70619219850786</v>
      </c>
      <c r="BJ130" s="62">
        <f t="shared" si="92"/>
        <v>426.883837098247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14.470520839852083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6.6819352749404892E-13</v>
      </c>
      <c r="BS130" s="24">
        <f t="shared" si="63"/>
        <v>14.470520839852751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1.8001173884840681E-13</v>
      </c>
      <c r="P131" s="14">
        <f t="shared" si="87"/>
        <v>2.5254331426407198E-12</v>
      </c>
      <c r="Q131" s="22">
        <f t="shared" ref="Q131:Q153" si="108">(O131+P131)*0.475*44/12</f>
        <v>4.7119831685935622E-12</v>
      </c>
      <c r="R131" s="62">
        <f t="shared" ref="R131:R194" si="109">Q131+(I131+J131)*44/12</f>
        <v>278.50011505649547</v>
      </c>
      <c r="S131" s="62">
        <f ca="1">AVERAGE(OFFSET($R$3,0,0,'Données projet'!$E$9+1,1))-AVERAGE(OFFSET($H$3,0,0,'Données projet'!$E$9+1,1))</f>
        <v>327.07074355218322</v>
      </c>
      <c r="T131" s="62">
        <f t="shared" si="88"/>
        <v>462.01668587029087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1.1546592813261494</v>
      </c>
      <c r="AA131" s="23">
        <f>EXP(-LN(2)/25)*AA130+(1-EXP(-LN(2)/25))/(LN(2)/25)*Calculateur!V131*Calculateur!X131*VLOOKUP('Données projet'!$B$9,Paramètres!$A$1:$I$89,3,0)*0.475*44/12</f>
        <v>0.53933066521179718</v>
      </c>
      <c r="AB131" s="23">
        <f>EXP(-LN(2)/2)*AB130+(1-EXP(-LN(2)/2))/(LN(2)/2)*V131*Y131*VLOOKUP('Données projet'!$B$9,Paramètres!$A$1:$I$89,3,0)*0.475*44/12</f>
        <v>1.0471819386216252E-18</v>
      </c>
      <c r="AC131" s="24">
        <f t="shared" si="57"/>
        <v>1.6939899465379464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499.92116338695428</v>
      </c>
      <c r="AO131" s="62">
        <f t="shared" si="90"/>
        <v>316.79403154855652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211.70619219850786</v>
      </c>
      <c r="BJ131" s="62">
        <f t="shared" si="92"/>
        <v>426.883837098247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14.186762752328788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4.7248417443600177E-13</v>
      </c>
      <c r="BS131" s="24">
        <f t="shared" si="63"/>
        <v>14.18676275232926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1.8001173884840681E-13</v>
      </c>
      <c r="P132" s="14">
        <f t="shared" si="87"/>
        <v>2.5254331426407198E-12</v>
      </c>
      <c r="Q132" s="22">
        <f t="shared" si="108"/>
        <v>4.7119831685935622E-12</v>
      </c>
      <c r="R132" s="62">
        <f t="shared" si="109"/>
        <v>278.75743823149065</v>
      </c>
      <c r="S132" s="62">
        <f ca="1">AVERAGE(OFFSET($R$3,0,0,'Données projet'!$E$9+1,1))-AVERAGE(OFFSET($H$3,0,0,'Données projet'!$E$9+1,1))</f>
        <v>327.07074355218322</v>
      </c>
      <c r="T132" s="62">
        <f t="shared" si="88"/>
        <v>462.01668587029087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1.132017117091964</v>
      </c>
      <c r="AA132" s="23">
        <f>EXP(-LN(2)/25)*AA131+(1-EXP(-LN(2)/25))/(LN(2)/25)*Calculateur!V132*Calculateur!X132*VLOOKUP('Données projet'!$B$9,Paramètres!$A$1:$I$89,3,0)*0.475*44/12</f>
        <v>0.52458263980941355</v>
      </c>
      <c r="AB132" s="23">
        <f>EXP(-LN(2)/2)*AB131+(1-EXP(-LN(2)/2))/(LN(2)/2)*V132*Y132*VLOOKUP('Données projet'!$B$9,Paramètres!$A$1:$I$89,3,0)*0.475*44/12</f>
        <v>7.4046944993542615E-19</v>
      </c>
      <c r="AC132" s="24">
        <f t="shared" ref="AC132:AC153" si="111">SUM(Z132:AB132)</f>
        <v>1.6565997569013775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499.92116338695428</v>
      </c>
      <c r="AO132" s="62">
        <f t="shared" si="90"/>
        <v>316.79403154855652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211.70619219850786</v>
      </c>
      <c r="BJ132" s="62">
        <f t="shared" si="92"/>
        <v>426.883837098247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13.908568987826479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3.3409676374702446E-13</v>
      </c>
      <c r="BS132" s="24">
        <f t="shared" ref="BS132:BS153" si="117">SUM(BP132:BR132)</f>
        <v>13.908568987826813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1.8001173884840681E-13</v>
      </c>
      <c r="P133" s="14">
        <f t="shared" ref="P133:P196" si="141">EXP(-1.0587+0.8836*LN(O133)+0.284)</f>
        <v>2.5254331426407198E-12</v>
      </c>
      <c r="Q133" s="22">
        <f t="shared" si="108"/>
        <v>4.7119831685935622E-12</v>
      </c>
      <c r="R133" s="62">
        <f t="shared" si="109"/>
        <v>279.01029742468813</v>
      </c>
      <c r="S133" s="62">
        <f ca="1">AVERAGE(OFFSET($R$3,0,0,'Données projet'!$E$9+1,1))-AVERAGE(OFFSET($H$3,0,0,'Données projet'!$E$9+1,1))</f>
        <v>327.07074355218322</v>
      </c>
      <c r="T133" s="62">
        <f t="shared" ref="T133:T196" si="142">$T$3</f>
        <v>462.01668587029087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1.1098189518880546</v>
      </c>
      <c r="AA133" s="23">
        <f>EXP(-LN(2)/25)*AA132+(1-EXP(-LN(2)/25))/(LN(2)/25)*Calculateur!V133*Calculateur!X133*VLOOKUP('Données projet'!$B$9,Paramètres!$A$1:$I$89,3,0)*0.475*44/12</f>
        <v>0.51023789993722302</v>
      </c>
      <c r="AB133" s="23">
        <f>EXP(-LN(2)/2)*AB132+(1-EXP(-LN(2)/2))/(LN(2)/2)*V133*Y133*VLOOKUP('Données projet'!$B$9,Paramètres!$A$1:$I$89,3,0)*0.475*44/12</f>
        <v>5.2359096931081258E-19</v>
      </c>
      <c r="AC133" s="24">
        <f t="shared" si="111"/>
        <v>1.6200568518252776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499.92116338695428</v>
      </c>
      <c r="AO133" s="62">
        <f t="shared" ref="AO133:AO196" si="144">$AO$3</f>
        <v>316.79403154855652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211.70619219850786</v>
      </c>
      <c r="BJ133" s="62">
        <f t="shared" ref="BJ133:BJ196" si="146">$BJ$3</f>
        <v>426.883837098247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13.635830433364619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2.3624208721800089E-13</v>
      </c>
      <c r="BS133" s="24">
        <f t="shared" si="117"/>
        <v>13.635830433364855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1.8001173884840681E-13</v>
      </c>
      <c r="P134" s="14">
        <f t="shared" si="141"/>
        <v>2.5254331426407198E-12</v>
      </c>
      <c r="Q134" s="22">
        <f t="shared" si="108"/>
        <v>4.7119831685935622E-12</v>
      </c>
      <c r="R134" s="62">
        <f t="shared" si="109"/>
        <v>279.25877007619209</v>
      </c>
      <c r="S134" s="62">
        <f ca="1">AVERAGE(OFFSET($R$3,0,0,'Données projet'!$E$9+1,1))-AVERAGE(OFFSET($H$3,0,0,'Données projet'!$E$9+1,1))</f>
        <v>327.07074355218322</v>
      </c>
      <c r="T134" s="62">
        <f t="shared" si="142"/>
        <v>462.01668587029087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1.08805607916425</v>
      </c>
      <c r="AA134" s="23">
        <f>EXP(-LN(2)/25)*AA133+(1-EXP(-LN(2)/25))/(LN(2)/25)*Calculateur!V134*Calculateur!X134*VLOOKUP('Données projet'!$B$9,Paramètres!$A$1:$I$89,3,0)*0.475*44/12</f>
        <v>0.49628541773119467</v>
      </c>
      <c r="AB134" s="23">
        <f>EXP(-LN(2)/2)*AB133+(1-EXP(-LN(2)/2))/(LN(2)/2)*V134*Y134*VLOOKUP('Données projet'!$B$9,Paramètres!$A$1:$I$89,3,0)*0.475*44/12</f>
        <v>3.7023472496771307E-19</v>
      </c>
      <c r="AC134" s="24">
        <f t="shared" si="111"/>
        <v>1.5843414968954446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499.92116338695428</v>
      </c>
      <c r="AO134" s="62">
        <f t="shared" si="144"/>
        <v>316.79403154855652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211.70619219850786</v>
      </c>
      <c r="BJ134" s="62">
        <f t="shared" si="146"/>
        <v>426.883837098247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13.368440115601665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1.6704838187351223E-13</v>
      </c>
      <c r="BS134" s="24">
        <f t="shared" si="117"/>
        <v>13.368440115601832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1.8001173884840681E-13</v>
      </c>
      <c r="P135" s="14">
        <f t="shared" si="141"/>
        <v>2.5254331426407198E-12</v>
      </c>
      <c r="Q135" s="22">
        <f t="shared" si="108"/>
        <v>4.7119831685935622E-12</v>
      </c>
      <c r="R135" s="62">
        <f t="shared" si="109"/>
        <v>279.50293228269413</v>
      </c>
      <c r="S135" s="62">
        <f ca="1">AVERAGE(OFFSET($R$3,0,0,'Données projet'!$E$9+1,1))-AVERAGE(OFFSET($H$3,0,0,'Données projet'!$E$9+1,1))</f>
        <v>327.07074355218322</v>
      </c>
      <c r="T135" s="62">
        <f t="shared" si="142"/>
        <v>462.01668587029087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1.0667199631005175</v>
      </c>
      <c r="AA135" s="23">
        <f>EXP(-LN(2)/25)*AA134+(1-EXP(-LN(2)/25))/(LN(2)/25)*Calculateur!V135*Calculateur!X135*VLOOKUP('Données projet'!$B$9,Paramètres!$A$1:$I$89,3,0)*0.475*44/12</f>
        <v>0.48271446688481928</v>
      </c>
      <c r="AB135" s="23">
        <f>EXP(-LN(2)/2)*AB134+(1-EXP(-LN(2)/2))/(LN(2)/2)*V135*Y135*VLOOKUP('Données projet'!$B$9,Paramètres!$A$1:$I$89,3,0)*0.475*44/12</f>
        <v>2.6179548465540629E-19</v>
      </c>
      <c r="AC135" s="24">
        <f t="shared" si="111"/>
        <v>1.5494344299853369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499.92116338695428</v>
      </c>
      <c r="AO135" s="62">
        <f t="shared" si="144"/>
        <v>316.79403154855652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211.70619219850786</v>
      </c>
      <c r="BJ135" s="62">
        <f t="shared" si="146"/>
        <v>426.883837098247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13.106293158878051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1.1812104360900044E-13</v>
      </c>
      <c r="BS135" s="24">
        <f t="shared" si="117"/>
        <v>13.106293158878168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1.8001173884840681E-13</v>
      </c>
      <c r="P136" s="14">
        <f t="shared" si="141"/>
        <v>2.5254331426407198E-12</v>
      </c>
      <c r="Q136" s="22">
        <f t="shared" si="108"/>
        <v>4.7119831685935622E-12</v>
      </c>
      <c r="R136" s="62">
        <f t="shared" si="109"/>
        <v>279.74285882077822</v>
      </c>
      <c r="S136" s="62">
        <f ca="1">AVERAGE(OFFSET($R$3,0,0,'Données projet'!$E$9+1,1))-AVERAGE(OFFSET($H$3,0,0,'Données projet'!$E$9+1,1))</f>
        <v>327.07074355218322</v>
      </c>
      <c r="T136" s="62">
        <f t="shared" si="142"/>
        <v>462.01668587029087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1.045802235259049</v>
      </c>
      <c r="AA136" s="23">
        <f>EXP(-LN(2)/25)*AA135+(1-EXP(-LN(2)/25))/(LN(2)/25)*Calculateur!V136*Calculateur!X136*VLOOKUP('Données projet'!$B$9,Paramètres!$A$1:$I$89,3,0)*0.475*44/12</f>
        <v>0.46951461440300335</v>
      </c>
      <c r="AB136" s="23">
        <f>EXP(-LN(2)/2)*AB135+(1-EXP(-LN(2)/2))/(LN(2)/2)*V136*Y136*VLOOKUP('Données projet'!$B$9,Paramètres!$A$1:$I$89,3,0)*0.475*44/12</f>
        <v>1.8511736248385654E-19</v>
      </c>
      <c r="AC136" s="24">
        <f t="shared" si="111"/>
        <v>1.5153168496620524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499.92116338695428</v>
      </c>
      <c r="AO136" s="62">
        <f t="shared" si="144"/>
        <v>316.79403154855652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211.70619219850786</v>
      </c>
      <c r="BJ136" s="62">
        <f t="shared" si="146"/>
        <v>426.883837098247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12.849286744081933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8.3524190936756116E-14</v>
      </c>
      <c r="BS136" s="24">
        <f t="shared" si="117"/>
        <v>12.849286744082017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1.8001173884840681E-13</v>
      </c>
      <c r="P137" s="14">
        <f t="shared" si="141"/>
        <v>2.5254331426407198E-12</v>
      </c>
      <c r="Q137" s="22">
        <f t="shared" si="108"/>
        <v>4.7119831685935622E-12</v>
      </c>
      <c r="R137" s="62">
        <f t="shared" si="109"/>
        <v>279.97862316982196</v>
      </c>
      <c r="S137" s="62">
        <f ca="1">AVERAGE(OFFSET($R$3,0,0,'Données projet'!$E$9+1,1))-AVERAGE(OFFSET($H$3,0,0,'Données projet'!$E$9+1,1))</f>
        <v>327.07074355218322</v>
      </c>
      <c r="T137" s="62">
        <f t="shared" si="142"/>
        <v>462.01668587029087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1.0252946913019976</v>
      </c>
      <c r="AA137" s="23">
        <f>EXP(-LN(2)/25)*AA136+(1-EXP(-LN(2)/25))/(LN(2)/25)*Calculateur!V137*Calculateur!X137*VLOOKUP('Données projet'!$B$9,Paramètres!$A$1:$I$89,3,0)*0.475*44/12</f>
        <v>0.45667571258145273</v>
      </c>
      <c r="AB137" s="23">
        <f>EXP(-LN(2)/2)*AB136+(1-EXP(-LN(2)/2))/(LN(2)/2)*V137*Y137*VLOOKUP('Données projet'!$B$9,Paramètres!$A$1:$I$89,3,0)*0.475*44/12</f>
        <v>1.3089774232770314E-19</v>
      </c>
      <c r="AC137" s="24">
        <f t="shared" si="111"/>
        <v>1.4819704038834502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499.92116338695428</v>
      </c>
      <c r="AO137" s="62">
        <f t="shared" si="144"/>
        <v>316.79403154855652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211.70619219850786</v>
      </c>
      <c r="BJ137" s="62">
        <f t="shared" si="146"/>
        <v>426.883837098247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12.597320068321531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5.9060521804500221E-14</v>
      </c>
      <c r="BS137" s="24">
        <f t="shared" si="117"/>
        <v>12.59732006832159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1.8001173884840681E-13</v>
      </c>
      <c r="P138" s="14">
        <f t="shared" si="141"/>
        <v>2.5254331426407198E-12</v>
      </c>
      <c r="Q138" s="22">
        <f t="shared" si="108"/>
        <v>4.7119831685935622E-12</v>
      </c>
      <c r="R138" s="62">
        <f t="shared" si="109"/>
        <v>280.21029753449989</v>
      </c>
      <c r="S138" s="62">
        <f ca="1">AVERAGE(OFFSET($R$3,0,0,'Données projet'!$E$9+1,1))-AVERAGE(OFFSET($H$3,0,0,'Données projet'!$E$9+1,1))</f>
        <v>327.07074355218322</v>
      </c>
      <c r="T138" s="62">
        <f t="shared" si="142"/>
        <v>462.01668587029087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1.0051892877735771</v>
      </c>
      <c r="AA138" s="23">
        <f>EXP(-LN(2)/25)*AA137+(1-EXP(-LN(2)/25))/(LN(2)/25)*Calculateur!V138*Calculateur!X138*VLOOKUP('Données projet'!$B$9,Paramètres!$A$1:$I$89,3,0)*0.475*44/12</f>
        <v>0.44418789120538094</v>
      </c>
      <c r="AB138" s="23">
        <f>EXP(-LN(2)/2)*AB137+(1-EXP(-LN(2)/2))/(LN(2)/2)*V138*Y138*VLOOKUP('Données projet'!$B$9,Paramètres!$A$1:$I$89,3,0)*0.475*44/12</f>
        <v>9.2558681241928268E-20</v>
      </c>
      <c r="AC138" s="24">
        <f t="shared" si="111"/>
        <v>1.449377178978958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499.92116338695428</v>
      </c>
      <c r="AO138" s="62">
        <f t="shared" si="144"/>
        <v>316.79403154855652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211.70619219850786</v>
      </c>
      <c r="BJ138" s="62">
        <f t="shared" si="146"/>
        <v>426.883837098247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12.350294305388294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4.1762095468378058E-14</v>
      </c>
      <c r="BS138" s="24">
        <f t="shared" si="117"/>
        <v>12.350294305388337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1.8001173884840681E-13</v>
      </c>
      <c r="P139" s="14">
        <f t="shared" si="141"/>
        <v>2.5254331426407198E-12</v>
      </c>
      <c r="Q139" s="22">
        <f t="shared" si="108"/>
        <v>4.7119831685935622E-12</v>
      </c>
      <c r="R139" s="62">
        <f t="shared" si="109"/>
        <v>280.43795286689686</v>
      </c>
      <c r="S139" s="62">
        <f ca="1">AVERAGE(OFFSET($R$3,0,0,'Données projet'!$E$9+1,1))-AVERAGE(OFFSET($H$3,0,0,'Données projet'!$E$9+1,1))</f>
        <v>327.07074355218322</v>
      </c>
      <c r="T139" s="62">
        <f t="shared" si="142"/>
        <v>462.01668587029087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0.9854781389452637</v>
      </c>
      <c r="AA139" s="23">
        <f>EXP(-LN(2)/25)*AA138+(1-EXP(-LN(2)/25))/(LN(2)/25)*Calculateur!V139*Calculateur!X139*VLOOKUP('Données projet'!$B$9,Paramètres!$A$1:$I$89,3,0)*0.475*44/12</f>
        <v>0.43204154996154381</v>
      </c>
      <c r="AB139" s="23">
        <f>EXP(-LN(2)/2)*AB138+(1-EXP(-LN(2)/2))/(LN(2)/2)*V139*Y139*VLOOKUP('Données projet'!$B$9,Paramètres!$A$1:$I$89,3,0)*0.475*44/12</f>
        <v>6.5448871163851572E-20</v>
      </c>
      <c r="AC139" s="24">
        <f t="shared" si="111"/>
        <v>1.4175196889068076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499.92116338695428</v>
      </c>
      <c r="AO139" s="62">
        <f t="shared" si="144"/>
        <v>316.79403154855652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211.70619219850786</v>
      </c>
      <c r="BJ139" s="62">
        <f t="shared" si="146"/>
        <v>426.883837098247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12.10811256699534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2.9530260902250111E-14</v>
      </c>
      <c r="BS139" s="24">
        <f t="shared" si="117"/>
        <v>12.10811256699537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1.8001173884840681E-13</v>
      </c>
      <c r="P140" s="14">
        <f t="shared" si="141"/>
        <v>2.5254331426407198E-12</v>
      </c>
      <c r="Q140" s="22">
        <f t="shared" si="108"/>
        <v>4.7119831685935622E-12</v>
      </c>
      <c r="R140" s="62">
        <f t="shared" si="109"/>
        <v>280.66165888823792</v>
      </c>
      <c r="S140" s="62">
        <f ca="1">AVERAGE(OFFSET($R$3,0,0,'Données projet'!$E$9+1,1))-AVERAGE(OFFSET($H$3,0,0,'Données projet'!$E$9+1,1))</f>
        <v>327.07074355218322</v>
      </c>
      <c r="T140" s="62">
        <f t="shared" si="142"/>
        <v>462.01668587029087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0.96615351372285985</v>
      </c>
      <c r="AA140" s="23">
        <f>EXP(-LN(2)/25)*AA139+(1-EXP(-LN(2)/25))/(LN(2)/25)*Calculateur!V140*Calculateur!X140*VLOOKUP('Données projet'!$B$9,Paramètres!$A$1:$I$89,3,0)*0.475*44/12</f>
        <v>0.42022735105776771</v>
      </c>
      <c r="AB140" s="23">
        <f>EXP(-LN(2)/2)*AB139+(1-EXP(-LN(2)/2))/(LN(2)/2)*V140*Y140*VLOOKUP('Données projet'!$B$9,Paramètres!$A$1:$I$89,3,0)*0.475*44/12</f>
        <v>4.6279340620964134E-20</v>
      </c>
      <c r="AC140" s="24">
        <f t="shared" si="111"/>
        <v>1.3863808647806275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499.92116338695428</v>
      </c>
      <c r="AO140" s="62">
        <f t="shared" si="144"/>
        <v>316.79403154855652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211.70619219850786</v>
      </c>
      <c r="BJ140" s="62">
        <f t="shared" si="146"/>
        <v>426.883837098247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11.870679864775997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2.0881047734189029E-14</v>
      </c>
      <c r="BS140" s="24">
        <f t="shared" si="117"/>
        <v>11.870679864776019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1.8001173884840681E-13</v>
      </c>
      <c r="P141" s="14">
        <f t="shared" si="141"/>
        <v>2.5254331426407198E-12</v>
      </c>
      <c r="Q141" s="22">
        <f t="shared" si="108"/>
        <v>4.7119831685935622E-12</v>
      </c>
      <c r="R141" s="62">
        <f t="shared" si="109"/>
        <v>280.88148411024042</v>
      </c>
      <c r="S141" s="62">
        <f ca="1">AVERAGE(OFFSET($R$3,0,0,'Données projet'!$E$9+1,1))-AVERAGE(OFFSET($H$3,0,0,'Données projet'!$E$9+1,1))</f>
        <v>327.07074355218322</v>
      </c>
      <c r="T141" s="62">
        <f t="shared" si="142"/>
        <v>462.01668587029087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0.94720783261420982</v>
      </c>
      <c r="AA141" s="23">
        <f>EXP(-LN(2)/25)*AA140+(1-EXP(-LN(2)/25))/(LN(2)/25)*Calculateur!V141*Calculateur!X141*VLOOKUP('Données projet'!$B$9,Paramètres!$A$1:$I$89,3,0)*0.475*44/12</f>
        <v>0.40873621204429711</v>
      </c>
      <c r="AB141" s="23">
        <f>EXP(-LN(2)/2)*AB140+(1-EXP(-LN(2)/2))/(LN(2)/2)*V141*Y141*VLOOKUP('Données projet'!$B$9,Paramètres!$A$1:$I$89,3,0)*0.475*44/12</f>
        <v>3.2724435581925786E-20</v>
      </c>
      <c r="AC141" s="24">
        <f t="shared" si="111"/>
        <v>1.3559440446585069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499.92116338695428</v>
      </c>
      <c r="AO141" s="62">
        <f t="shared" si="144"/>
        <v>316.79403154855652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211.70619219850786</v>
      </c>
      <c r="BJ141" s="62">
        <f t="shared" si="146"/>
        <v>426.883837098247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11.637903073027527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1.4765130451125055E-14</v>
      </c>
      <c r="BS141" s="24">
        <f t="shared" si="117"/>
        <v>11.637903073027541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1.8001173884840681E-13</v>
      </c>
      <c r="P142" s="14">
        <f t="shared" si="141"/>
        <v>2.5254331426407198E-12</v>
      </c>
      <c r="Q142" s="22">
        <f t="shared" si="108"/>
        <v>4.7119831685935622E-12</v>
      </c>
      <c r="R142" s="62">
        <f t="shared" si="109"/>
        <v>281.09749585609677</v>
      </c>
      <c r="S142" s="62">
        <f ca="1">AVERAGE(OFFSET($R$3,0,0,'Données projet'!$E$9+1,1))-AVERAGE(OFFSET($H$3,0,0,'Données projet'!$E$9+1,1))</f>
        <v>327.07074355218322</v>
      </c>
      <c r="T142" s="62">
        <f t="shared" si="142"/>
        <v>462.01668587029087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0.92863366475637599</v>
      </c>
      <c r="AA142" s="23">
        <f>EXP(-LN(2)/25)*AA141+(1-EXP(-LN(2)/25))/(LN(2)/25)*Calculateur!V142*Calculateur!X142*VLOOKUP('Données projet'!$B$9,Paramètres!$A$1:$I$89,3,0)*0.475*44/12</f>
        <v>0.39755929883144259</v>
      </c>
      <c r="AB142" s="23">
        <f>EXP(-LN(2)/2)*AB141+(1-EXP(-LN(2)/2))/(LN(2)/2)*V142*Y142*VLOOKUP('Données projet'!$B$9,Paramètres!$A$1:$I$89,3,0)*0.475*44/12</f>
        <v>2.3139670310482067E-20</v>
      </c>
      <c r="AC142" s="24">
        <f t="shared" si="111"/>
        <v>1.3261929635878187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499.92116338695428</v>
      </c>
      <c r="AO142" s="62">
        <f t="shared" si="144"/>
        <v>316.79403154855652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211.70619219850786</v>
      </c>
      <c r="BJ142" s="62">
        <f t="shared" si="146"/>
        <v>426.883837098247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11.40969089218542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1.0440523867094514E-14</v>
      </c>
      <c r="BS142" s="24">
        <f t="shared" si="117"/>
        <v>11.409690892185431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1.8001173884840681E-13</v>
      </c>
      <c r="P143" s="14">
        <f t="shared" si="141"/>
        <v>2.5254331426407198E-12</v>
      </c>
      <c r="Q143" s="22">
        <f t="shared" si="108"/>
        <v>4.7119831685935622E-12</v>
      </c>
      <c r="R143" s="62">
        <f t="shared" si="109"/>
        <v>281.30976028109245</v>
      </c>
      <c r="S143" s="62">
        <f ca="1">AVERAGE(OFFSET($R$3,0,0,'Données projet'!$E$9+1,1))-AVERAGE(OFFSET($H$3,0,0,'Données projet'!$E$9+1,1))</f>
        <v>327.07074355218322</v>
      </c>
      <c r="T143" s="62">
        <f t="shared" si="142"/>
        <v>462.01668587029087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0.91042372500111057</v>
      </c>
      <c r="AA143" s="23">
        <f>EXP(-LN(2)/25)*AA142+(1-EXP(-LN(2)/25))/(LN(2)/25)*Calculateur!V143*Calculateur!X143*VLOOKUP('Données projet'!$B$9,Paramètres!$A$1:$I$89,3,0)*0.475*44/12</f>
        <v>0.3866880188981619</v>
      </c>
      <c r="AB143" s="23">
        <f>EXP(-LN(2)/2)*AB142+(1-EXP(-LN(2)/2))/(LN(2)/2)*V143*Y143*VLOOKUP('Données projet'!$B$9,Paramètres!$A$1:$I$89,3,0)*0.475*44/12</f>
        <v>1.6362217790962893E-20</v>
      </c>
      <c r="AC143" s="24">
        <f t="shared" si="111"/>
        <v>1.2971117438992725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499.92116338695428</v>
      </c>
      <c r="AO143" s="62">
        <f t="shared" si="144"/>
        <v>316.79403154855652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211.70619219850786</v>
      </c>
      <c r="BJ143" s="62">
        <f t="shared" si="146"/>
        <v>426.883837098247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11.185953813013942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7.3825652255625277E-15</v>
      </c>
      <c r="BS143" s="24">
        <f t="shared" si="117"/>
        <v>11.185953813013949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1.8001173884840681E-13</v>
      </c>
      <c r="P144" s="14">
        <f t="shared" si="141"/>
        <v>2.5254331426407198E-12</v>
      </c>
      <c r="Q144" s="22">
        <f t="shared" si="108"/>
        <v>4.7119831685935622E-12</v>
      </c>
      <c r="R144" s="62">
        <f t="shared" si="109"/>
        <v>281.51834239286654</v>
      </c>
      <c r="S144" s="62">
        <f ca="1">AVERAGE(OFFSET($R$3,0,0,'Données projet'!$E$9+1,1))-AVERAGE(OFFSET($H$3,0,0,'Données projet'!$E$9+1,1))</f>
        <v>327.07074355218322</v>
      </c>
      <c r="T144" s="62">
        <f t="shared" si="142"/>
        <v>462.01668587029087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0.89257087105747934</v>
      </c>
      <c r="AA144" s="23">
        <f>EXP(-LN(2)/25)*AA143+(1-EXP(-LN(2)/25))/(LN(2)/25)*Calculateur!V144*Calculateur!X144*VLOOKUP('Données projet'!$B$9,Paramètres!$A$1:$I$89,3,0)*0.475*44/12</f>
        <v>0.37611401468635253</v>
      </c>
      <c r="AB144" s="23">
        <f>EXP(-LN(2)/2)*AB143+(1-EXP(-LN(2)/2))/(LN(2)/2)*V144*Y144*VLOOKUP('Données projet'!$B$9,Paramètres!$A$1:$I$89,3,0)*0.475*44/12</f>
        <v>1.1569835155241034E-20</v>
      </c>
      <c r="AC144" s="24">
        <f t="shared" si="111"/>
        <v>1.268684885743832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499.92116338695428</v>
      </c>
      <c r="AO144" s="62">
        <f t="shared" si="144"/>
        <v>316.79403154855652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211.70619219850786</v>
      </c>
      <c r="BJ144" s="62">
        <f t="shared" si="146"/>
        <v>426.883837098247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10.966604081498874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5.2202619335472572E-15</v>
      </c>
      <c r="BS144" s="24">
        <f t="shared" si="117"/>
        <v>10.966604081498879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1.8001173884840681E-13</v>
      </c>
      <c r="P145" s="14">
        <f t="shared" si="141"/>
        <v>2.5254331426407198E-12</v>
      </c>
      <c r="Q145" s="22">
        <f t="shared" si="108"/>
        <v>4.7119831685935622E-12</v>
      </c>
      <c r="R145" s="62">
        <f t="shared" si="109"/>
        <v>281.72330607132119</v>
      </c>
      <c r="S145" s="62">
        <f ca="1">AVERAGE(OFFSET($R$3,0,0,'Données projet'!$E$9+1,1))-AVERAGE(OFFSET($H$3,0,0,'Données projet'!$E$9+1,1))</f>
        <v>327.07074355218322</v>
      </c>
      <c r="T145" s="62">
        <f t="shared" si="142"/>
        <v>462.01668587029087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0.8750681006905171</v>
      </c>
      <c r="AA145" s="23">
        <f>EXP(-LN(2)/25)*AA144+(1-EXP(-LN(2)/25))/(LN(2)/25)*Calculateur!V145*Calculateur!X145*VLOOKUP('Données projet'!$B$9,Paramètres!$A$1:$I$89,3,0)*0.475*44/12</f>
        <v>0.3658291571757778</v>
      </c>
      <c r="AB145" s="23">
        <f>EXP(-LN(2)/2)*AB144+(1-EXP(-LN(2)/2))/(LN(2)/2)*V145*Y145*VLOOKUP('Données projet'!$B$9,Paramètres!$A$1:$I$89,3,0)*0.475*44/12</f>
        <v>8.1811088954814466E-21</v>
      </c>
      <c r="AC145" s="24">
        <f t="shared" si="111"/>
        <v>1.2408972578662949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499.92116338695428</v>
      </c>
      <c r="AO145" s="62">
        <f t="shared" si="144"/>
        <v>316.79403154855652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211.70619219850786</v>
      </c>
      <c r="BJ145" s="62">
        <f t="shared" si="146"/>
        <v>426.883837098247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10.75155566442869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3.6912826127812638E-15</v>
      </c>
      <c r="BS145" s="24">
        <f t="shared" si="117"/>
        <v>10.751555664428693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1.8001173884840681E-13</v>
      </c>
      <c r="P146" s="14">
        <f t="shared" si="141"/>
        <v>2.5254331426407198E-12</v>
      </c>
      <c r="Q146" s="22">
        <f t="shared" si="108"/>
        <v>4.7119831685935622E-12</v>
      </c>
      <c r="R146" s="62">
        <f t="shared" si="109"/>
        <v>281.92471408818471</v>
      </c>
      <c r="S146" s="62">
        <f ca="1">AVERAGE(OFFSET($R$3,0,0,'Données projet'!$E$9+1,1))-AVERAGE(OFFSET($H$3,0,0,'Données projet'!$E$9+1,1))</f>
        <v>327.07074355218322</v>
      </c>
      <c r="T146" s="62">
        <f t="shared" si="142"/>
        <v>462.01668587029087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0.85790854897481517</v>
      </c>
      <c r="AA146" s="23">
        <f>EXP(-LN(2)/25)*AA145+(1-EXP(-LN(2)/25))/(LN(2)/25)*Calculateur!V146*Calculateur!X146*VLOOKUP('Données projet'!$B$9,Paramètres!$A$1:$I$89,3,0)*0.475*44/12</f>
        <v>0.35582553963468688</v>
      </c>
      <c r="AB146" s="23">
        <f>EXP(-LN(2)/2)*AB145+(1-EXP(-LN(2)/2))/(LN(2)/2)*V146*Y146*VLOOKUP('Données projet'!$B$9,Paramètres!$A$1:$I$89,3,0)*0.475*44/12</f>
        <v>5.7849175776205168E-21</v>
      </c>
      <c r="AC146" s="24">
        <f t="shared" si="111"/>
        <v>1.213734088609502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499.92116338695428</v>
      </c>
      <c r="AO146" s="62">
        <f t="shared" si="144"/>
        <v>316.79403154855652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211.70619219850786</v>
      </c>
      <c r="BJ146" s="62">
        <f t="shared" si="146"/>
        <v>426.883837098247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10.54072421565067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2.6101309667736286E-15</v>
      </c>
      <c r="BS146" s="24">
        <f t="shared" si="117"/>
        <v>10.540724215650672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1.8001173884840681E-13</v>
      </c>
      <c r="P147" s="14">
        <f t="shared" si="141"/>
        <v>2.5254331426407198E-12</v>
      </c>
      <c r="Q147" s="22">
        <f t="shared" si="108"/>
        <v>4.7119831685935622E-12</v>
      </c>
      <c r="R147" s="62">
        <f t="shared" si="109"/>
        <v>282.12262812623646</v>
      </c>
      <c r="S147" s="62">
        <f ca="1">AVERAGE(OFFSET($R$3,0,0,'Données projet'!$E$9+1,1))-AVERAGE(OFFSET($H$3,0,0,'Données projet'!$E$9+1,1))</f>
        <v>327.07074355218322</v>
      </c>
      <c r="T147" s="62">
        <f t="shared" si="142"/>
        <v>462.01668587029087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0.84108548560196505</v>
      </c>
      <c r="AA147" s="23">
        <f>EXP(-LN(2)/25)*AA146+(1-EXP(-LN(2)/25))/(LN(2)/25)*Calculateur!V147*Calculateur!X147*VLOOKUP('Données projet'!$B$9,Paramètres!$A$1:$I$89,3,0)*0.475*44/12</f>
        <v>0.34609547154132447</v>
      </c>
      <c r="AB147" s="23">
        <f>EXP(-LN(2)/2)*AB146+(1-EXP(-LN(2)/2))/(LN(2)/2)*V147*Y147*VLOOKUP('Données projet'!$B$9,Paramètres!$A$1:$I$89,3,0)*0.475*44/12</f>
        <v>4.0905544477407233E-21</v>
      </c>
      <c r="AC147" s="24">
        <f t="shared" si="111"/>
        <v>1.1871809571432896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499.92116338695428</v>
      </c>
      <c r="AO147" s="62">
        <f t="shared" si="144"/>
        <v>316.79403154855652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211.70619219850786</v>
      </c>
      <c r="BJ147" s="62">
        <f t="shared" si="146"/>
        <v>426.883837098247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10.3340270429887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1.8456413063906319E-15</v>
      </c>
      <c r="BS147" s="24">
        <f t="shared" si="117"/>
        <v>10.334027042988701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1.8001173884840681E-13</v>
      </c>
      <c r="P148" s="14">
        <f t="shared" si="141"/>
        <v>2.5254331426407198E-12</v>
      </c>
      <c r="Q148" s="22">
        <f t="shared" si="108"/>
        <v>4.7119831685935622E-12</v>
      </c>
      <c r="R148" s="62">
        <f t="shared" si="109"/>
        <v>282.31710879819769</v>
      </c>
      <c r="S148" s="62">
        <f ca="1">AVERAGE(OFFSET($R$3,0,0,'Données projet'!$E$9+1,1))-AVERAGE(OFFSET($H$3,0,0,'Données projet'!$E$9+1,1))</f>
        <v>327.07074355218322</v>
      </c>
      <c r="T148" s="62">
        <f t="shared" si="142"/>
        <v>462.01668587029087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0.8245923122408011</v>
      </c>
      <c r="AA148" s="23">
        <f>EXP(-LN(2)/25)*AA147+(1-EXP(-LN(2)/25))/(LN(2)/25)*Calculateur!V148*Calculateur!X148*VLOOKUP('Données projet'!$B$9,Paramètres!$A$1:$I$89,3,0)*0.475*44/12</f>
        <v>0.33663147267165711</v>
      </c>
      <c r="AB148" s="23">
        <f>EXP(-LN(2)/2)*AB147+(1-EXP(-LN(2)/2))/(LN(2)/2)*V148*Y148*VLOOKUP('Données projet'!$B$9,Paramètres!$A$1:$I$89,3,0)*0.475*44/12</f>
        <v>2.8924587888102584E-21</v>
      </c>
      <c r="AC148" s="24">
        <f t="shared" si="111"/>
        <v>1.1612237849124583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499.92116338695428</v>
      </c>
      <c r="AO148" s="62">
        <f t="shared" si="144"/>
        <v>316.79403154855652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211.70619219850786</v>
      </c>
      <c r="BJ148" s="62">
        <f t="shared" si="146"/>
        <v>426.883837098247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10.131383075809804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1.3050654833868143E-15</v>
      </c>
      <c r="BS148" s="24">
        <f t="shared" si="117"/>
        <v>10.131383075809806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1.8001173884840681E-13</v>
      </c>
      <c r="P149" s="14">
        <f t="shared" si="141"/>
        <v>2.5254331426407198E-12</v>
      </c>
      <c r="Q149" s="22">
        <f t="shared" si="108"/>
        <v>4.7119831685935622E-12</v>
      </c>
      <c r="R149" s="62">
        <f t="shared" si="109"/>
        <v>282.50821566529396</v>
      </c>
      <c r="S149" s="62">
        <f ca="1">AVERAGE(OFFSET($R$3,0,0,'Données projet'!$E$9+1,1))-AVERAGE(OFFSET($H$3,0,0,'Données projet'!$E$9+1,1))</f>
        <v>327.07074355218322</v>
      </c>
      <c r="T149" s="62">
        <f t="shared" si="142"/>
        <v>462.01668587029087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0.80842255994940715</v>
      </c>
      <c r="AA149" s="23">
        <f>EXP(-LN(2)/25)*AA148+(1-EXP(-LN(2)/25))/(LN(2)/25)*Calculateur!V149*Calculateur!X149*VLOOKUP('Données projet'!$B$9,Paramètres!$A$1:$I$89,3,0)*0.475*44/12</f>
        <v>0.32742626734877089</v>
      </c>
      <c r="AB149" s="23">
        <f>EXP(-LN(2)/2)*AB148+(1-EXP(-LN(2)/2))/(LN(2)/2)*V149*Y149*VLOOKUP('Données projet'!$B$9,Paramètres!$A$1:$I$89,3,0)*0.475*44/12</f>
        <v>2.0452772238703616E-21</v>
      </c>
      <c r="AC149" s="24">
        <f t="shared" si="111"/>
        <v>1.1358488272981782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499.92116338695428</v>
      </c>
      <c r="AO149" s="62">
        <f t="shared" si="144"/>
        <v>316.79403154855652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211.70619219850786</v>
      </c>
      <c r="BJ149" s="62">
        <f t="shared" si="146"/>
        <v>426.883837098247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9.9327128332266721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9.2282065319531596E-16</v>
      </c>
      <c r="BS149" s="24">
        <f t="shared" si="117"/>
        <v>9.9327128332266739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1.8001173884840681E-13</v>
      </c>
      <c r="P150" s="14">
        <f t="shared" si="141"/>
        <v>2.5254331426407198E-12</v>
      </c>
      <c r="Q150" s="22">
        <f t="shared" si="108"/>
        <v>4.7119831685935622E-12</v>
      </c>
      <c r="R150" s="62">
        <f t="shared" si="109"/>
        <v>282.69600725549702</v>
      </c>
      <c r="S150" s="62">
        <f ca="1">AVERAGE(OFFSET($R$3,0,0,'Données projet'!$E$9+1,1))-AVERAGE(OFFSET($H$3,0,0,'Données projet'!$E$9+1,1))</f>
        <v>327.07074355218322</v>
      </c>
      <c r="T150" s="62">
        <f t="shared" si="142"/>
        <v>462.01668587029087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0.79256988663787231</v>
      </c>
      <c r="AA150" s="23">
        <f>EXP(-LN(2)/25)*AA149+(1-EXP(-LN(2)/25))/(LN(2)/25)*Calculateur!V150*Calculateur!X150*VLOOKUP('Données projet'!$B$9,Paramètres!$A$1:$I$89,3,0)*0.475*44/12</f>
        <v>0.31847277884951969</v>
      </c>
      <c r="AB150" s="23">
        <f>EXP(-LN(2)/2)*AB149+(1-EXP(-LN(2)/2))/(LN(2)/2)*V150*Y150*VLOOKUP('Données projet'!$B$9,Paramètres!$A$1:$I$89,3,0)*0.475*44/12</f>
        <v>1.4462293944051292E-21</v>
      </c>
      <c r="AC150" s="24">
        <f t="shared" si="111"/>
        <v>1.1110426654873919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499.92116338695428</v>
      </c>
      <c r="AO150" s="62">
        <f t="shared" si="144"/>
        <v>316.79403154855652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211.70619219850786</v>
      </c>
      <c r="BJ150" s="62">
        <f t="shared" si="146"/>
        <v>426.883837098247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9.7379383929237129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6.5253274169340715E-16</v>
      </c>
      <c r="BS150" s="24">
        <f t="shared" si="117"/>
        <v>9.7379383929237129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1.8001173884840681E-13</v>
      </c>
      <c r="P151" s="14">
        <f t="shared" si="141"/>
        <v>2.5254331426407198E-12</v>
      </c>
      <c r="Q151" s="22">
        <f t="shared" si="108"/>
        <v>4.7119831685935622E-12</v>
      </c>
      <c r="R151" s="62">
        <f t="shared" si="109"/>
        <v>282.88054108144917</v>
      </c>
      <c r="S151" s="62">
        <f ca="1">AVERAGE(OFFSET($R$3,0,0,'Données projet'!$E$9+1,1))-AVERAGE(OFFSET($H$3,0,0,'Données projet'!$E$9+1,1))</f>
        <v>327.07074355218322</v>
      </c>
      <c r="T151" s="62">
        <f t="shared" si="142"/>
        <v>462.01668587029087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0.7770280745808007</v>
      </c>
      <c r="AA151" s="23">
        <f>EXP(-LN(2)/25)*AA150+(1-EXP(-LN(2)/25))/(LN(2)/25)*Calculateur!V151*Calculateur!X151*VLOOKUP('Données projet'!$B$9,Paramètres!$A$1:$I$89,3,0)*0.475*44/12</f>
        <v>0.30976412396412401</v>
      </c>
      <c r="AB151" s="23">
        <f>EXP(-LN(2)/2)*AB150+(1-EXP(-LN(2)/2))/(LN(2)/2)*V151*Y151*VLOOKUP('Données projet'!$B$9,Paramètres!$A$1:$I$89,3,0)*0.475*44/12</f>
        <v>1.0226386119351808E-21</v>
      </c>
      <c r="AC151" s="24">
        <f t="shared" si="111"/>
        <v>1.0867921985449247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499.92116338695428</v>
      </c>
      <c r="AO151" s="62">
        <f t="shared" si="144"/>
        <v>316.79403154855652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211.70619219850786</v>
      </c>
      <c r="BJ151" s="62">
        <f t="shared" si="146"/>
        <v>426.883837098247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9.5469833605944157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4.6141032659765798E-16</v>
      </c>
      <c r="BS151" s="24">
        <f t="shared" si="117"/>
        <v>9.5469833605944157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1.8001173884840681E-13</v>
      </c>
      <c r="P152" s="14">
        <f t="shared" si="141"/>
        <v>2.5254331426407198E-12</v>
      </c>
      <c r="Q152" s="22">
        <f t="shared" si="108"/>
        <v>4.7119831685935622E-12</v>
      </c>
      <c r="R152" s="62">
        <f t="shared" si="109"/>
        <v>283.06187365807688</v>
      </c>
      <c r="S152" s="62">
        <f ca="1">AVERAGE(OFFSET($R$3,0,0,'Données projet'!$E$9+1,1))-AVERAGE(OFFSET($H$3,0,0,'Données projet'!$E$9+1,1))</f>
        <v>327.07074355218322</v>
      </c>
      <c r="T152" s="62">
        <f t="shared" si="142"/>
        <v>462.01668587029087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0.76179102797859899</v>
      </c>
      <c r="AA152" s="23">
        <f>EXP(-LN(2)/25)*AA151+(1-EXP(-LN(2)/25))/(LN(2)/25)*Calculateur!V152*Calculateur!X152*VLOOKUP('Données projet'!$B$9,Paramètres!$A$1:$I$89,3,0)*0.475*44/12</f>
        <v>0.30129360770453772</v>
      </c>
      <c r="AB152" s="23">
        <f>EXP(-LN(2)/2)*AB151+(1-EXP(-LN(2)/2))/(LN(2)/2)*V152*Y152*VLOOKUP('Données projet'!$B$9,Paramètres!$A$1:$I$89,3,0)*0.475*44/12</f>
        <v>7.231146972025646E-22</v>
      </c>
      <c r="AC152" s="24">
        <f t="shared" si="111"/>
        <v>1.0630846356831367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499.92116338695428</v>
      </c>
      <c r="AO152" s="62">
        <f t="shared" si="144"/>
        <v>316.79403154855652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211.70619219850786</v>
      </c>
      <c r="BJ152" s="62">
        <f t="shared" si="146"/>
        <v>426.883837098247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9.359772839978028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3.2626637084670358E-16</v>
      </c>
      <c r="BS152" s="24">
        <f t="shared" si="117"/>
        <v>9.359772839978028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1.8001173884840681E-13</v>
      </c>
      <c r="P153" s="14">
        <f t="shared" si="141"/>
        <v>2.5254331426407198E-12</v>
      </c>
      <c r="Q153" s="22">
        <f t="shared" si="108"/>
        <v>4.7119831685935622E-12</v>
      </c>
      <c r="R153" s="62">
        <f t="shared" si="109"/>
        <v>283.24006051989903</v>
      </c>
      <c r="S153" s="62">
        <f ca="1">AVERAGE(OFFSET($R$3,0,0,'Données projet'!$E$9+1,1))-AVERAGE(OFFSET($H$3,0,0,'Données projet'!$E$9+1,1))</f>
        <v>327.07074355218322</v>
      </c>
      <c r="T153" s="62">
        <f t="shared" si="142"/>
        <v>462.01668587029087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0.74685277056658572</v>
      </c>
      <c r="AA153" s="23">
        <f>EXP(-LN(2)/25)*AA152+(1-EXP(-LN(2)/25))/(LN(2)/25)*Calculateur!V153*Calculateur!X153*VLOOKUP('Données projet'!$B$9,Paramètres!$A$1:$I$89,3,0)*0.475*44/12</f>
        <v>0.29305471815751494</v>
      </c>
      <c r="AB153" s="23">
        <f>EXP(-LN(2)/2)*AB152+(1-EXP(-LN(2)/2))/(LN(2)/2)*V153*Y153*VLOOKUP('Données projet'!$B$9,Paramètres!$A$1:$I$89,3,0)*0.475*44/12</f>
        <v>5.1131930596759041E-22</v>
      </c>
      <c r="AC153" s="24">
        <f t="shared" si="111"/>
        <v>1.0399074887241007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499.92116338695428</v>
      </c>
      <c r="AO153" s="62">
        <f t="shared" si="144"/>
        <v>316.79403154855652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211.70619219850786</v>
      </c>
      <c r="BJ153" s="62">
        <f t="shared" si="146"/>
        <v>426.883837098247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9.1762334034837849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2.3070516329882899E-16</v>
      </c>
      <c r="BS153" s="24">
        <f t="shared" si="117"/>
        <v>9.1762334034837849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1.8001173884840681E-13</v>
      </c>
      <c r="P154" s="14">
        <f t="shared" si="141"/>
        <v>2.5254331426407198E-12</v>
      </c>
      <c r="Q154" s="22">
        <f t="shared" ref="Q154:Q203" si="162">(O154+P154)*0.475*44/12</f>
        <v>4.7119831685935622E-12</v>
      </c>
      <c r="R154" s="62">
        <f t="shared" si="109"/>
        <v>283.41515623803468</v>
      </c>
      <c r="S154" s="62">
        <f ca="1">AVERAGE(OFFSET($R$3,0,0,'Données projet'!$E$9+1,1))-AVERAGE(OFFSET($H$3,0,0,'Données projet'!$E$9+1,1))</f>
        <v>327.07074355218322</v>
      </c>
      <c r="T154" s="62">
        <f t="shared" si="142"/>
        <v>462.01668587029087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0.73220744327098464</v>
      </c>
      <c r="AA154" s="23">
        <f>EXP(-LN(2)/25)*AA153+(1-EXP(-LN(2)/25))/(LN(2)/25)*Calculateur!V154*Calculateur!X154*VLOOKUP('Données projet'!$B$9,Paramètres!$A$1:$I$89,3,0)*0.475*44/12</f>
        <v>0.28504112147841987</v>
      </c>
      <c r="AB154" s="23">
        <f>EXP(-LN(2)/2)*AB153+(1-EXP(-LN(2)/2))/(LN(2)/2)*V154*Y154*VLOOKUP('Données projet'!$B$9,Paramètres!$A$1:$I$89,3,0)*0.475*44/12</f>
        <v>3.615573486012823E-22</v>
      </c>
      <c r="AC154" s="24">
        <f t="shared" ref="AC154:AC203" si="163">SUM(Z154:AB154)</f>
        <v>1.0172485647494045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499.92116338695428</v>
      </c>
      <c r="AO154" s="62">
        <f t="shared" si="144"/>
        <v>316.79403154855652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211.70619219850786</v>
      </c>
      <c r="BJ154" s="62">
        <f t="shared" si="146"/>
        <v>426.883837098247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8.9962930633911906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1.6313318542335179E-16</v>
      </c>
      <c r="BS154" s="24">
        <f t="shared" ref="BS154:BS203" si="169">SUM(BP154:BR154)</f>
        <v>8.9962930633911906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1.8001173884840681E-13</v>
      </c>
      <c r="P155" s="14">
        <f t="shared" si="141"/>
        <v>2.5254331426407198E-12</v>
      </c>
      <c r="Q155" s="22">
        <f t="shared" si="162"/>
        <v>4.7119831685935622E-12</v>
      </c>
      <c r="R155" s="62">
        <f t="shared" si="109"/>
        <v>283.5872144369161</v>
      </c>
      <c r="S155" s="62">
        <f ca="1">AVERAGE(OFFSET($R$3,0,0,'Données projet'!$E$9+1,1))-AVERAGE(OFFSET($H$3,0,0,'Données projet'!$E$9+1,1))</f>
        <v>327.07074355218322</v>
      </c>
      <c r="T155" s="62">
        <f t="shared" si="142"/>
        <v>462.01668587029087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0.7178493019108827</v>
      </c>
      <c r="AA155" s="23">
        <f>EXP(-LN(2)/25)*AA154+(1-EXP(-LN(2)/25))/(LN(2)/25)*Calculateur!V155*Calculateur!X155*VLOOKUP('Données projet'!$B$9,Paramètres!$A$1:$I$89,3,0)*0.475*44/12</f>
        <v>0.27724665702193135</v>
      </c>
      <c r="AB155" s="23">
        <f>EXP(-LN(2)/2)*AB154+(1-EXP(-LN(2)/2))/(LN(2)/2)*V155*Y155*VLOOKUP('Données projet'!$B$9,Paramètres!$A$1:$I$89,3,0)*0.475*44/12</f>
        <v>2.556596529837952E-22</v>
      </c>
      <c r="AC155" s="24">
        <f t="shared" si="163"/>
        <v>0.99509595893281411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499.92116338695428</v>
      </c>
      <c r="AO155" s="62">
        <f t="shared" si="144"/>
        <v>316.79403154855652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211.70619219850786</v>
      </c>
      <c r="BJ155" s="62">
        <f t="shared" si="146"/>
        <v>426.883837098247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8.8198812436150416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1.153525816494145E-16</v>
      </c>
      <c r="BS155" s="24">
        <f t="shared" si="169"/>
        <v>8.8198812436150416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1.8001173884840681E-13</v>
      </c>
      <c r="P156" s="14">
        <f t="shared" si="141"/>
        <v>2.5254331426407198E-12</v>
      </c>
      <c r="Q156" s="22">
        <f t="shared" si="162"/>
        <v>4.7119831685935622E-12</v>
      </c>
      <c r="R156" s="62">
        <f t="shared" si="109"/>
        <v>283.75628781071134</v>
      </c>
      <c r="S156" s="62">
        <f ca="1">AVERAGE(OFFSET($R$3,0,0,'Données projet'!$E$9+1,1))-AVERAGE(OFFSET($H$3,0,0,'Données projet'!$E$9+1,1))</f>
        <v>327.07074355218322</v>
      </c>
      <c r="T156" s="62">
        <f t="shared" si="142"/>
        <v>462.01668587029087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0.70377271494525084</v>
      </c>
      <c r="AA156" s="23">
        <f>EXP(-LN(2)/25)*AA155+(1-EXP(-LN(2)/25))/(LN(2)/25)*Calculateur!V156*Calculateur!X156*VLOOKUP('Données projet'!$B$9,Paramètres!$A$1:$I$89,3,0)*0.475*44/12</f>
        <v>0.26966533260589859</v>
      </c>
      <c r="AB156" s="23">
        <f>EXP(-LN(2)/2)*AB155+(1-EXP(-LN(2)/2))/(LN(2)/2)*V156*Y156*VLOOKUP('Données projet'!$B$9,Paramètres!$A$1:$I$89,3,0)*0.475*44/12</f>
        <v>1.8077867430064115E-22</v>
      </c>
      <c r="AC156" s="24">
        <f t="shared" si="163"/>
        <v>0.97343804755114949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499.92116338695428</v>
      </c>
      <c r="AO156" s="62">
        <f t="shared" si="144"/>
        <v>316.79403154855652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211.70619219850786</v>
      </c>
      <c r="BJ156" s="62">
        <f t="shared" si="146"/>
        <v>426.883837098247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8.6469287520241185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8.1566592711675894E-17</v>
      </c>
      <c r="BS156" s="24">
        <f t="shared" si="169"/>
        <v>8.6469287520241185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1.8001173884840681E-13</v>
      </c>
      <c r="P157" s="14">
        <f t="shared" si="141"/>
        <v>2.5254331426407198E-12</v>
      </c>
      <c r="Q157" s="22">
        <f t="shared" si="162"/>
        <v>4.7119831685935622E-12</v>
      </c>
      <c r="R157" s="62">
        <f t="shared" si="109"/>
        <v>283.9224281394628</v>
      </c>
      <c r="S157" s="62">
        <f ca="1">AVERAGE(OFFSET($R$3,0,0,'Données projet'!$E$9+1,1))-AVERAGE(OFFSET($H$3,0,0,'Données projet'!$E$9+1,1))</f>
        <v>327.07074355218322</v>
      </c>
      <c r="T157" s="62">
        <f t="shared" si="142"/>
        <v>462.01668587029087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0.68997216126414473</v>
      </c>
      <c r="AA157" s="23">
        <f>EXP(-LN(2)/25)*AA156+(1-EXP(-LN(2)/25))/(LN(2)/25)*Calculateur!V157*Calculateur!X157*VLOOKUP('Données projet'!$B$9,Paramètres!$A$1:$I$89,3,0)*0.475*44/12</f>
        <v>0.26229131990470678</v>
      </c>
      <c r="AB157" s="23">
        <f>EXP(-LN(2)/2)*AB156+(1-EXP(-LN(2)/2))/(LN(2)/2)*V157*Y157*VLOOKUP('Données projet'!$B$9,Paramètres!$A$1:$I$89,3,0)*0.475*44/12</f>
        <v>1.278298264918976E-22</v>
      </c>
      <c r="AC157" s="24">
        <f t="shared" si="163"/>
        <v>0.95226348116885151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499.92116338695428</v>
      </c>
      <c r="AO157" s="62">
        <f t="shared" si="144"/>
        <v>316.79403154855652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211.70619219850786</v>
      </c>
      <c r="BJ157" s="62">
        <f t="shared" si="146"/>
        <v>426.883837098247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8.4773677533026888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5.7676290824707248E-17</v>
      </c>
      <c r="BS157" s="24">
        <f t="shared" si="169"/>
        <v>8.4773677533026888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1.8001173884840681E-13</v>
      </c>
      <c r="P158" s="14">
        <f t="shared" si="141"/>
        <v>2.5254331426407198E-12</v>
      </c>
      <c r="Q158" s="22">
        <f t="shared" si="162"/>
        <v>4.7119831685935622E-12</v>
      </c>
      <c r="R158" s="62">
        <f t="shared" si="109"/>
        <v>284.08568630494449</v>
      </c>
      <c r="S158" s="62">
        <f ca="1">AVERAGE(OFFSET($R$3,0,0,'Données projet'!$E$9+1,1))-AVERAGE(OFFSET($H$3,0,0,'Données projet'!$E$9+1,1))</f>
        <v>327.07074355218322</v>
      </c>
      <c r="T158" s="62">
        <f t="shared" si="142"/>
        <v>462.01668587029087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0.67644222802321863</v>
      </c>
      <c r="AA158" s="23">
        <f>EXP(-LN(2)/25)*AA157+(1-EXP(-LN(2)/25))/(LN(2)/25)*Calculateur!V158*Calculateur!X158*VLOOKUP('Données projet'!$B$9,Paramètres!$A$1:$I$89,3,0)*0.475*44/12</f>
        <v>0.25511894996861151</v>
      </c>
      <c r="AB158" s="23">
        <f>EXP(-LN(2)/2)*AB157+(1-EXP(-LN(2)/2))/(LN(2)/2)*V158*Y158*VLOOKUP('Données projet'!$B$9,Paramètres!$A$1:$I$89,3,0)*0.475*44/12</f>
        <v>9.0389337150320574E-23</v>
      </c>
      <c r="AC158" s="24">
        <f t="shared" si="163"/>
        <v>0.93156117799183014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499.92116338695428</v>
      </c>
      <c r="AO158" s="62">
        <f t="shared" si="144"/>
        <v>316.79403154855652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211.70619219850786</v>
      </c>
      <c r="BJ158" s="62">
        <f t="shared" si="146"/>
        <v>426.883837098247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8.3111317423441893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4.0783296355837947E-17</v>
      </c>
      <c r="BS158" s="24">
        <f t="shared" si="169"/>
        <v>8.3111317423441893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1.8001173884840681E-13</v>
      </c>
      <c r="P159" s="14">
        <f t="shared" si="141"/>
        <v>2.5254331426407198E-12</v>
      </c>
      <c r="Q159" s="22">
        <f t="shared" si="162"/>
        <v>4.7119831685935622E-12</v>
      </c>
      <c r="R159" s="62">
        <f t="shared" si="109"/>
        <v>284.24611230624566</v>
      </c>
      <c r="S159" s="62">
        <f ca="1">AVERAGE(OFFSET($R$3,0,0,'Données projet'!$E$9+1,1))-AVERAGE(OFFSET($H$3,0,0,'Données projet'!$E$9+1,1))</f>
        <v>327.07074355218322</v>
      </c>
      <c r="T159" s="62">
        <f t="shared" si="142"/>
        <v>462.01668587029087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0.66317760852070262</v>
      </c>
      <c r="AA159" s="23">
        <f>EXP(-LN(2)/25)*AA158+(1-EXP(-LN(2)/25))/(LN(2)/25)*Calculateur!V159*Calculateur!X159*VLOOKUP('Données projet'!$B$9,Paramètres!$A$1:$I$89,3,0)*0.475*44/12</f>
        <v>0.24814270886559733</v>
      </c>
      <c r="AB159" s="23">
        <f>EXP(-LN(2)/2)*AB158+(1-EXP(-LN(2)/2))/(LN(2)/2)*V159*Y159*VLOOKUP('Données projet'!$B$9,Paramètres!$A$1:$I$89,3,0)*0.475*44/12</f>
        <v>6.3914913245948801E-23</v>
      </c>
      <c r="AC159" s="24">
        <f t="shared" si="163"/>
        <v>0.91132031738629993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499.92116338695428</v>
      </c>
      <c r="AO159" s="62">
        <f t="shared" si="144"/>
        <v>316.79403154855652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211.70619219850786</v>
      </c>
      <c r="BJ159" s="62">
        <f t="shared" si="146"/>
        <v>426.883837098247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8.1481555181666323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2.8838145412353624E-17</v>
      </c>
      <c r="BS159" s="24">
        <f t="shared" si="169"/>
        <v>8.1481555181666323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1.8001173884840681E-13</v>
      </c>
      <c r="P160" s="14">
        <f t="shared" si="141"/>
        <v>2.5254331426407198E-12</v>
      </c>
      <c r="Q160" s="22">
        <f t="shared" si="162"/>
        <v>4.7119831685935622E-12</v>
      </c>
      <c r="R160" s="62">
        <f t="shared" si="109"/>
        <v>284.40375527508297</v>
      </c>
      <c r="S160" s="62">
        <f ca="1">AVERAGE(OFFSET($R$3,0,0,'Données projet'!$E$9+1,1))-AVERAGE(OFFSET($H$3,0,0,'Données projet'!$E$9+1,1))</f>
        <v>327.07074355218322</v>
      </c>
      <c r="T160" s="62">
        <f t="shared" si="142"/>
        <v>462.01668587029087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0.65017310011601193</v>
      </c>
      <c r="AA160" s="23">
        <f>EXP(-LN(2)/25)*AA159+(1-EXP(-LN(2)/25))/(LN(2)/25)*Calculateur!V160*Calculateur!X160*VLOOKUP('Données projet'!$B$9,Paramètres!$A$1:$I$89,3,0)*0.475*44/12</f>
        <v>0.24135723344240964</v>
      </c>
      <c r="AB160" s="23">
        <f>EXP(-LN(2)/2)*AB159+(1-EXP(-LN(2)/2))/(LN(2)/2)*V160*Y160*VLOOKUP('Données projet'!$B$9,Paramètres!$A$1:$I$89,3,0)*0.475*44/12</f>
        <v>4.5194668575160287E-23</v>
      </c>
      <c r="AC160" s="24">
        <f t="shared" si="163"/>
        <v>0.89153033355842159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499.92116338695428</v>
      </c>
      <c r="AO160" s="62">
        <f t="shared" si="144"/>
        <v>316.79403154855652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211.70619219850786</v>
      </c>
      <c r="BJ160" s="62">
        <f t="shared" si="146"/>
        <v>426.883837098247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7.9883751583395153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2.0391648177918974E-17</v>
      </c>
      <c r="BS160" s="24">
        <f t="shared" si="169"/>
        <v>7.9883751583395153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1.8001173884840681E-13</v>
      </c>
      <c r="P161" s="14">
        <f t="shared" si="141"/>
        <v>2.5254331426407198E-12</v>
      </c>
      <c r="Q161" s="22">
        <f t="shared" si="162"/>
        <v>4.7119831685935622E-12</v>
      </c>
      <c r="R161" s="62">
        <f t="shared" si="109"/>
        <v>284.55866349084795</v>
      </c>
      <c r="S161" s="62">
        <f ca="1">AVERAGE(OFFSET($R$3,0,0,'Données projet'!$E$9+1,1))-AVERAGE(OFFSET($H$3,0,0,'Données projet'!$E$9+1,1))</f>
        <v>327.07074355218322</v>
      </c>
      <c r="T161" s="62">
        <f t="shared" si="142"/>
        <v>462.01668587029087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0.63742360218917027</v>
      </c>
      <c r="AA161" s="23">
        <f>EXP(-LN(2)/25)*AA160+(1-EXP(-LN(2)/25))/(LN(2)/25)*Calculateur!V161*Calculateur!X161*VLOOKUP('Données projet'!$B$9,Paramètres!$A$1:$I$89,3,0)*0.475*44/12</f>
        <v>0.23475730720150167</v>
      </c>
      <c r="AB161" s="23">
        <f>EXP(-LN(2)/2)*AB160+(1-EXP(-LN(2)/2))/(LN(2)/2)*V161*Y161*VLOOKUP('Données projet'!$B$9,Paramètres!$A$1:$I$89,3,0)*0.475*44/12</f>
        <v>3.1957456622974401E-23</v>
      </c>
      <c r="AC161" s="24">
        <f t="shared" si="163"/>
        <v>0.87218090939067194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499.92116338695428</v>
      </c>
      <c r="AO161" s="62">
        <f t="shared" si="144"/>
        <v>316.79403154855652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211.70619219850786</v>
      </c>
      <c r="BJ161" s="62">
        <f t="shared" si="146"/>
        <v>426.883837098247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7.831727993912212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1.4419072706176812E-17</v>
      </c>
      <c r="BS161" s="24">
        <f t="shared" si="169"/>
        <v>7.831727993912212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1.8001173884840681E-13</v>
      </c>
      <c r="P162" s="14">
        <f t="shared" si="141"/>
        <v>2.5254331426407198E-12</v>
      </c>
      <c r="Q162" s="22">
        <f t="shared" si="162"/>
        <v>4.7119831685935622E-12</v>
      </c>
      <c r="R162" s="62">
        <f t="shared" si="109"/>
        <v>284.71088439539233</v>
      </c>
      <c r="S162" s="62">
        <f ca="1">AVERAGE(OFFSET($R$3,0,0,'Données projet'!$E$9+1,1))-AVERAGE(OFFSET($H$3,0,0,'Données projet'!$E$9+1,1))</f>
        <v>327.07074355218322</v>
      </c>
      <c r="T162" s="62">
        <f t="shared" si="142"/>
        <v>462.01668587029087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0.62492411414024818</v>
      </c>
      <c r="AA162" s="23">
        <f>EXP(-LN(2)/25)*AA161+(1-EXP(-LN(2)/25))/(LN(2)/25)*Calculateur!V162*Calculateur!X162*VLOOKUP('Données projet'!$B$9,Paramètres!$A$1:$I$89,3,0)*0.475*44/12</f>
        <v>0.22833785629072637</v>
      </c>
      <c r="AB162" s="23">
        <f>EXP(-LN(2)/2)*AB161+(1-EXP(-LN(2)/2))/(LN(2)/2)*V162*Y162*VLOOKUP('Données projet'!$B$9,Paramètres!$A$1:$I$89,3,0)*0.475*44/12</f>
        <v>2.2597334287580144E-23</v>
      </c>
      <c r="AC162" s="24">
        <f t="shared" si="163"/>
        <v>0.85326197043097451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499.92116338695428</v>
      </c>
      <c r="AO162" s="62">
        <f t="shared" si="144"/>
        <v>316.79403154855652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211.70619219850786</v>
      </c>
      <c r="BJ162" s="62">
        <f t="shared" si="146"/>
        <v>426.883837098247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7.6781525848339918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1.0195824088959487E-17</v>
      </c>
      <c r="BS162" s="24">
        <f t="shared" si="169"/>
        <v>7.6781525848339918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1.8001173884840681E-13</v>
      </c>
      <c r="P163" s="14">
        <f t="shared" si="141"/>
        <v>2.5254331426407198E-12</v>
      </c>
      <c r="Q163" s="22">
        <f t="shared" si="162"/>
        <v>4.7119831685935622E-12</v>
      </c>
      <c r="R163" s="62">
        <f t="shared" si="109"/>
        <v>284.86046460755767</v>
      </c>
      <c r="S163" s="62">
        <f ca="1">AVERAGE(OFFSET($R$3,0,0,'Données projet'!$E$9+1,1))-AVERAGE(OFFSET($H$3,0,0,'Données projet'!$E$9+1,1))</f>
        <v>327.07074355218322</v>
      </c>
      <c r="T163" s="62">
        <f t="shared" si="142"/>
        <v>462.01668587029087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0.61266973342803055</v>
      </c>
      <c r="AA163" s="23">
        <f>EXP(-LN(2)/25)*AA162+(1-EXP(-LN(2)/25))/(LN(2)/25)*Calculateur!V163*Calculateur!X163*VLOOKUP('Données projet'!$B$9,Paramètres!$A$1:$I$89,3,0)*0.475*44/12</f>
        <v>0.22209394560269047</v>
      </c>
      <c r="AB163" s="23">
        <f>EXP(-LN(2)/2)*AB162+(1-EXP(-LN(2)/2))/(LN(2)/2)*V163*Y163*VLOOKUP('Données projet'!$B$9,Paramètres!$A$1:$I$89,3,0)*0.475*44/12</f>
        <v>1.59787283114872E-23</v>
      </c>
      <c r="AC163" s="24">
        <f t="shared" si="163"/>
        <v>0.83476367903072102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499.92116338695428</v>
      </c>
      <c r="AO163" s="62">
        <f t="shared" si="144"/>
        <v>316.79403154855652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211.70619219850786</v>
      </c>
      <c r="BJ163" s="62">
        <f t="shared" si="146"/>
        <v>426.883837098247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7.5275886958560454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7.2095363530884059E-18</v>
      </c>
      <c r="BS163" s="24">
        <f t="shared" si="169"/>
        <v>7.5275886958560454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1.8001173884840681E-13</v>
      </c>
      <c r="P164" s="14">
        <f t="shared" si="141"/>
        <v>2.5254331426407198E-12</v>
      </c>
      <c r="Q164" s="22">
        <f t="shared" si="162"/>
        <v>4.7119831685935622E-12</v>
      </c>
      <c r="R164" s="62">
        <f t="shared" si="109"/>
        <v>285.00744993745332</v>
      </c>
      <c r="S164" s="62">
        <f ca="1">AVERAGE(OFFSET($R$3,0,0,'Données projet'!$E$9+1,1))-AVERAGE(OFFSET($H$3,0,0,'Données projet'!$E$9+1,1))</f>
        <v>327.07074355218322</v>
      </c>
      <c r="T164" s="62">
        <f t="shared" si="142"/>
        <v>462.01668587029087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0.60065565364714524</v>
      </c>
      <c r="AA164" s="23">
        <f>EXP(-LN(2)/25)*AA163+(1-EXP(-LN(2)/25))/(LN(2)/25)*Calculateur!V164*Calculateur!X164*VLOOKUP('Données projet'!$B$9,Paramètres!$A$1:$I$89,3,0)*0.475*44/12</f>
        <v>0.21602077498077191</v>
      </c>
      <c r="AB164" s="23">
        <f>EXP(-LN(2)/2)*AB163+(1-EXP(-LN(2)/2))/(LN(2)/2)*V164*Y164*VLOOKUP('Données projet'!$B$9,Paramètres!$A$1:$I$89,3,0)*0.475*44/12</f>
        <v>1.1298667143790072E-23</v>
      </c>
      <c r="AC164" s="24">
        <f t="shared" si="163"/>
        <v>0.81667642862791712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499.92116338695428</v>
      </c>
      <c r="AO164" s="62">
        <f t="shared" si="144"/>
        <v>316.79403154855652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211.70619219850786</v>
      </c>
      <c r="BJ164" s="62">
        <f t="shared" si="146"/>
        <v>426.883837098247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7.3799772729060518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5.0979120444797434E-18</v>
      </c>
      <c r="BS164" s="24">
        <f t="shared" si="169"/>
        <v>7.3799772729060518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1.8001173884840681E-13</v>
      </c>
      <c r="P165" s="14">
        <f t="shared" si="141"/>
        <v>2.5254331426407198E-12</v>
      </c>
      <c r="Q165" s="22">
        <f t="shared" si="162"/>
        <v>4.7119831685935622E-12</v>
      </c>
      <c r="R165" s="62">
        <f t="shared" si="109"/>
        <v>285.15188540048518</v>
      </c>
      <c r="S165" s="62">
        <f ca="1">AVERAGE(OFFSET($R$3,0,0,'Données projet'!$E$9+1,1))-AVERAGE(OFFSET($H$3,0,0,'Données projet'!$E$9+1,1))</f>
        <v>327.07074355218322</v>
      </c>
      <c r="T165" s="62">
        <f t="shared" si="142"/>
        <v>462.01668587029087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0.58887716264289802</v>
      </c>
      <c r="AA165" s="23">
        <f>EXP(-LN(2)/25)*AA164+(1-EXP(-LN(2)/25))/(LN(2)/25)*Calculateur!V165*Calculateur!X165*VLOOKUP('Données projet'!$B$9,Paramètres!$A$1:$I$89,3,0)*0.475*44/12</f>
        <v>0.21011367552888385</v>
      </c>
      <c r="AB165" s="23">
        <f>EXP(-LN(2)/2)*AB164+(1-EXP(-LN(2)/2))/(LN(2)/2)*V165*Y165*VLOOKUP('Données projet'!$B$9,Paramètres!$A$1:$I$89,3,0)*0.475*44/12</f>
        <v>7.9893641557436002E-24</v>
      </c>
      <c r="AC165" s="24">
        <f t="shared" si="163"/>
        <v>0.79899083817178185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499.92116338695428</v>
      </c>
      <c r="AO165" s="62">
        <f t="shared" si="144"/>
        <v>316.79403154855652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211.70619219850786</v>
      </c>
      <c r="BJ165" s="62">
        <f t="shared" si="146"/>
        <v>426.883837098247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7.2352604199260302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3.604768176544203E-18</v>
      </c>
      <c r="BS165" s="24">
        <f t="shared" si="169"/>
        <v>7.2352604199260302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1.8001173884840681E-13</v>
      </c>
      <c r="P166" s="14">
        <f t="shared" si="141"/>
        <v>2.5254331426407198E-12</v>
      </c>
      <c r="Q166" s="22">
        <f t="shared" si="162"/>
        <v>4.7119831685935622E-12</v>
      </c>
      <c r="R166" s="62">
        <f t="shared" si="109"/>
        <v>285.29381523114279</v>
      </c>
      <c r="S166" s="62">
        <f ca="1">AVERAGE(OFFSET($R$3,0,0,'Données projet'!$E$9+1,1))-AVERAGE(OFFSET($H$3,0,0,'Données projet'!$E$9+1,1))</f>
        <v>327.07074355218322</v>
      </c>
      <c r="T166" s="62">
        <f t="shared" si="142"/>
        <v>462.01668587029087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0.57732964066307402</v>
      </c>
      <c r="AA166" s="23">
        <f>EXP(-LN(2)/25)*AA165+(1-EXP(-LN(2)/25))/(LN(2)/25)*Calculateur!V166*Calculateur!X166*VLOOKUP('Données projet'!$B$9,Paramètres!$A$1:$I$89,3,0)*0.475*44/12</f>
        <v>0.20436810602214855</v>
      </c>
      <c r="AB166" s="23">
        <f>EXP(-LN(2)/2)*AB165+(1-EXP(-LN(2)/2))/(LN(2)/2)*V166*Y166*VLOOKUP('Données projet'!$B$9,Paramètres!$A$1:$I$89,3,0)*0.475*44/12</f>
        <v>5.6493335718950359E-24</v>
      </c>
      <c r="AC166" s="24">
        <f t="shared" si="163"/>
        <v>0.78169774668522263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499.92116338695428</v>
      </c>
      <c r="AO166" s="62">
        <f t="shared" si="144"/>
        <v>316.79403154855652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211.70619219850786</v>
      </c>
      <c r="BJ166" s="62">
        <f t="shared" si="146"/>
        <v>426.883837098247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7.0933813761643822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2.5489560222398717E-18</v>
      </c>
      <c r="BS166" s="24">
        <f t="shared" si="169"/>
        <v>7.0933813761643822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1.8001173884840681E-13</v>
      </c>
      <c r="P167" s="14">
        <f t="shared" si="141"/>
        <v>2.5254331426407198E-12</v>
      </c>
      <c r="Q167" s="22">
        <f t="shared" si="162"/>
        <v>4.7119831685935622E-12</v>
      </c>
      <c r="R167" s="62">
        <f t="shared" si="109"/>
        <v>285.43328289654607</v>
      </c>
      <c r="S167" s="62">
        <f ca="1">AVERAGE(OFFSET($R$3,0,0,'Données projet'!$E$9+1,1))-AVERAGE(OFFSET($H$3,0,0,'Données projet'!$E$9+1,1))</f>
        <v>327.07074355218322</v>
      </c>
      <c r="T167" s="62">
        <f t="shared" si="142"/>
        <v>462.01668587029087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0.56600855854598142</v>
      </c>
      <c r="AA167" s="23">
        <f>EXP(-LN(2)/25)*AA166+(1-EXP(-LN(2)/25))/(LN(2)/25)*Calculateur!V167*Calculateur!X167*VLOOKUP('Données projet'!$B$9,Paramètres!$A$1:$I$89,3,0)*0.475*44/12</f>
        <v>0.19877964941572129</v>
      </c>
      <c r="AB167" s="23">
        <f>EXP(-LN(2)/2)*AB166+(1-EXP(-LN(2)/2))/(LN(2)/2)*V167*Y167*VLOOKUP('Données projet'!$B$9,Paramètres!$A$1:$I$89,3,0)*0.475*44/12</f>
        <v>3.9946820778718001E-24</v>
      </c>
      <c r="AC167" s="24">
        <f t="shared" si="163"/>
        <v>0.76478820796170277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499.92116338695428</v>
      </c>
      <c r="AO167" s="62">
        <f t="shared" si="144"/>
        <v>316.79403154855652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211.70619219850786</v>
      </c>
      <c r="BJ167" s="62">
        <f t="shared" si="146"/>
        <v>426.883837098247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6.954284493913228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1.8023840882721015E-18</v>
      </c>
      <c r="BS167" s="24">
        <f t="shared" si="169"/>
        <v>6.954284493913228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1.8001173884840681E-13</v>
      </c>
      <c r="P168" s="14">
        <f t="shared" si="141"/>
        <v>2.5254331426407198E-12</v>
      </c>
      <c r="Q168" s="22">
        <f t="shared" si="162"/>
        <v>4.7119831685935622E-12</v>
      </c>
      <c r="R168" s="62">
        <f t="shared" si="109"/>
        <v>285.57033110975755</v>
      </c>
      <c r="S168" s="62">
        <f ca="1">AVERAGE(OFFSET($R$3,0,0,'Données projet'!$E$9+1,1))-AVERAGE(OFFSET($H$3,0,0,'Données projet'!$E$9+1,1))</f>
        <v>327.07074355218322</v>
      </c>
      <c r="T168" s="62">
        <f t="shared" si="142"/>
        <v>462.01668587029087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0.55490947594402673</v>
      </c>
      <c r="AA168" s="23">
        <f>EXP(-LN(2)/25)*AA167+(1-EXP(-LN(2)/25))/(LN(2)/25)*Calculateur!V168*Calculateur!X168*VLOOKUP('Données projet'!$B$9,Paramètres!$A$1:$I$89,3,0)*0.475*44/12</f>
        <v>0.19334400944908095</v>
      </c>
      <c r="AB168" s="23">
        <f>EXP(-LN(2)/2)*AB167+(1-EXP(-LN(2)/2))/(LN(2)/2)*V168*Y168*VLOOKUP('Données projet'!$B$9,Paramètres!$A$1:$I$89,3,0)*0.475*44/12</f>
        <v>2.824666785947518E-24</v>
      </c>
      <c r="AC168" s="24">
        <f t="shared" si="163"/>
        <v>0.74825348539310765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499.92116338695428</v>
      </c>
      <c r="AO168" s="62">
        <f t="shared" si="144"/>
        <v>316.79403154855652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211.70619219850786</v>
      </c>
      <c r="BJ168" s="62">
        <f t="shared" si="146"/>
        <v>426.883837098247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6.8179152166822981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1.2744780111199358E-18</v>
      </c>
      <c r="BS168" s="24">
        <f t="shared" si="169"/>
        <v>6.8179152166822981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1.8001173884840681E-13</v>
      </c>
      <c r="P169" s="14">
        <f t="shared" si="141"/>
        <v>2.5254331426407198E-12</v>
      </c>
      <c r="Q169" s="22">
        <f t="shared" si="162"/>
        <v>4.7119831685935622E-12</v>
      </c>
      <c r="R169" s="62">
        <f t="shared" si="109"/>
        <v>285.70500184286374</v>
      </c>
      <c r="S169" s="62">
        <f ca="1">AVERAGE(OFFSET($R$3,0,0,'Données projet'!$E$9+1,1))-AVERAGE(OFFSET($H$3,0,0,'Données projet'!$E$9+1,1))</f>
        <v>327.07074355218322</v>
      </c>
      <c r="T169" s="62">
        <f t="shared" si="142"/>
        <v>462.01668587029087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0.54402803958212442</v>
      </c>
      <c r="AA169" s="23">
        <f>EXP(-LN(2)/25)*AA168+(1-EXP(-LN(2)/25))/(LN(2)/25)*Calculateur!V169*Calculateur!X169*VLOOKUP('Données projet'!$B$9,Paramètres!$A$1:$I$89,3,0)*0.475*44/12</f>
        <v>0.18805700734317626</v>
      </c>
      <c r="AB169" s="23">
        <f>EXP(-LN(2)/2)*AB168+(1-EXP(-LN(2)/2))/(LN(2)/2)*V169*Y169*VLOOKUP('Données projet'!$B$9,Paramètres!$A$1:$I$89,3,0)*0.475*44/12</f>
        <v>1.9973410389359E-24</v>
      </c>
      <c r="AC169" s="24">
        <f t="shared" si="163"/>
        <v>0.73208504692530063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499.92116338695428</v>
      </c>
      <c r="AO169" s="62">
        <f t="shared" si="144"/>
        <v>316.79403154855652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211.70619219850786</v>
      </c>
      <c r="BJ169" s="62">
        <f t="shared" si="146"/>
        <v>426.883837098247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6.6842200578008208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9.0119204413605074E-19</v>
      </c>
      <c r="BS169" s="24">
        <f t="shared" si="169"/>
        <v>6.6842200578008208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1.8001173884840681E-13</v>
      </c>
      <c r="P170" s="14">
        <f t="shared" si="141"/>
        <v>2.5254331426407198E-12</v>
      </c>
      <c r="Q170" s="22">
        <f t="shared" si="162"/>
        <v>4.7119831685935622E-12</v>
      </c>
      <c r="R170" s="62">
        <f t="shared" si="109"/>
        <v>285.83733633982922</v>
      </c>
      <c r="S170" s="62">
        <f ca="1">AVERAGE(OFFSET($R$3,0,0,'Données projet'!$E$9+1,1))-AVERAGE(OFFSET($H$3,0,0,'Données projet'!$E$9+1,1))</f>
        <v>327.07074355218322</v>
      </c>
      <c r="T170" s="62">
        <f t="shared" si="142"/>
        <v>462.01668587029087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0.53335998155025821</v>
      </c>
      <c r="AA170" s="23">
        <f>EXP(-LN(2)/25)*AA169+(1-EXP(-LN(2)/25))/(LN(2)/25)*Calculateur!V170*Calculateur!X170*VLOOKUP('Données projet'!$B$9,Paramètres!$A$1:$I$89,3,0)*0.475*44/12</f>
        <v>0.1829145785878889</v>
      </c>
      <c r="AB170" s="23">
        <f>EXP(-LN(2)/2)*AB169+(1-EXP(-LN(2)/2))/(LN(2)/2)*V170*Y170*VLOOKUP('Données projet'!$B$9,Paramètres!$A$1:$I$89,3,0)*0.475*44/12</f>
        <v>1.412333392973759E-24</v>
      </c>
      <c r="AC170" s="24">
        <f t="shared" si="163"/>
        <v>0.71627456013814705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499.92116338695428</v>
      </c>
      <c r="AO170" s="62">
        <f t="shared" si="144"/>
        <v>316.79403154855652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211.70619219850786</v>
      </c>
      <c r="BJ170" s="62">
        <f t="shared" si="146"/>
        <v>426.883837098247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6.5531465794390149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6.3723900555996792E-19</v>
      </c>
      <c r="BS170" s="24">
        <f t="shared" si="169"/>
        <v>6.5531465794390149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1.8001173884840681E-13</v>
      </c>
      <c r="P171" s="14">
        <f t="shared" si="141"/>
        <v>2.5254331426407198E-12</v>
      </c>
      <c r="Q171" s="22">
        <f t="shared" si="162"/>
        <v>4.7119831685935622E-12</v>
      </c>
      <c r="R171" s="62">
        <f t="shared" si="109"/>
        <v>285.9673751291279</v>
      </c>
      <c r="S171" s="62">
        <f ca="1">AVERAGE(OFFSET($R$3,0,0,'Données projet'!$E$9+1,1))-AVERAGE(OFFSET($H$3,0,0,'Données projet'!$E$9+1,1))</f>
        <v>327.07074355218322</v>
      </c>
      <c r="T171" s="62">
        <f t="shared" si="142"/>
        <v>462.01668587029087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0.52290111762952396</v>
      </c>
      <c r="AA171" s="23">
        <f>EXP(-LN(2)/25)*AA170+(1-EXP(-LN(2)/25))/(LN(2)/25)*Calculateur!V171*Calculateur!X171*VLOOKUP('Données projet'!$B$9,Paramètres!$A$1:$I$89,3,0)*0.475*44/12</f>
        <v>0.17791276981734344</v>
      </c>
      <c r="AB171" s="23">
        <f>EXP(-LN(2)/2)*AB170+(1-EXP(-LN(2)/2))/(LN(2)/2)*V171*Y171*VLOOKUP('Données projet'!$B$9,Paramètres!$A$1:$I$89,3,0)*0.475*44/12</f>
        <v>9.9867051946795002E-25</v>
      </c>
      <c r="AC171" s="24">
        <f t="shared" si="163"/>
        <v>0.70081388744686746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499.92116338695428</v>
      </c>
      <c r="AO171" s="62">
        <f t="shared" si="144"/>
        <v>316.79403154855652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211.70619219850786</v>
      </c>
      <c r="BJ171" s="62">
        <f t="shared" si="146"/>
        <v>426.883837098247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6.4246433720409559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4.5059602206802537E-19</v>
      </c>
      <c r="BS171" s="24">
        <f t="shared" si="169"/>
        <v>6.4246433720409559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1.8001173884840681E-13</v>
      </c>
      <c r="P172" s="14">
        <f t="shared" si="141"/>
        <v>2.5254331426407198E-12</v>
      </c>
      <c r="Q172" s="22">
        <f t="shared" si="162"/>
        <v>4.7119831685935622E-12</v>
      </c>
      <c r="R172" s="62">
        <f t="shared" si="109"/>
        <v>286.09515803615545</v>
      </c>
      <c r="S172" s="62">
        <f ca="1">AVERAGE(OFFSET($R$3,0,0,'Données projet'!$E$9+1,1))-AVERAGE(OFFSET($H$3,0,0,'Données projet'!$E$9+1,1))</f>
        <v>327.07074355218322</v>
      </c>
      <c r="T172" s="62">
        <f t="shared" si="142"/>
        <v>462.01668587029087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0.51264734565099823</v>
      </c>
      <c r="AA172" s="23">
        <f>EXP(-LN(2)/25)*AA171+(1-EXP(-LN(2)/25))/(LN(2)/25)*Calculateur!V172*Calculateur!X172*VLOOKUP('Données projet'!$B$9,Paramètres!$A$1:$I$89,3,0)*0.475*44/12</f>
        <v>0.17304773577066224</v>
      </c>
      <c r="AB172" s="23">
        <f>EXP(-LN(2)/2)*AB171+(1-EXP(-LN(2)/2))/(LN(2)/2)*V172*Y172*VLOOKUP('Données projet'!$B$9,Paramètres!$A$1:$I$89,3,0)*0.475*44/12</f>
        <v>7.0616669648687949E-25</v>
      </c>
      <c r="AC172" s="24">
        <f t="shared" si="163"/>
        <v>0.68569508142166047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499.92116338695428</v>
      </c>
      <c r="AO172" s="62">
        <f t="shared" si="144"/>
        <v>316.79403154855652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211.70619219850786</v>
      </c>
      <c r="BJ172" s="62">
        <f t="shared" si="146"/>
        <v>426.883837098247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6.2986600341607559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3.1861950277998396E-19</v>
      </c>
      <c r="BS172" s="24">
        <f t="shared" si="169"/>
        <v>6.2986600341607559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1.8001173884840681E-13</v>
      </c>
      <c r="P173" s="14">
        <f t="shared" si="141"/>
        <v>2.5254331426407198E-12</v>
      </c>
      <c r="Q173" s="22">
        <f t="shared" si="162"/>
        <v>4.7119831685935622E-12</v>
      </c>
      <c r="R173" s="62">
        <f t="shared" si="109"/>
        <v>286.22072419542587</v>
      </c>
      <c r="S173" s="62">
        <f ca="1">AVERAGE(OFFSET($R$3,0,0,'Données projet'!$E$9+1,1))-AVERAGE(OFFSET($H$3,0,0,'Données projet'!$E$9+1,1))</f>
        <v>327.07074355218322</v>
      </c>
      <c r="T173" s="62">
        <f t="shared" si="142"/>
        <v>462.01668587029087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0.50259464388678798</v>
      </c>
      <c r="AA173" s="23">
        <f>EXP(-LN(2)/25)*AA172+(1-EXP(-LN(2)/25))/(LN(2)/25)*Calculateur!V173*Calculateur!X173*VLOOKUP('Données projet'!$B$9,Paramètres!$A$1:$I$89,3,0)*0.475*44/12</f>
        <v>0.16831573633582855</v>
      </c>
      <c r="AB173" s="23">
        <f>EXP(-LN(2)/2)*AB172+(1-EXP(-LN(2)/2))/(LN(2)/2)*V173*Y173*VLOOKUP('Données projet'!$B$9,Paramètres!$A$1:$I$89,3,0)*0.475*44/12</f>
        <v>4.9933525973397501E-25</v>
      </c>
      <c r="AC173" s="24">
        <f t="shared" si="163"/>
        <v>0.67091038022261651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499.92116338695428</v>
      </c>
      <c r="AO173" s="62">
        <f t="shared" si="144"/>
        <v>316.79403154855652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211.70619219850786</v>
      </c>
      <c r="BJ173" s="62">
        <f t="shared" si="146"/>
        <v>426.883837098247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6.1751471526941382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2.2529801103401269E-19</v>
      </c>
      <c r="BS173" s="24">
        <f t="shared" si="169"/>
        <v>6.1751471526941382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1.8001173884840681E-13</v>
      </c>
      <c r="P174" s="14">
        <f t="shared" si="141"/>
        <v>2.5254331426407198E-12</v>
      </c>
      <c r="Q174" s="22">
        <f t="shared" si="162"/>
        <v>4.7119831685935622E-12</v>
      </c>
      <c r="R174" s="62">
        <f t="shared" si="109"/>
        <v>286.3441120625568</v>
      </c>
      <c r="S174" s="62">
        <f ca="1">AVERAGE(OFFSET($R$3,0,0,'Données projet'!$E$9+1,1))-AVERAGE(OFFSET($H$3,0,0,'Données projet'!$E$9+1,1))</f>
        <v>327.07074355218322</v>
      </c>
      <c r="T174" s="62">
        <f t="shared" si="142"/>
        <v>462.01668587029087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0.4927390694726313</v>
      </c>
      <c r="AA174" s="23">
        <f>EXP(-LN(2)/25)*AA173+(1-EXP(-LN(2)/25))/(LN(2)/25)*Calculateur!V174*Calculateur!X174*VLOOKUP('Données projet'!$B$9,Paramètres!$A$1:$I$89,3,0)*0.475*44/12</f>
        <v>0.16371313367438545</v>
      </c>
      <c r="AB174" s="23">
        <f>EXP(-LN(2)/2)*AB173+(1-EXP(-LN(2)/2))/(LN(2)/2)*V174*Y174*VLOOKUP('Données projet'!$B$9,Paramètres!$A$1:$I$89,3,0)*0.475*44/12</f>
        <v>3.5308334824343974E-25</v>
      </c>
      <c r="AC174" s="24">
        <f t="shared" si="163"/>
        <v>0.6564522031470168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499.92116338695428</v>
      </c>
      <c r="AO174" s="62">
        <f t="shared" si="144"/>
        <v>316.79403154855652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211.70619219850786</v>
      </c>
      <c r="BJ174" s="62">
        <f t="shared" si="146"/>
        <v>426.883837098247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6.054056283497661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1.5930975138999198E-19</v>
      </c>
      <c r="BS174" s="24">
        <f t="shared" si="169"/>
        <v>6.054056283497661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1.8001173884840681E-13</v>
      </c>
      <c r="P175" s="14">
        <f t="shared" si="141"/>
        <v>2.5254331426407198E-12</v>
      </c>
      <c r="Q175" s="22">
        <f t="shared" si="162"/>
        <v>4.7119831685935622E-12</v>
      </c>
      <c r="R175" s="62">
        <f t="shared" si="109"/>
        <v>286.46535942604703</v>
      </c>
      <c r="S175" s="62">
        <f ca="1">AVERAGE(OFFSET($R$3,0,0,'Données projet'!$E$9+1,1))-AVERAGE(OFFSET($H$3,0,0,'Données projet'!$E$9+1,1))</f>
        <v>327.07074355218322</v>
      </c>
      <c r="T175" s="62">
        <f t="shared" si="142"/>
        <v>462.01668587029087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0.48307675686142942</v>
      </c>
      <c r="AA175" s="23">
        <f>EXP(-LN(2)/25)*AA174+(1-EXP(-LN(2)/25))/(LN(2)/25)*Calculateur!V175*Calculateur!X175*VLOOKUP('Données projet'!$B$9,Paramètres!$A$1:$I$89,3,0)*0.475*44/12</f>
        <v>0.15923638942475984</v>
      </c>
      <c r="AB175" s="23">
        <f>EXP(-LN(2)/2)*AB174+(1-EXP(-LN(2)/2))/(LN(2)/2)*V175*Y175*VLOOKUP('Données projet'!$B$9,Paramètres!$A$1:$I$89,3,0)*0.475*44/12</f>
        <v>2.496676298669875E-25</v>
      </c>
      <c r="AC175" s="24">
        <f t="shared" si="163"/>
        <v>0.6423131462861893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499.92116338695428</v>
      </c>
      <c r="AO175" s="62">
        <f t="shared" si="144"/>
        <v>316.79403154855652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211.70619219850786</v>
      </c>
      <c r="BJ175" s="62">
        <f t="shared" si="146"/>
        <v>426.883837098247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5.9353399323879898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1.1264900551700634E-19</v>
      </c>
      <c r="BS175" s="24">
        <f t="shared" si="169"/>
        <v>5.9353399323879898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1.8001173884840681E-13</v>
      </c>
      <c r="P176" s="14">
        <f t="shared" si="141"/>
        <v>2.5254331426407198E-12</v>
      </c>
      <c r="Q176" s="22">
        <f t="shared" si="162"/>
        <v>4.7119831685935622E-12</v>
      </c>
      <c r="R176" s="62">
        <f t="shared" si="109"/>
        <v>286.58450341884907</v>
      </c>
      <c r="S176" s="62">
        <f ca="1">AVERAGE(OFFSET($R$3,0,0,'Données projet'!$E$9+1,1))-AVERAGE(OFFSET($H$3,0,0,'Données projet'!$E$9+1,1))</f>
        <v>327.07074355218322</v>
      </c>
      <c r="T176" s="62">
        <f t="shared" si="142"/>
        <v>462.01668587029087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0.47360391630710441</v>
      </c>
      <c r="AA176" s="23">
        <f>EXP(-LN(2)/25)*AA175+(1-EXP(-LN(2)/25))/(LN(2)/25)*Calculateur!V176*Calculateur!X176*VLOOKUP('Données projet'!$B$9,Paramètres!$A$1:$I$89,3,0)*0.475*44/12</f>
        <v>0.154882061982062</v>
      </c>
      <c r="AB176" s="23">
        <f>EXP(-LN(2)/2)*AB175+(1-EXP(-LN(2)/2))/(LN(2)/2)*V176*Y176*VLOOKUP('Données projet'!$B$9,Paramètres!$A$1:$I$89,3,0)*0.475*44/12</f>
        <v>1.7654167412171987E-25</v>
      </c>
      <c r="AC176" s="24">
        <f t="shared" si="163"/>
        <v>0.62848597828916641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499.92116338695428</v>
      </c>
      <c r="AO176" s="62">
        <f t="shared" si="144"/>
        <v>316.79403154855652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211.70619219850786</v>
      </c>
      <c r="BJ176" s="62">
        <f t="shared" si="146"/>
        <v>426.883837098247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5.8189515365137554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7.965487569499599E-20</v>
      </c>
      <c r="BS176" s="24">
        <f t="shared" si="169"/>
        <v>5.8189515365137554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1.8001173884840681E-13</v>
      </c>
      <c r="P177" s="14">
        <f t="shared" si="141"/>
        <v>2.5254331426407198E-12</v>
      </c>
      <c r="Q177" s="22">
        <f t="shared" si="162"/>
        <v>4.7119831685935622E-12</v>
      </c>
      <c r="R177" s="62">
        <f t="shared" si="109"/>
        <v>286.70158052974216</v>
      </c>
      <c r="S177" s="62">
        <f ca="1">AVERAGE(OFFSET($R$3,0,0,'Données projet'!$E$9+1,1))-AVERAGE(OFFSET($H$3,0,0,'Données projet'!$E$9+1,1))</f>
        <v>327.07074355218322</v>
      </c>
      <c r="T177" s="62">
        <f t="shared" si="142"/>
        <v>462.01668587029087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0.46431683237818749</v>
      </c>
      <c r="AA177" s="23">
        <f>EXP(-LN(2)/25)*AA176+(1-EXP(-LN(2)/25))/(LN(2)/25)*Calculateur!V177*Calculateur!X177*VLOOKUP('Données projet'!$B$9,Paramètres!$A$1:$I$89,3,0)*0.475*44/12</f>
        <v>0.15064680385226886</v>
      </c>
      <c r="AB177" s="23">
        <f>EXP(-LN(2)/2)*AB176+(1-EXP(-LN(2)/2))/(LN(2)/2)*V177*Y177*VLOOKUP('Données projet'!$B$9,Paramètres!$A$1:$I$89,3,0)*0.475*44/12</f>
        <v>1.2483381493349375E-25</v>
      </c>
      <c r="AC177" s="24">
        <f t="shared" si="163"/>
        <v>0.61496363623045636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499.92116338695428</v>
      </c>
      <c r="AO177" s="62">
        <f t="shared" si="144"/>
        <v>316.79403154855652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211.70619219850786</v>
      </c>
      <c r="BJ177" s="62">
        <f t="shared" si="146"/>
        <v>426.883837098247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5.7048454460927029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5.6324502758503171E-20</v>
      </c>
      <c r="BS177" s="24">
        <f t="shared" si="169"/>
        <v>5.7048454460927029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1.8001173884840681E-13</v>
      </c>
      <c r="P178" s="14">
        <f t="shared" si="141"/>
        <v>2.5254331426407198E-12</v>
      </c>
      <c r="Q178" s="22">
        <f t="shared" si="162"/>
        <v>4.7119831685935622E-12</v>
      </c>
      <c r="R178" s="62">
        <f t="shared" si="109"/>
        <v>286.81662661450639</v>
      </c>
      <c r="S178" s="62">
        <f ca="1">AVERAGE(OFFSET($R$3,0,0,'Données projet'!$E$9+1,1))-AVERAGE(OFFSET($H$3,0,0,'Données projet'!$E$9+1,1))</f>
        <v>327.07074355218322</v>
      </c>
      <c r="T178" s="62">
        <f t="shared" si="142"/>
        <v>462.01668587029087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0.45521186250055479</v>
      </c>
      <c r="AA178" s="23">
        <f>EXP(-LN(2)/25)*AA177+(1-EXP(-LN(2)/25))/(LN(2)/25)*Calculateur!V178*Calculateur!X178*VLOOKUP('Données projet'!$B$9,Paramètres!$A$1:$I$89,3,0)*0.475*44/12</f>
        <v>0.14652735907875747</v>
      </c>
      <c r="AB178" s="23">
        <f>EXP(-LN(2)/2)*AB177+(1-EXP(-LN(2)/2))/(LN(2)/2)*V178*Y178*VLOOKUP('Données projet'!$B$9,Paramètres!$A$1:$I$89,3,0)*0.475*44/12</f>
        <v>8.8270837060859936E-26</v>
      </c>
      <c r="AC178" s="24">
        <f t="shared" si="163"/>
        <v>0.60173922157931226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499.92116338695428</v>
      </c>
      <c r="AO178" s="62">
        <f t="shared" si="144"/>
        <v>316.79403154855652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211.70619219850786</v>
      </c>
      <c r="BJ178" s="62">
        <f t="shared" si="146"/>
        <v>426.883837098247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5.5929769065069639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3.9827437847497995E-20</v>
      </c>
      <c r="BS178" s="24">
        <f t="shared" si="169"/>
        <v>5.5929769065069639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1.8001173884840681E-13</v>
      </c>
      <c r="P179" s="14">
        <f t="shared" si="141"/>
        <v>2.5254331426407198E-12</v>
      </c>
      <c r="Q179" s="22">
        <f t="shared" si="162"/>
        <v>4.7119831685935622E-12</v>
      </c>
      <c r="R179" s="62">
        <f t="shared" si="109"/>
        <v>286.92967690690455</v>
      </c>
      <c r="S179" s="62">
        <f ca="1">AVERAGE(OFFSET($R$3,0,0,'Données projet'!$E$9+1,1))-AVERAGE(OFFSET($H$3,0,0,'Données projet'!$E$9+1,1))</f>
        <v>327.07074355218322</v>
      </c>
      <c r="T179" s="62">
        <f t="shared" si="142"/>
        <v>462.01668587029087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0.44628543552873917</v>
      </c>
      <c r="AA179" s="23">
        <f>EXP(-LN(2)/25)*AA178+(1-EXP(-LN(2)/25))/(LN(2)/25)*Calculateur!V179*Calculateur!X179*VLOOKUP('Données projet'!$B$9,Paramètres!$A$1:$I$89,3,0)*0.475*44/12</f>
        <v>0.14252056073920993</v>
      </c>
      <c r="AB179" s="23">
        <f>EXP(-LN(2)/2)*AB178+(1-EXP(-LN(2)/2))/(LN(2)/2)*V179*Y179*VLOOKUP('Données projet'!$B$9,Paramètres!$A$1:$I$89,3,0)*0.475*44/12</f>
        <v>6.2416907466746876E-26</v>
      </c>
      <c r="AC179" s="24">
        <f t="shared" si="163"/>
        <v>0.58880599626794905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499.92116338695428</v>
      </c>
      <c r="AO179" s="62">
        <f t="shared" si="144"/>
        <v>316.79403154855652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211.70619219850786</v>
      </c>
      <c r="BJ179" s="62">
        <f t="shared" si="146"/>
        <v>426.883837098247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5.4833020407494297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2.8162251379251586E-20</v>
      </c>
      <c r="BS179" s="24">
        <f t="shared" si="169"/>
        <v>5.4833020407494297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1.8001173884840681E-13</v>
      </c>
      <c r="P180" s="14">
        <f t="shared" si="141"/>
        <v>2.5254331426407198E-12</v>
      </c>
      <c r="Q180" s="22">
        <f t="shared" si="162"/>
        <v>4.7119831685935622E-12</v>
      </c>
      <c r="R180" s="62">
        <f t="shared" si="109"/>
        <v>287.04076602947214</v>
      </c>
      <c r="S180" s="62">
        <f ca="1">AVERAGE(OFFSET($R$3,0,0,'Données projet'!$E$9+1,1))-AVERAGE(OFFSET($H$3,0,0,'Données projet'!$E$9+1,1))</f>
        <v>327.07074355218322</v>
      </c>
      <c r="T180" s="62">
        <f t="shared" si="142"/>
        <v>462.01668587029087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0.43753405034525805</v>
      </c>
      <c r="AA180" s="23">
        <f>EXP(-LN(2)/25)*AA179+(1-EXP(-LN(2)/25))/(LN(2)/25)*Calculateur!V180*Calculateur!X180*VLOOKUP('Données projet'!$B$9,Paramètres!$A$1:$I$89,3,0)*0.475*44/12</f>
        <v>0.13862332851096568</v>
      </c>
      <c r="AB180" s="23">
        <f>EXP(-LN(2)/2)*AB179+(1-EXP(-LN(2)/2))/(LN(2)/2)*V180*Y180*VLOOKUP('Données projet'!$B$9,Paramètres!$A$1:$I$89,3,0)*0.475*44/12</f>
        <v>4.4135418530429968E-26</v>
      </c>
      <c r="AC180" s="24">
        <f t="shared" si="163"/>
        <v>0.57615737885622376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499.92116338695428</v>
      </c>
      <c r="AO180" s="62">
        <f t="shared" si="144"/>
        <v>316.79403154855652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211.70619219850786</v>
      </c>
      <c r="BJ180" s="62">
        <f t="shared" si="146"/>
        <v>426.883837098247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5.3757778322143377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1.9913718923748998E-20</v>
      </c>
      <c r="BS180" s="24">
        <f t="shared" si="169"/>
        <v>5.3757778322143377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1.8001173884840681E-13</v>
      </c>
      <c r="P181" s="14">
        <f t="shared" si="141"/>
        <v>2.5254331426407198E-12</v>
      </c>
      <c r="Q181" s="22">
        <f t="shared" si="162"/>
        <v>4.7119831685935622E-12</v>
      </c>
      <c r="R181" s="62">
        <f t="shared" si="109"/>
        <v>287.14992800412131</v>
      </c>
      <c r="S181" s="62">
        <f ca="1">AVERAGE(OFFSET($R$3,0,0,'Données projet'!$E$9+1,1))-AVERAGE(OFFSET($H$3,0,0,'Données projet'!$E$9+1,1))</f>
        <v>327.07074355218322</v>
      </c>
      <c r="T181" s="62">
        <f t="shared" si="142"/>
        <v>462.01668587029087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0.42895427448740708</v>
      </c>
      <c r="AA181" s="23">
        <f>EXP(-LN(2)/25)*AA180+(1-EXP(-LN(2)/25))/(LN(2)/25)*Calculateur!V181*Calculateur!X181*VLOOKUP('Données projet'!$B$9,Paramètres!$A$1:$I$89,3,0)*0.475*44/12</f>
        <v>0.13483266630294929</v>
      </c>
      <c r="AB181" s="23">
        <f>EXP(-LN(2)/2)*AB180+(1-EXP(-LN(2)/2))/(LN(2)/2)*V181*Y181*VLOOKUP('Données projet'!$B$9,Paramètres!$A$1:$I$89,3,0)*0.475*44/12</f>
        <v>3.1208453733373438E-26</v>
      </c>
      <c r="AC181" s="24">
        <f t="shared" si="163"/>
        <v>0.56378694079035641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499.92116338695428</v>
      </c>
      <c r="AO181" s="62">
        <f t="shared" si="144"/>
        <v>316.79403154855652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211.70619219850786</v>
      </c>
      <c r="BJ181" s="62">
        <f t="shared" si="146"/>
        <v>426.883837098247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5.2703621078253278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1.4081125689625793E-20</v>
      </c>
      <c r="BS181" s="24">
        <f t="shared" si="169"/>
        <v>5.2703621078253278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1.8001173884840681E-13</v>
      </c>
      <c r="P182" s="14">
        <f t="shared" si="141"/>
        <v>2.5254331426407198E-12</v>
      </c>
      <c r="Q182" s="22">
        <f t="shared" si="162"/>
        <v>4.7119831685935622E-12</v>
      </c>
      <c r="R182" s="62">
        <f t="shared" si="109"/>
        <v>287.25719626255983</v>
      </c>
      <c r="S182" s="62">
        <f ca="1">AVERAGE(OFFSET($R$3,0,0,'Données projet'!$E$9+1,1))-AVERAGE(OFFSET($H$3,0,0,'Données projet'!$E$9+1,1))</f>
        <v>327.07074355218322</v>
      </c>
      <c r="T182" s="62">
        <f t="shared" si="142"/>
        <v>462.01668587029087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0.42054274280098203</v>
      </c>
      <c r="AA182" s="23">
        <f>EXP(-LN(2)/25)*AA181+(1-EXP(-LN(2)/25))/(LN(2)/25)*Calculateur!V182*Calculateur!X182*VLOOKUP('Données projet'!$B$9,Paramètres!$A$1:$I$89,3,0)*0.475*44/12</f>
        <v>0.13114565995235339</v>
      </c>
      <c r="AB182" s="23">
        <f>EXP(-LN(2)/2)*AB181+(1-EXP(-LN(2)/2))/(LN(2)/2)*V182*Y182*VLOOKUP('Données projet'!$B$9,Paramètres!$A$1:$I$89,3,0)*0.475*44/12</f>
        <v>2.2067709265214984E-26</v>
      </c>
      <c r="AC182" s="24">
        <f t="shared" si="163"/>
        <v>0.55168840275333542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499.92116338695428</v>
      </c>
      <c r="AO182" s="62">
        <f t="shared" si="144"/>
        <v>316.79403154855652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211.70619219850786</v>
      </c>
      <c r="BJ182" s="62">
        <f t="shared" si="146"/>
        <v>426.883837098247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5.1670135214943436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9.9568594618744988E-21</v>
      </c>
      <c r="BS182" s="24">
        <f t="shared" si="169"/>
        <v>5.1670135214943436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1.8001173884840681E-13</v>
      </c>
      <c r="P183" s="14">
        <f t="shared" si="141"/>
        <v>2.5254331426407198E-12</v>
      </c>
      <c r="Q183" s="22">
        <f t="shared" si="162"/>
        <v>4.7119831685935622E-12</v>
      </c>
      <c r="R183" s="62">
        <f t="shared" si="109"/>
        <v>287.36260365653044</v>
      </c>
      <c r="S183" s="62">
        <f ca="1">AVERAGE(OFFSET($R$3,0,0,'Données projet'!$E$9+1,1))-AVERAGE(OFFSET($H$3,0,0,'Données projet'!$E$9+1,1))</f>
        <v>327.07074355218322</v>
      </c>
      <c r="T183" s="62">
        <f t="shared" si="142"/>
        <v>462.01668587029087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0.41229615612040005</v>
      </c>
      <c r="AA183" s="23">
        <f>EXP(-LN(2)/25)*AA182+(1-EXP(-LN(2)/25))/(LN(2)/25)*Calculateur!V183*Calculateur!X183*VLOOKUP('Données projet'!$B$9,Paramètres!$A$1:$I$89,3,0)*0.475*44/12</f>
        <v>0.12755947498430575</v>
      </c>
      <c r="AB183" s="23">
        <f>EXP(-LN(2)/2)*AB182+(1-EXP(-LN(2)/2))/(LN(2)/2)*V183*Y183*VLOOKUP('Données projet'!$B$9,Paramètres!$A$1:$I$89,3,0)*0.475*44/12</f>
        <v>1.5604226866686719E-26</v>
      </c>
      <c r="AC183" s="24">
        <f t="shared" si="163"/>
        <v>0.5398556311047058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499.92116338695428</v>
      </c>
      <c r="AO183" s="62">
        <f t="shared" si="144"/>
        <v>316.79403154855652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211.70619219850786</v>
      </c>
      <c r="BJ183" s="62">
        <f t="shared" si="146"/>
        <v>426.883837098247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5.0656915379048959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7.0405628448128964E-21</v>
      </c>
      <c r="BS183" s="24">
        <f t="shared" si="169"/>
        <v>5.0656915379048959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1.8001173884840681E-13</v>
      </c>
      <c r="P184" s="14">
        <f t="shared" si="141"/>
        <v>2.5254331426407198E-12</v>
      </c>
      <c r="Q184" s="22">
        <f t="shared" si="162"/>
        <v>4.7119831685935622E-12</v>
      </c>
      <c r="R184" s="62">
        <f t="shared" si="109"/>
        <v>287.46618246787125</v>
      </c>
      <c r="S184" s="62">
        <f ca="1">AVERAGE(OFFSET($R$3,0,0,'Données projet'!$E$9+1,1))-AVERAGE(OFFSET($H$3,0,0,'Données projet'!$E$9+1,1))</f>
        <v>327.07074355218322</v>
      </c>
      <c r="T184" s="62">
        <f t="shared" si="142"/>
        <v>462.01668587029087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0.40421127997470307</v>
      </c>
      <c r="AA184" s="23">
        <f>EXP(-LN(2)/25)*AA183+(1-EXP(-LN(2)/25))/(LN(2)/25)*Calculateur!V184*Calculateur!X184*VLOOKUP('Données projet'!$B$9,Paramètres!$A$1:$I$89,3,0)*0.475*44/12</f>
        <v>0.12407135443279867</v>
      </c>
      <c r="AB184" s="23">
        <f>EXP(-LN(2)/2)*AB183+(1-EXP(-LN(2)/2))/(LN(2)/2)*V184*Y184*VLOOKUP('Données projet'!$B$9,Paramètres!$A$1:$I$89,3,0)*0.475*44/12</f>
        <v>1.1033854632607492E-26</v>
      </c>
      <c r="AC184" s="24">
        <f t="shared" si="163"/>
        <v>0.52828263440750178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499.92116338695428</v>
      </c>
      <c r="AO184" s="62">
        <f t="shared" si="144"/>
        <v>316.79403154855652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211.70619219850786</v>
      </c>
      <c r="BJ184" s="62">
        <f t="shared" si="146"/>
        <v>426.883837098247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4.9663564166133298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4.9784297309372494E-21</v>
      </c>
      <c r="BS184" s="24">
        <f t="shared" si="169"/>
        <v>4.9663564166133298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1.8001173884840681E-13</v>
      </c>
      <c r="P185" s="14">
        <f t="shared" si="141"/>
        <v>2.5254331426407198E-12</v>
      </c>
      <c r="Q185" s="22">
        <f t="shared" si="162"/>
        <v>4.7119831685935622E-12</v>
      </c>
      <c r="R185" s="62">
        <f t="shared" si="109"/>
        <v>287.56796441840282</v>
      </c>
      <c r="S185" s="62">
        <f ca="1">AVERAGE(OFFSET($R$3,0,0,'Données projet'!$E$9+1,1))-AVERAGE(OFFSET($H$3,0,0,'Données projet'!$E$9+1,1))</f>
        <v>327.07074355218322</v>
      </c>
      <c r="T185" s="62">
        <f t="shared" si="142"/>
        <v>462.01668587029087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0.39628494331893566</v>
      </c>
      <c r="AA185" s="23">
        <f>EXP(-LN(2)/25)*AA184+(1-EXP(-LN(2)/25))/(LN(2)/25)*Calculateur!V185*Calculateur!X185*VLOOKUP('Données projet'!$B$9,Paramètres!$A$1:$I$89,3,0)*0.475*44/12</f>
        <v>0.12067861672120482</v>
      </c>
      <c r="AB185" s="23">
        <f>EXP(-LN(2)/2)*AB184+(1-EXP(-LN(2)/2))/(LN(2)/2)*V185*Y185*VLOOKUP('Données projet'!$B$9,Paramètres!$A$1:$I$89,3,0)*0.475*44/12</f>
        <v>7.8021134333433595E-27</v>
      </c>
      <c r="AC185" s="24">
        <f t="shared" si="163"/>
        <v>0.51696356004014044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499.92116338695428</v>
      </c>
      <c r="AO185" s="62">
        <f t="shared" si="144"/>
        <v>316.79403154855652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211.70619219850786</v>
      </c>
      <c r="BJ185" s="62">
        <f t="shared" si="146"/>
        <v>426.883837098247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4.8689691964618502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3.5202814224064482E-21</v>
      </c>
      <c r="BS185" s="24">
        <f t="shared" si="169"/>
        <v>4.8689691964618502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1.8001173884840681E-13</v>
      </c>
      <c r="P186" s="14">
        <f t="shared" si="141"/>
        <v>2.5254331426407198E-12</v>
      </c>
      <c r="Q186" s="22">
        <f t="shared" si="162"/>
        <v>4.7119831685935622E-12</v>
      </c>
      <c r="R186" s="62">
        <f t="shared" si="109"/>
        <v>287.66798067964305</v>
      </c>
      <c r="S186" s="62">
        <f ca="1">AVERAGE(OFFSET($R$3,0,0,'Données projet'!$E$9+1,1))-AVERAGE(OFFSET($H$3,0,0,'Données projet'!$E$9+1,1))</f>
        <v>327.07074355218322</v>
      </c>
      <c r="T186" s="62">
        <f t="shared" si="142"/>
        <v>462.01668587029087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0.38851403729039991</v>
      </c>
      <c r="AA186" s="23">
        <f>EXP(-LN(2)/25)*AA185+(1-EXP(-LN(2)/25))/(LN(2)/25)*Calculateur!V186*Calculateur!X186*VLOOKUP('Données projet'!$B$9,Paramètres!$A$1:$I$89,3,0)*0.475*44/12</f>
        <v>0.11737865360075084</v>
      </c>
      <c r="AB186" s="23">
        <f>EXP(-LN(2)/2)*AB185+(1-EXP(-LN(2)/2))/(LN(2)/2)*V186*Y186*VLOOKUP('Données projet'!$B$9,Paramètres!$A$1:$I$89,3,0)*0.475*44/12</f>
        <v>5.516927316303746E-27</v>
      </c>
      <c r="AC186" s="24">
        <f t="shared" si="163"/>
        <v>0.50589269089115074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499.92116338695428</v>
      </c>
      <c r="AO186" s="62">
        <f t="shared" si="144"/>
        <v>316.79403154855652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211.70619219850786</v>
      </c>
      <c r="BJ186" s="62">
        <f t="shared" si="146"/>
        <v>426.883837098247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4.7734916802972016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2.4892148654686247E-21</v>
      </c>
      <c r="BS186" s="24">
        <f t="shared" si="169"/>
        <v>4.7734916802972016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1.8001173884840681E-13</v>
      </c>
      <c r="P187" s="14">
        <f t="shared" si="141"/>
        <v>2.5254331426407198E-12</v>
      </c>
      <c r="Q187" s="22">
        <f t="shared" si="162"/>
        <v>4.7119831685935622E-12</v>
      </c>
      <c r="R187" s="62">
        <f t="shared" si="109"/>
        <v>287.76626188235355</v>
      </c>
      <c r="S187" s="62">
        <f ca="1">AVERAGE(OFFSET($R$3,0,0,'Données projet'!$E$9+1,1))-AVERAGE(OFFSET($H$3,0,0,'Données projet'!$E$9+1,1))</f>
        <v>327.07074355218322</v>
      </c>
      <c r="T187" s="62">
        <f t="shared" si="142"/>
        <v>462.01668587029087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0.38089551398929905</v>
      </c>
      <c r="AA187" s="23">
        <f>EXP(-LN(2)/25)*AA186+(1-EXP(-LN(2)/25))/(LN(2)/25)*Calculateur!V187*Calculateur!X187*VLOOKUP('Données projet'!$B$9,Paramètres!$A$1:$I$89,3,0)*0.475*44/12</f>
        <v>0.11416892814536318</v>
      </c>
      <c r="AB187" s="23">
        <f>EXP(-LN(2)/2)*AB186+(1-EXP(-LN(2)/2))/(LN(2)/2)*V187*Y187*VLOOKUP('Données projet'!$B$9,Paramètres!$A$1:$I$89,3,0)*0.475*44/12</f>
        <v>3.9010567166716798E-27</v>
      </c>
      <c r="AC187" s="24">
        <f t="shared" si="163"/>
        <v>0.49506444213466222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499.92116338695428</v>
      </c>
      <c r="AO187" s="62">
        <f t="shared" si="144"/>
        <v>316.79403154855652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211.70619219850786</v>
      </c>
      <c r="BJ187" s="62">
        <f t="shared" si="146"/>
        <v>426.883837098247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4.6798864199890078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1.7601407112032241E-21</v>
      </c>
      <c r="BS187" s="24">
        <f t="shared" si="169"/>
        <v>4.6798864199890078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1.8001173884840681E-13</v>
      </c>
      <c r="P188" s="14">
        <f t="shared" si="141"/>
        <v>2.5254331426407198E-12</v>
      </c>
      <c r="Q188" s="22">
        <f t="shared" si="162"/>
        <v>4.7119831685935622E-12</v>
      </c>
      <c r="R188" s="62">
        <f t="shared" si="109"/>
        <v>287.86283812592097</v>
      </c>
      <c r="S188" s="62">
        <f ca="1">AVERAGE(OFFSET($R$3,0,0,'Données projet'!$E$9+1,1))-AVERAGE(OFFSET($H$3,0,0,'Données projet'!$E$9+1,1))</f>
        <v>327.07074355218322</v>
      </c>
      <c r="T188" s="62">
        <f t="shared" si="142"/>
        <v>462.01668587029087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0.37342638528329242</v>
      </c>
      <c r="AA188" s="23">
        <f>EXP(-LN(2)/25)*AA187+(1-EXP(-LN(2)/25))/(LN(2)/25)*Calculateur!V188*Calculateur!X188*VLOOKUP('Données projet'!$B$9,Paramètres!$A$1:$I$89,3,0)*0.475*44/12</f>
        <v>0.11104697280134523</v>
      </c>
      <c r="AB188" s="23">
        <f>EXP(-LN(2)/2)*AB187+(1-EXP(-LN(2)/2))/(LN(2)/2)*V188*Y188*VLOOKUP('Données projet'!$B$9,Paramètres!$A$1:$I$89,3,0)*0.475*44/12</f>
        <v>2.758463658151873E-27</v>
      </c>
      <c r="AC188" s="24">
        <f t="shared" si="163"/>
        <v>0.48447335808463765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499.92116338695428</v>
      </c>
      <c r="AO188" s="62">
        <f t="shared" si="144"/>
        <v>316.79403154855652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211.70619219850786</v>
      </c>
      <c r="BJ188" s="62">
        <f t="shared" si="146"/>
        <v>426.883837098247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4.5881167017418862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1.2446074327343123E-21</v>
      </c>
      <c r="BS188" s="24">
        <f t="shared" si="169"/>
        <v>4.5881167017418862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1.8001173884840681E-13</v>
      </c>
      <c r="P189" s="14">
        <f t="shared" si="141"/>
        <v>2.5254331426407198E-12</v>
      </c>
      <c r="Q189" s="22">
        <f t="shared" si="162"/>
        <v>4.7119831685935622E-12</v>
      </c>
      <c r="R189" s="62">
        <f t="shared" si="109"/>
        <v>287.95773898757454</v>
      </c>
      <c r="S189" s="62">
        <f ca="1">AVERAGE(OFFSET($R$3,0,0,'Données projet'!$E$9+1,1))-AVERAGE(OFFSET($H$3,0,0,'Données projet'!$E$9+1,1))</f>
        <v>327.07074355218322</v>
      </c>
      <c r="T189" s="62">
        <f t="shared" si="142"/>
        <v>462.01668587029087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0.36610372163549187</v>
      </c>
      <c r="AA189" s="23">
        <f>EXP(-LN(2)/25)*AA188+(1-EXP(-LN(2)/25))/(LN(2)/25)*Calculateur!V189*Calculateur!X189*VLOOKUP('Données projet'!$B$9,Paramètres!$A$1:$I$89,3,0)*0.475*44/12</f>
        <v>0.10801038749038595</v>
      </c>
      <c r="AB189" s="23">
        <f>EXP(-LN(2)/2)*AB188+(1-EXP(-LN(2)/2))/(LN(2)/2)*V189*Y189*VLOOKUP('Données projet'!$B$9,Paramètres!$A$1:$I$89,3,0)*0.475*44/12</f>
        <v>1.9505283583358399E-27</v>
      </c>
      <c r="AC189" s="24">
        <f t="shared" si="163"/>
        <v>0.47411410912587781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499.92116338695428</v>
      </c>
      <c r="AO189" s="62">
        <f t="shared" si="144"/>
        <v>316.79403154855652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211.70619219850786</v>
      </c>
      <c r="BJ189" s="62">
        <f t="shared" si="146"/>
        <v>426.883837098247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4.4981465316955891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8.8007035560161205E-22</v>
      </c>
      <c r="BS189" s="24">
        <f t="shared" si="169"/>
        <v>4.4981465316955891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1.8001173884840681E-13</v>
      </c>
      <c r="P190" s="14">
        <f t="shared" si="141"/>
        <v>2.5254331426407198E-12</v>
      </c>
      <c r="Q190" s="22">
        <f t="shared" si="162"/>
        <v>4.7119831685935622E-12</v>
      </c>
      <c r="R190" s="62">
        <f t="shared" si="109"/>
        <v>288.0509935314451</v>
      </c>
      <c r="S190" s="62">
        <f ca="1">AVERAGE(OFFSET($R$3,0,0,'Données projet'!$E$9+1,1))-AVERAGE(OFFSET($H$3,0,0,'Données projet'!$E$9+1,1))</f>
        <v>327.07074355218322</v>
      </c>
      <c r="T190" s="62">
        <f t="shared" si="142"/>
        <v>462.01668587029087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0.3589246509554409</v>
      </c>
      <c r="AA190" s="23">
        <f>EXP(-LN(2)/25)*AA189+(1-EXP(-LN(2)/25))/(LN(2)/25)*Calculateur!V190*Calculateur!X190*VLOOKUP('Données projet'!$B$9,Paramètres!$A$1:$I$89,3,0)*0.475*44/12</f>
        <v>0.10505683776444193</v>
      </c>
      <c r="AB190" s="23">
        <f>EXP(-LN(2)/2)*AB189+(1-EXP(-LN(2)/2))/(LN(2)/2)*V190*Y190*VLOOKUP('Données projet'!$B$9,Paramètres!$A$1:$I$89,3,0)*0.475*44/12</f>
        <v>1.3792318290759365E-27</v>
      </c>
      <c r="AC190" s="24">
        <f t="shared" si="163"/>
        <v>0.46398148871988282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499.92116338695428</v>
      </c>
      <c r="AO190" s="62">
        <f t="shared" si="144"/>
        <v>316.79403154855652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211.70619219850786</v>
      </c>
      <c r="BJ190" s="62">
        <f t="shared" si="146"/>
        <v>426.883837098247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4.4099406218075154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6.2230371636715617E-22</v>
      </c>
      <c r="BS190" s="24">
        <f t="shared" si="169"/>
        <v>4.4099406218075154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1.8001173884840681E-13</v>
      </c>
      <c r="P191" s="14">
        <f t="shared" si="141"/>
        <v>2.5254331426407198E-12</v>
      </c>
      <c r="Q191" s="22">
        <f t="shared" si="162"/>
        <v>4.7119831685935622E-12</v>
      </c>
      <c r="R191" s="62">
        <f t="shared" si="109"/>
        <v>288.14263031746532</v>
      </c>
      <c r="S191" s="62">
        <f ca="1">AVERAGE(OFFSET($R$3,0,0,'Données projet'!$E$9+1,1))-AVERAGE(OFFSET($H$3,0,0,'Données projet'!$E$9+1,1))</f>
        <v>327.07074355218322</v>
      </c>
      <c r="T191" s="62">
        <f t="shared" si="142"/>
        <v>462.01668587029087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0.35188635747262498</v>
      </c>
      <c r="AA191" s="23">
        <f>EXP(-LN(2)/25)*AA190+(1-EXP(-LN(2)/25))/(LN(2)/25)*Calculateur!V191*Calculateur!X191*VLOOKUP('Données projet'!$B$9,Paramètres!$A$1:$I$89,3,0)*0.475*44/12</f>
        <v>0.10218405301107428</v>
      </c>
      <c r="AB191" s="23">
        <f>EXP(-LN(2)/2)*AB190+(1-EXP(-LN(2)/2))/(LN(2)/2)*V191*Y191*VLOOKUP('Données projet'!$B$9,Paramètres!$A$1:$I$89,3,0)*0.475*44/12</f>
        <v>9.7526417916791994E-28</v>
      </c>
      <c r="AC191" s="24">
        <f t="shared" si="163"/>
        <v>0.45407041048369923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499.92116338695428</v>
      </c>
      <c r="AO191" s="62">
        <f t="shared" si="144"/>
        <v>316.79403154855652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211.70619219850786</v>
      </c>
      <c r="BJ191" s="62">
        <f t="shared" si="146"/>
        <v>426.883837098247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4.3234643760120539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4.4003517780080603E-22</v>
      </c>
      <c r="BS191" s="24">
        <f t="shared" si="169"/>
        <v>4.3234643760120539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1.8001173884840681E-13</v>
      </c>
      <c r="P192" s="14">
        <f t="shared" si="141"/>
        <v>2.5254331426407198E-12</v>
      </c>
      <c r="Q192" s="22">
        <f t="shared" si="162"/>
        <v>4.7119831685935622E-12</v>
      </c>
      <c r="R192" s="62">
        <f t="shared" si="109"/>
        <v>288.23267741011728</v>
      </c>
      <c r="S192" s="62">
        <f ca="1">AVERAGE(OFFSET($R$3,0,0,'Données projet'!$E$9+1,1))-AVERAGE(OFFSET($H$3,0,0,'Données projet'!$E$9+1,1))</f>
        <v>327.07074355218322</v>
      </c>
      <c r="T192" s="62">
        <f t="shared" si="142"/>
        <v>462.01668587029087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0.34498608063207198</v>
      </c>
      <c r="AA192" s="23">
        <f>EXP(-LN(2)/25)*AA191+(1-EXP(-LN(2)/25))/(LN(2)/25)*Calculateur!V192*Calculateur!X192*VLOOKUP('Données projet'!$B$9,Paramètres!$A$1:$I$89,3,0)*0.475*44/12</f>
        <v>9.9389824707860647E-2</v>
      </c>
      <c r="AB192" s="23">
        <f>EXP(-LN(2)/2)*AB191+(1-EXP(-LN(2)/2))/(LN(2)/2)*V192*Y192*VLOOKUP('Données projet'!$B$9,Paramètres!$A$1:$I$89,3,0)*0.475*44/12</f>
        <v>6.8961591453796825E-28</v>
      </c>
      <c r="AC192" s="24">
        <f t="shared" si="163"/>
        <v>0.44437590533993265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499.92116338695428</v>
      </c>
      <c r="AO192" s="62">
        <f t="shared" si="144"/>
        <v>316.79403154855652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211.70619219850786</v>
      </c>
      <c r="BJ192" s="62">
        <f t="shared" si="146"/>
        <v>426.883837098247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4.2386838766513399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3.1115185818357809E-22</v>
      </c>
      <c r="BS192" s="24">
        <f t="shared" si="169"/>
        <v>4.2386838766513399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1.8001173884840681E-13</v>
      </c>
      <c r="P193" s="14">
        <f t="shared" si="141"/>
        <v>2.5254331426407198E-12</v>
      </c>
      <c r="Q193" s="22">
        <f t="shared" si="162"/>
        <v>4.7119831685935622E-12</v>
      </c>
      <c r="R193" s="62">
        <f t="shared" si="109"/>
        <v>288.32116238702685</v>
      </c>
      <c r="S193" s="62">
        <f ca="1">AVERAGE(OFFSET($R$3,0,0,'Données projet'!$E$9+1,1))-AVERAGE(OFFSET($H$3,0,0,'Données projet'!$E$9+1,1))</f>
        <v>327.07074355218322</v>
      </c>
      <c r="T193" s="62">
        <f t="shared" si="142"/>
        <v>462.01668587029087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0.33822111401160893</v>
      </c>
      <c r="AA193" s="23">
        <f>EXP(-LN(2)/25)*AA192+(1-EXP(-LN(2)/25))/(LN(2)/25)*Calculateur!V193*Calculateur!X193*VLOOKUP('Données projet'!$B$9,Paramètres!$A$1:$I$89,3,0)*0.475*44/12</f>
        <v>9.6672004724540475E-2</v>
      </c>
      <c r="AB193" s="23">
        <f>EXP(-LN(2)/2)*AB192+(1-EXP(-LN(2)/2))/(LN(2)/2)*V193*Y193*VLOOKUP('Données projet'!$B$9,Paramètres!$A$1:$I$89,3,0)*0.475*44/12</f>
        <v>4.8763208958395997E-28</v>
      </c>
      <c r="AC193" s="24">
        <f t="shared" si="163"/>
        <v>0.43489311873614939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499.92116338695428</v>
      </c>
      <c r="AO193" s="62">
        <f t="shared" si="144"/>
        <v>316.79403154855652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211.70619219850786</v>
      </c>
      <c r="BJ193" s="62">
        <f t="shared" si="146"/>
        <v>426.883837098247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4.1555658711720902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2.2001758890040301E-22</v>
      </c>
      <c r="BS193" s="24">
        <f t="shared" si="169"/>
        <v>4.1555658711720902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1.8001173884840681E-13</v>
      </c>
      <c r="P194" s="14">
        <f t="shared" si="141"/>
        <v>2.5254331426407198E-12</v>
      </c>
      <c r="Q194" s="22">
        <f t="shared" si="162"/>
        <v>4.7119831685935622E-12</v>
      </c>
      <c r="R194" s="62">
        <f t="shared" si="109"/>
        <v>288.40811234740983</v>
      </c>
      <c r="S194" s="62">
        <f ca="1">AVERAGE(OFFSET($R$3,0,0,'Données projet'!$E$9+1,1))-AVERAGE(OFFSET($H$3,0,0,'Données projet'!$E$9+1,1))</f>
        <v>327.07074355218322</v>
      </c>
      <c r="T194" s="62">
        <f t="shared" si="142"/>
        <v>462.01668587029087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0.33158880426035092</v>
      </c>
      <c r="AA194" s="23">
        <f>EXP(-LN(2)/25)*AA193+(1-EXP(-LN(2)/25))/(LN(2)/25)*Calculateur!V194*Calculateur!X194*VLOOKUP('Données projet'!$B$9,Paramètres!$A$1:$I$89,3,0)*0.475*44/12</f>
        <v>9.4028503671588132E-2</v>
      </c>
      <c r="AB194" s="23">
        <f>EXP(-LN(2)/2)*AB193+(1-EXP(-LN(2)/2))/(LN(2)/2)*V194*Y194*VLOOKUP('Données projet'!$B$9,Paramètres!$A$1:$I$89,3,0)*0.475*44/12</f>
        <v>3.4480795726898412E-28</v>
      </c>
      <c r="AC194" s="24">
        <f t="shared" si="163"/>
        <v>0.42561730793193908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499.92116338695428</v>
      </c>
      <c r="AO194" s="62">
        <f t="shared" si="144"/>
        <v>316.79403154855652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211.70619219850786</v>
      </c>
      <c r="BJ194" s="62">
        <f t="shared" si="146"/>
        <v>426.883837098247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4.0740777590833117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1.5557592909178904E-22</v>
      </c>
      <c r="BS194" s="24">
        <f t="shared" si="169"/>
        <v>4.0740777590833117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1.8001173884840681E-13</v>
      </c>
      <c r="P195" s="14">
        <f t="shared" si="141"/>
        <v>2.5254331426407198E-12</v>
      </c>
      <c r="Q195" s="22">
        <f t="shared" si="162"/>
        <v>4.7119831685935622E-12</v>
      </c>
      <c r="R195" s="62">
        <f t="shared" ref="R195:R203" si="191">Q195+(I195+J195)*44/12</f>
        <v>288.49355392037114</v>
      </c>
      <c r="S195" s="62">
        <f ca="1">AVERAGE(OFFSET($R$3,0,0,'Données projet'!$E$9+1,1))-AVERAGE(OFFSET($H$3,0,0,'Données projet'!$E$9+1,1))</f>
        <v>327.07074355218322</v>
      </c>
      <c r="T195" s="62">
        <f t="shared" si="142"/>
        <v>462.01668587029087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0.32508655005800557</v>
      </c>
      <c r="AA195" s="23">
        <f>EXP(-LN(2)/25)*AA194+(1-EXP(-LN(2)/25))/(LN(2)/25)*Calculateur!V195*Calculateur!X195*VLOOKUP('Données projet'!$B$9,Paramètres!$A$1:$I$89,3,0)*0.475*44/12</f>
        <v>9.1457289293944449E-2</v>
      </c>
      <c r="AB195" s="23">
        <f>EXP(-LN(2)/2)*AB194+(1-EXP(-LN(2)/2))/(LN(2)/2)*V195*Y195*VLOOKUP('Données projet'!$B$9,Paramètres!$A$1:$I$89,3,0)*0.475*44/12</f>
        <v>2.4381604479197999E-28</v>
      </c>
      <c r="AC195" s="24">
        <f t="shared" si="163"/>
        <v>0.41654383935195005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499.92116338695428</v>
      </c>
      <c r="AO195" s="62">
        <f t="shared" si="144"/>
        <v>316.79403154855652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211.70619219850786</v>
      </c>
      <c r="BJ195" s="62">
        <f t="shared" si="146"/>
        <v>426.883837098247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3.9941875791697532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1.1000879445020151E-22</v>
      </c>
      <c r="BS195" s="24">
        <f t="shared" si="169"/>
        <v>3.9941875791697532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1.8001173884840681E-13</v>
      </c>
      <c r="P196" s="14">
        <f t="shared" si="141"/>
        <v>2.5254331426407198E-12</v>
      </c>
      <c r="Q196" s="22">
        <f t="shared" si="162"/>
        <v>4.7119831685935622E-12</v>
      </c>
      <c r="R196" s="62">
        <f t="shared" si="191"/>
        <v>288.57751327306033</v>
      </c>
      <c r="S196" s="62">
        <f ca="1">AVERAGE(OFFSET($R$3,0,0,'Données projet'!$E$9+1,1))-AVERAGE(OFFSET($H$3,0,0,'Données projet'!$E$9+1,1))</f>
        <v>327.07074355218322</v>
      </c>
      <c r="T196" s="62">
        <f t="shared" si="142"/>
        <v>462.01668587029087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0.3187118010945848</v>
      </c>
      <c r="AA196" s="23">
        <f>EXP(-LN(2)/25)*AA195+(1-EXP(-LN(2)/25))/(LN(2)/25)*Calculateur!V196*Calculateur!X196*VLOOKUP('Données projet'!$B$9,Paramètres!$A$1:$I$89,3,0)*0.475*44/12</f>
        <v>8.8956384908671721E-2</v>
      </c>
      <c r="AB196" s="23">
        <f>EXP(-LN(2)/2)*AB195+(1-EXP(-LN(2)/2))/(LN(2)/2)*V196*Y196*VLOOKUP('Données projet'!$B$9,Paramètres!$A$1:$I$89,3,0)*0.475*44/12</f>
        <v>1.7240397863449206E-28</v>
      </c>
      <c r="AC196" s="24">
        <f t="shared" si="163"/>
        <v>0.40766818600325649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499.92116338695428</v>
      </c>
      <c r="AO196" s="62">
        <f t="shared" si="144"/>
        <v>316.79403154855652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211.70619219850786</v>
      </c>
      <c r="BJ196" s="62">
        <f t="shared" si="146"/>
        <v>426.883837098247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3.9158639969561015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7.7787964545894522E-23</v>
      </c>
      <c r="BS196" s="24">
        <f t="shared" si="169"/>
        <v>3.9158639969561015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1.8001173884840681E-13</v>
      </c>
      <c r="P197" s="14">
        <f t="shared" ref="P197:P203" si="203">EXP(-1.0587+0.8836*LN(O197)+0.284)</f>
        <v>2.5254331426407198E-12</v>
      </c>
      <c r="Q197" s="22">
        <f t="shared" si="162"/>
        <v>4.7119831685935622E-12</v>
      </c>
      <c r="R197" s="62">
        <f t="shared" si="191"/>
        <v>288.66001611868535</v>
      </c>
      <c r="S197" s="62">
        <f ca="1">AVERAGE(OFFSET($R$3,0,0,'Données projet'!$E$9+1,1))-AVERAGE(OFFSET($H$3,0,0,'Données projet'!$E$9+1,1))</f>
        <v>327.07074355218322</v>
      </c>
      <c r="T197" s="62">
        <f t="shared" ref="T197:T203" si="204">$T$3</f>
        <v>462.01668587029087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0.31246205707012376</v>
      </c>
      <c r="AA197" s="23">
        <f>EXP(-LN(2)/25)*AA196+(1-EXP(-LN(2)/25))/(LN(2)/25)*Calculateur!V197*Calculateur!X197*VLOOKUP('Données projet'!$B$9,Paramètres!$A$1:$I$89,3,0)*0.475*44/12</f>
        <v>8.6523867885331118E-2</v>
      </c>
      <c r="AB197" s="23">
        <f>EXP(-LN(2)/2)*AB196+(1-EXP(-LN(2)/2))/(LN(2)/2)*V197*Y197*VLOOKUP('Données projet'!$B$9,Paramètres!$A$1:$I$89,3,0)*0.475*44/12</f>
        <v>1.2190802239598999E-28</v>
      </c>
      <c r="AC197" s="24">
        <f t="shared" si="163"/>
        <v>0.39898592495545487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499.92116338695428</v>
      </c>
      <c r="AO197" s="62">
        <f t="shared" ref="AO197:AO203" si="205">$AO$3</f>
        <v>316.79403154855652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211.70619219850786</v>
      </c>
      <c r="BJ197" s="62">
        <f t="shared" ref="BJ197:BJ203" si="206">$BJ$3</f>
        <v>426.883837098247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3.8390762924169914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5.5004397225100753E-23</v>
      </c>
      <c r="BS197" s="24">
        <f t="shared" si="169"/>
        <v>3.8390762924169914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1.8001173884840681E-13</v>
      </c>
      <c r="P198" s="14">
        <f t="shared" si="203"/>
        <v>2.5254331426407198E-12</v>
      </c>
      <c r="Q198" s="22">
        <f t="shared" si="162"/>
        <v>4.7119831685935622E-12</v>
      </c>
      <c r="R198" s="62">
        <f t="shared" si="191"/>
        <v>288.74108772438751</v>
      </c>
      <c r="S198" s="62">
        <f ca="1">AVERAGE(OFFSET($R$3,0,0,'Données projet'!$E$9+1,1))-AVERAGE(OFFSET($H$3,0,0,'Données projet'!$E$9+1,1))</f>
        <v>327.07074355218322</v>
      </c>
      <c r="T198" s="62">
        <f t="shared" si="204"/>
        <v>462.01668587029087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0.30633486671401494</v>
      </c>
      <c r="AA198" s="23">
        <f>EXP(-LN(2)/25)*AA197+(1-EXP(-LN(2)/25))/(LN(2)/25)*Calculateur!V198*Calculateur!X198*VLOOKUP('Données projet'!$B$9,Paramètres!$A$1:$I$89,3,0)*0.475*44/12</f>
        <v>8.4157868167914276E-2</v>
      </c>
      <c r="AB198" s="23">
        <f>EXP(-LN(2)/2)*AB197+(1-EXP(-LN(2)/2))/(LN(2)/2)*V198*Y198*VLOOKUP('Données projet'!$B$9,Paramètres!$A$1:$I$89,3,0)*0.475*44/12</f>
        <v>8.6201989317246031E-29</v>
      </c>
      <c r="AC198" s="24">
        <f t="shared" si="163"/>
        <v>0.3904927348819292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499.92116338695428</v>
      </c>
      <c r="AO198" s="62">
        <f t="shared" si="205"/>
        <v>316.79403154855652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211.70619219850786</v>
      </c>
      <c r="BJ198" s="62">
        <f t="shared" si="206"/>
        <v>426.883837098247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3.7637943479280183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3.8893982272947261E-23</v>
      </c>
      <c r="BS198" s="24">
        <f t="shared" si="169"/>
        <v>3.7637943479280183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1.8001173884840681E-13</v>
      </c>
      <c r="P199" s="14">
        <f t="shared" si="203"/>
        <v>2.5254331426407198E-12</v>
      </c>
      <c r="Q199" s="22">
        <f t="shared" si="162"/>
        <v>4.7119831685935622E-12</v>
      </c>
      <c r="R199" s="62">
        <f t="shared" si="191"/>
        <v>288.82075291897968</v>
      </c>
      <c r="S199" s="62">
        <f ca="1">AVERAGE(OFFSET($R$3,0,0,'Données projet'!$E$9+1,1))-AVERAGE(OFFSET($H$3,0,0,'Données projet'!$E$9+1,1))</f>
        <v>327.07074355218322</v>
      </c>
      <c r="T199" s="62">
        <f t="shared" si="204"/>
        <v>462.01668587029087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0.30032782682357229</v>
      </c>
      <c r="AA199" s="23">
        <f>EXP(-LN(2)/25)*AA198+(1-EXP(-LN(2)/25))/(LN(2)/25)*Calculateur!V199*Calculateur!X199*VLOOKUP('Données projet'!$B$9,Paramètres!$A$1:$I$89,3,0)*0.475*44/12</f>
        <v>8.1856566837192724E-2</v>
      </c>
      <c r="AB199" s="23">
        <f>EXP(-LN(2)/2)*AB198+(1-EXP(-LN(2)/2))/(LN(2)/2)*V199*Y199*VLOOKUP('Données projet'!$B$9,Paramètres!$A$1:$I$89,3,0)*0.475*44/12</f>
        <v>6.0954011197994996E-29</v>
      </c>
      <c r="AC199" s="24">
        <f t="shared" si="163"/>
        <v>0.38218439366076501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499.92116338695428</v>
      </c>
      <c r="AO199" s="62">
        <f t="shared" si="205"/>
        <v>316.79403154855652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211.70619219850786</v>
      </c>
      <c r="BJ199" s="62">
        <f t="shared" si="206"/>
        <v>426.883837098247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3.6899886364530219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2.7502198612550377E-23</v>
      </c>
      <c r="BS199" s="24">
        <f t="shared" si="169"/>
        <v>3.6899886364530219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1.8001173884840681E-13</v>
      </c>
      <c r="P200" s="14">
        <f t="shared" si="203"/>
        <v>2.5254331426407198E-12</v>
      </c>
      <c r="Q200" s="22">
        <f t="shared" si="162"/>
        <v>4.7119831685935622E-12</v>
      </c>
      <c r="R200" s="62">
        <f t="shared" si="191"/>
        <v>288.89903610055035</v>
      </c>
      <c r="S200" s="62">
        <f ca="1">AVERAGE(OFFSET($R$3,0,0,'Données projet'!$E$9+1,1))-AVERAGE(OFFSET($H$3,0,0,'Données projet'!$E$9+1,1))</f>
        <v>327.07074355218322</v>
      </c>
      <c r="T200" s="62">
        <f t="shared" si="204"/>
        <v>462.01668587029087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0.29443858132144868</v>
      </c>
      <c r="AA200" s="23">
        <f>EXP(-LN(2)/25)*AA199+(1-EXP(-LN(2)/25))/(LN(2)/25)*Calculateur!V200*Calculateur!X200*VLOOKUP('Données projet'!$B$9,Paramètres!$A$1:$I$89,3,0)*0.475*44/12</f>
        <v>7.9618194712379922E-2</v>
      </c>
      <c r="AB200" s="23">
        <f>EXP(-LN(2)/2)*AB199+(1-EXP(-LN(2)/2))/(LN(2)/2)*V200*Y200*VLOOKUP('Données projet'!$B$9,Paramètres!$A$1:$I$89,3,0)*0.475*44/12</f>
        <v>4.3100994658623016E-29</v>
      </c>
      <c r="AC200" s="24">
        <f t="shared" si="163"/>
        <v>0.37405677603382859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499.92116338695428</v>
      </c>
      <c r="AO200" s="62">
        <f t="shared" si="205"/>
        <v>316.79403154855652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211.70619219850786</v>
      </c>
      <c r="BJ200" s="62">
        <f t="shared" si="206"/>
        <v>426.883837098247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3.6176302099630111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1.944699113647363E-23</v>
      </c>
      <c r="BS200" s="24">
        <f t="shared" si="169"/>
        <v>3.6176302099630111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1.8001173884840681E-13</v>
      </c>
      <c r="P201" s="14">
        <f t="shared" si="203"/>
        <v>2.5254331426407198E-12</v>
      </c>
      <c r="Q201" s="22">
        <f t="shared" si="162"/>
        <v>4.7119831685935622E-12</v>
      </c>
      <c r="R201" s="62">
        <f t="shared" si="191"/>
        <v>288.97596124393579</v>
      </c>
      <c r="S201" s="62">
        <f ca="1">AVERAGE(OFFSET($R$3,0,0,'Données projet'!$E$9+1,1))-AVERAGE(OFFSET($H$3,0,0,'Données projet'!$E$9+1,1))</f>
        <v>327.07074355218322</v>
      </c>
      <c r="T201" s="62">
        <f t="shared" si="204"/>
        <v>462.01668587029087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0.28866482033153668</v>
      </c>
      <c r="AA201" s="23">
        <f>EXP(-LN(2)/25)*AA200+(1-EXP(-LN(2)/25))/(LN(2)/25)*Calculateur!V201*Calculateur!X201*VLOOKUP('Données projet'!$B$9,Paramètres!$A$1:$I$89,3,0)*0.475*44/12</f>
        <v>7.7441030991031001E-2</v>
      </c>
      <c r="AB201" s="23">
        <f>EXP(-LN(2)/2)*AB200+(1-EXP(-LN(2)/2))/(LN(2)/2)*V201*Y201*VLOOKUP('Données projet'!$B$9,Paramètres!$A$1:$I$89,3,0)*0.475*44/12</f>
        <v>3.0477005598997498E-29</v>
      </c>
      <c r="AC201" s="24">
        <f t="shared" si="163"/>
        <v>0.36610585132256768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499.92116338695428</v>
      </c>
      <c r="AO201" s="62">
        <f t="shared" si="205"/>
        <v>316.79403154855652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211.70619219850786</v>
      </c>
      <c r="BJ201" s="62">
        <f t="shared" si="206"/>
        <v>426.883837098247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3.5466906880821871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1.3751099306275188E-23</v>
      </c>
      <c r="BS201" s="24">
        <f t="shared" si="169"/>
        <v>3.5466906880821871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1.8001173884840681E-13</v>
      </c>
      <c r="P202" s="14">
        <f t="shared" si="203"/>
        <v>2.5254331426407198E-12</v>
      </c>
      <c r="Q202" s="22">
        <f t="shared" si="162"/>
        <v>4.7119831685935622E-12</v>
      </c>
      <c r="R202" s="62">
        <f t="shared" si="191"/>
        <v>289.05155190806232</v>
      </c>
      <c r="S202" s="62">
        <f ca="1">AVERAGE(OFFSET($R$3,0,0,'Données projet'!$E$9+1,1))-AVERAGE(OFFSET($H$3,0,0,'Données projet'!$E$9+1,1))</f>
        <v>327.07074355218322</v>
      </c>
      <c r="T202" s="62">
        <f t="shared" si="204"/>
        <v>462.01668587029087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0.28300427927299038</v>
      </c>
      <c r="AA202" s="23">
        <f>EXP(-LN(2)/25)*AA201+(1-EXP(-LN(2)/25))/(LN(2)/25)*Calculateur!V202*Calculateur!X202*VLOOKUP('Données projet'!$B$9,Paramètres!$A$1:$I$89,3,0)*0.475*44/12</f>
        <v>7.5323401926134431E-2</v>
      </c>
      <c r="AB202" s="23">
        <f>EXP(-LN(2)/2)*AB201+(1-EXP(-LN(2)/2))/(LN(2)/2)*V202*Y202*VLOOKUP('Données projet'!$B$9,Paramètres!$A$1:$I$89,3,0)*0.475*44/12</f>
        <v>2.1550497329311508E-29</v>
      </c>
      <c r="AC202" s="24">
        <f t="shared" si="163"/>
        <v>0.35832768119912484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499.92116338695428</v>
      </c>
      <c r="AO202" s="62">
        <f t="shared" si="205"/>
        <v>316.79403154855652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211.70619219850786</v>
      </c>
      <c r="BJ202" s="62">
        <f t="shared" si="206"/>
        <v>426.883837098247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3.47714224695661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9.7234955682368152E-24</v>
      </c>
      <c r="BS202" s="24">
        <f t="shared" si="169"/>
        <v>3.47714224695661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1.8001173884840681E-13</v>
      </c>
      <c r="P203" s="14">
        <f t="shared" si="203"/>
        <v>2.5254331426407198E-12</v>
      </c>
      <c r="Q203" s="22">
        <f t="shared" si="162"/>
        <v>4.7119831685935622E-12</v>
      </c>
      <c r="R203" s="62">
        <f t="shared" si="191"/>
        <v>289.12583124316171</v>
      </c>
      <c r="S203" s="62">
        <f ca="1">AVERAGE(OFFSET($R$3,0,0,'Données projet'!$E$9+1,1))-AVERAGE(OFFSET($H$3,0,0,'Données projet'!$E$9+1,1))</f>
        <v>327.07074355218322</v>
      </c>
      <c r="T203" s="62">
        <f t="shared" si="204"/>
        <v>462.01668587029087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0.27745473797201303</v>
      </c>
      <c r="AA203" s="23">
        <f>EXP(-LN(2)/25)*AA202+(1-EXP(-LN(2)/25))/(LN(2)/25)*Calculateur!V203*Calculateur!X203*VLOOKUP('Données projet'!$B$9,Paramètres!$A$1:$I$89,3,0)*0.475*44/12</f>
        <v>7.3263679539378734E-2</v>
      </c>
      <c r="AB203" s="23">
        <f>EXP(-LN(2)/2)*AB202+(1-EXP(-LN(2)/2))/(LN(2)/2)*V203*Y203*VLOOKUP('Données projet'!$B$9,Paramètres!$A$1:$I$89,3,0)*0.475*44/12</f>
        <v>1.5238502799498749E-29</v>
      </c>
      <c r="AC203" s="24">
        <f t="shared" si="163"/>
        <v>0.35071841751139177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499.92116338695428</v>
      </c>
      <c r="AO203" s="62">
        <f t="shared" si="205"/>
        <v>316.79403154855652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211.70619219850786</v>
      </c>
      <c r="BJ203" s="62">
        <f t="shared" si="206"/>
        <v>426.883837098247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3.408957608341145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6.8755496531375942E-24</v>
      </c>
      <c r="BS203" s="24">
        <f t="shared" si="169"/>
        <v>3.408957608341145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1.4261938757879591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3.7350000000000003</v>
      </c>
      <c r="C6" s="156">
        <f ca="1">IF(OR('Données projet'!B9="",'Données projet'!C9="",'Données projet'!C9=0%),0,Calculateur!S3)</f>
        <v>327.07074355218322</v>
      </c>
      <c r="D6" s="156">
        <f>IF(OR('Données projet'!B9="",'Données projet'!C9="",'Données projet'!C9=0%),0,Calculateur!T3)</f>
        <v>462.01668587029087</v>
      </c>
      <c r="E6" s="156">
        <f ca="1">MIN(C6,D6)</f>
        <v>327.07074355218322</v>
      </c>
      <c r="F6" s="156">
        <f ca="1">E6*B6</f>
        <v>1221.6092271674045</v>
      </c>
      <c r="G6" s="156">
        <f ca="1">F6*(100%-'Données projet'!$C$24)*(100%-'Données projet'!$C$25)*(100%-'Données projet'!$C$26)*(100%-'Données projet'!$C$27)</f>
        <v>1099.448304450664</v>
      </c>
      <c r="H6" s="157">
        <f>IF(OR('Données projet'!B9="",'Données projet'!C9="",'Données projet'!C9=0%),0,AVERAGE(Calculateur!$AC$3:$AC$33)*B6)</f>
        <v>29.547244587017087</v>
      </c>
      <c r="I6" s="158">
        <f>H6*(100%-'Données projet'!$C$24)*(100%-'Données projet'!$C$25)*(100%-'Données projet'!$C$26)*(100%-'Données projet'!$C$27)</f>
        <v>26.592520128315378</v>
      </c>
      <c r="J6" s="159">
        <f>IF(OR('Données projet'!B9="",'Données projet'!C9="",'Données projet'!C9=0%),0,SUM(Calculateur!$V$3:$V$33)*VLOOKUP('Données projet'!$B$9,Paramètres!$A$1:$I$89,9,0)*B6)</f>
        <v>70.965000000000003</v>
      </c>
      <c r="K6" s="160">
        <f>J6*(100%-'Données projet'!$C$24)*(100%-'Données projet'!$C$25)*(100%-'Données projet'!$C$26)*(100%-'Données projet'!$C$27)</f>
        <v>63.868500000000004</v>
      </c>
      <c r="L6" s="161">
        <f ca="1">G6+I6+K6</f>
        <v>1189.9093245789793</v>
      </c>
      <c r="M6" s="25">
        <f ca="1">L6/B6</f>
        <v>318.58348716974007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1.494</v>
      </c>
      <c r="C7" s="156">
        <f ca="1">IF(OR('Données projet'!B10="",'Données projet'!C10="",'Données projet'!C10=0%),0,Calculateur!AN3)</f>
        <v>499.92116338695428</v>
      </c>
      <c r="D7" s="156">
        <f>IF(OR('Données projet'!B10="",'Données projet'!C10="",'Données projet'!C10=0%),0,Calculateur!AO3)</f>
        <v>316.79403154855652</v>
      </c>
      <c r="E7" s="156">
        <f t="shared" ref="E7:E15" ca="1" si="0">MIN(C7,D7)</f>
        <v>316.79403154855652</v>
      </c>
      <c r="F7" s="156">
        <f t="shared" ref="F7:F15" ca="1" si="1">E7*B7</f>
        <v>473.29028313354343</v>
      </c>
      <c r="G7" s="156">
        <f ca="1">F7*(100%-'Données projet'!$C$24)*(100%-'Données projet'!$C$25)*(100%-'Données projet'!$C$26)*(100%-'Données projet'!$C$27)</f>
        <v>425.96125482018908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23.157</v>
      </c>
      <c r="K7" s="160">
        <f>J7*(100%-'Données projet'!$C$24)*(100%-'Données projet'!$C$25)*(100%-'Données projet'!$C$26)*(100%-'Données projet'!$C$27)</f>
        <v>20.8413</v>
      </c>
      <c r="L7" s="161">
        <f t="shared" ref="L7:L15" ca="1" si="2">G7+I7+K7</f>
        <v>446.80255482018907</v>
      </c>
      <c r="M7" s="25">
        <f ca="1">L7/B7</f>
        <v>299.06462839370084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3.0710000000000002</v>
      </c>
      <c r="C8" s="156">
        <f ca="1">IF(OR('Données projet'!B11="",'Données projet'!C11="",'Données projet'!C11=0%),0,Calculateur!BI3)</f>
        <v>211.70619219850786</v>
      </c>
      <c r="D8" s="156">
        <f>IF(OR('Données projet'!B11="",'Données projet'!C11="",'Données projet'!C11=0%),0,Calculateur!BJ3)</f>
        <v>426.883837098247</v>
      </c>
      <c r="E8" s="156">
        <f t="shared" ca="1" si="0"/>
        <v>211.70619219850786</v>
      </c>
      <c r="F8" s="156">
        <f t="shared" ca="1" si="1"/>
        <v>650.14971624161774</v>
      </c>
      <c r="G8" s="156">
        <f ca="1">F8*(100%-'Données projet'!$C$24)*(100%-'Données projet'!$C$25)*(100%-'Données projet'!$C$26)*(100%-'Données projet'!$C$27)</f>
        <v>585.13474461745602</v>
      </c>
      <c r="H8" s="164">
        <f>IF(OR('Données projet'!B11="",'Données projet'!C11="",'Données projet'!C11=0%),0,AVERAGE(Calculateur!$BS$3:$BS$33)*B8)</f>
        <v>29.739508675210381</v>
      </c>
      <c r="I8" s="158">
        <f>H8*(100%-'Données projet'!$C$24)*(100%-'Données projet'!$C$25)*(100%-'Données projet'!$C$26)*(100%-'Données projet'!$C$27)</f>
        <v>26.765557807689344</v>
      </c>
      <c r="J8" s="159">
        <f>IF(OR('Données projet'!B11="",'Données projet'!C11="",'Données projet'!C11=0%),0,SUM(Calculateur!$BL$3:$BL$33)*VLOOKUP('Données projet'!$B$11,Paramètres!$A$1:$I$89,9,0)*B8)</f>
        <v>217.42680000000001</v>
      </c>
      <c r="K8" s="160">
        <f>J8*(100%-'Données projet'!$C$24)*(100%-'Données projet'!$C$25)*(100%-'Données projet'!$C$26)*(100%-'Données projet'!$C$27)</f>
        <v>195.68412000000001</v>
      </c>
      <c r="L8" s="161">
        <f t="shared" ca="1" si="2"/>
        <v>807.58442242514536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2345.0492265425655</v>
      </c>
      <c r="G16" s="175">
        <f t="shared" ca="1" si="3"/>
        <v>2110.5443038883091</v>
      </c>
      <c r="H16" s="176">
        <f t="shared" si="3"/>
        <v>59.286753262227464</v>
      </c>
      <c r="I16" s="176">
        <f t="shared" si="3"/>
        <v>53.358077936004719</v>
      </c>
      <c r="J16" s="177">
        <f t="shared" si="3"/>
        <v>311.54880000000003</v>
      </c>
      <c r="K16" s="177">
        <f t="shared" si="3"/>
        <v>280.39391999999998</v>
      </c>
      <c r="L16" s="178">
        <f t="shared" ca="1" si="3"/>
        <v>2444.2963018243136</v>
      </c>
      <c r="M16" s="25">
        <f ca="1">L16/6.42</f>
        <v>380.73151118758778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0" zoomScale="90" zoomScaleNormal="90" workbookViewId="0">
      <selection activeCell="I31" sqref="I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2193.6155616609549</v>
      </c>
      <c r="U10" s="190">
        <f>'Données projet'!D9</f>
        <v>3.7350000000000003</v>
      </c>
      <c r="V10" s="189">
        <f>U10*T10</f>
        <v>8193.1541228036676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827.57228784415747</v>
      </c>
      <c r="U11" s="190">
        <f>'Données projet'!D10</f>
        <v>1.494</v>
      </c>
      <c r="V11" s="189">
        <f t="shared" ref="V11" si="0">U11*T11</f>
        <v>1236.3929980391713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4668.7303670436995</v>
      </c>
      <c r="U12" s="190">
        <f>'Données projet'!D11</f>
        <v>3.0710000000000002</v>
      </c>
      <c r="V12" s="189">
        <f t="shared" ref="V12:V19" si="1">U12*T12</f>
        <v>14337.670957191202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(16332+7229)/8.3</f>
        <v>2838.6746987951806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(2555+3255)/8.4</f>
        <v>691.66666666666663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(4359+3105)/8.4</f>
        <v>888.57142857142856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4</v>
      </c>
      <c r="C23" s="206">
        <v>8</v>
      </c>
      <c r="D23" s="194">
        <f>B23*C23</f>
        <v>32</v>
      </c>
      <c r="E23" s="206"/>
      <c r="F23" s="261"/>
      <c r="H23" s="203">
        <v>3</v>
      </c>
      <c r="I23" s="204">
        <f>(3941+2664)/8.4</f>
        <v>786.30952380952374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-17760.076578816792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17</v>
      </c>
      <c r="C25" s="206">
        <v>17</v>
      </c>
      <c r="D25" s="194">
        <f t="shared" si="2"/>
        <v>289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-17760.076578816792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14</v>
      </c>
      <c r="C26" s="206">
        <v>18</v>
      </c>
      <c r="D26" s="194">
        <f t="shared" si="2"/>
        <v>252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11</v>
      </c>
      <c r="C27" s="206">
        <v>20</v>
      </c>
      <c r="D27" s="194">
        <f t="shared" si="2"/>
        <v>220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9</v>
      </c>
      <c r="C28" s="206">
        <v>25</v>
      </c>
      <c r="D28" s="194">
        <f t="shared" si="2"/>
        <v>225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7</v>
      </c>
      <c r="C29" s="206">
        <v>30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6</v>
      </c>
      <c r="C30" s="206">
        <v>35</v>
      </c>
      <c r="D30" s="194">
        <f t="shared" si="2"/>
        <v>210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252</v>
      </c>
      <c r="C31" s="206">
        <v>45</v>
      </c>
      <c r="D31" s="194">
        <f t="shared" si="2"/>
        <v>11340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15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04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13</v>
      </c>
      <c r="B85" s="193">
        <f>'Données projet'!D88</f>
        <v>28</v>
      </c>
      <c r="C85" s="204">
        <v>12</v>
      </c>
      <c r="D85" s="191">
        <f>B85*C85</f>
        <v>336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18</v>
      </c>
      <c r="B86" s="193">
        <f>'Données projet'!D89</f>
        <v>40</v>
      </c>
      <c r="C86" s="204">
        <v>30</v>
      </c>
      <c r="D86" s="191">
        <f t="shared" ref="D86:D104" si="6">B86*C86</f>
        <v>1200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23</v>
      </c>
      <c r="B87" s="193">
        <f>'Données projet'!D90</f>
        <v>52</v>
      </c>
      <c r="C87" s="204">
        <v>35</v>
      </c>
      <c r="D87" s="191">
        <f t="shared" si="6"/>
        <v>1820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34</v>
      </c>
      <c r="B89" s="193">
        <f>'Données projet'!D92</f>
        <v>325</v>
      </c>
      <c r="C89" s="204">
        <v>45</v>
      </c>
      <c r="D89" s="191">
        <f t="shared" si="6"/>
        <v>14625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2025-03-31T14:41:44Z</dcterms:modified>
</cp:coreProperties>
</file>