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didierpaillereau/Documents/forêts/GF Cimes/projet carbone 2024/"/>
    </mc:Choice>
  </mc:AlternateContent>
  <xr:revisionPtr revIDLastSave="0" documentId="13_ncr:1_{08802E00-B658-1246-9719-C4F9D23FFA75}" xr6:coauthVersionLast="47" xr6:coauthVersionMax="47" xr10:uidLastSave="{00000000-0000-0000-0000-000000000000}"/>
  <bookViews>
    <workbookView xWindow="1260" yWindow="460" windowWidth="25500" windowHeight="153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53" i="1" l="1"/>
  <c r="B154" i="1" s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L3" i="2" s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FS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FS139" i="2"/>
  <c r="HH139" i="2"/>
  <c r="EA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G145" i="2"/>
  <c r="EB145" i="2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G150" i="2"/>
  <c r="HH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ED154" i="2"/>
  <c r="EA155" i="2"/>
  <c r="AC154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EY155" i="2"/>
  <c r="ED155" i="2"/>
  <c r="AB156" i="2"/>
  <c r="EB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D157" i="2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H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D159" i="2"/>
  <c r="FS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D160" i="2"/>
  <c r="EX161" i="2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D161" i="2"/>
  <c r="EW162" i="2"/>
  <c r="EY161" i="2"/>
  <c r="EC162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HH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FR164" i="2"/>
  <c r="DH164" i="2"/>
  <c r="EV164" i="2"/>
  <c r="FS164" i="2"/>
  <c r="EA164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C167" i="2"/>
  <c r="FR167" i="2"/>
  <c r="EX167" i="2"/>
  <c r="DG167" i="2"/>
  <c r="HH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A172" i="2"/>
  <c r="EV172" i="2"/>
  <c r="EW172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W173" i="2"/>
  <c r="EB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FS175" i="2" l="1"/>
  <c r="ED174" i="2"/>
  <c r="EW175" i="2"/>
  <c r="EA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EW178" i="2"/>
  <c r="FQ178" i="2"/>
  <c r="EA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B179" i="2"/>
  <c r="DF179" i="2"/>
  <c r="EV179" i="2"/>
  <c r="HG179" i="2"/>
  <c r="HI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EB185" i="2"/>
  <c r="EA185" i="2"/>
  <c r="EV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A186" i="2"/>
  <c r="ED185" i="2"/>
  <c r="FS186" i="2"/>
  <c r="FR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HH192" i="2"/>
  <c r="HG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X193" i="2"/>
  <c r="EA193" i="2"/>
  <c r="DI192" i="2"/>
  <c r="FQ193" i="2"/>
  <c r="HI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D193" i="2"/>
  <c r="EA194" i="2"/>
  <c r="EB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FQ195" i="2"/>
  <c r="EX195" i="2"/>
  <c r="EY194" i="2"/>
  <c r="DH195" i="2"/>
  <c r="AA195" i="2"/>
  <c r="EB195" i="2"/>
  <c r="HI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A197" i="2"/>
  <c r="AA197" i="2"/>
  <c r="EY196" i="2"/>
  <c r="EC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EA199" i="2"/>
  <c r="EB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Y200" i="2"/>
  <c r="ED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D201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43" i="2" a="1"/>
  <c r="DN43" i="2" s="1"/>
  <c r="EI195" i="2" a="1"/>
  <c r="EI195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4" i="2" a="1"/>
  <c r="FD64" i="2" s="1"/>
  <c r="FD159" i="2" a="1"/>
  <c r="FD159" i="2" s="1"/>
  <c r="FD160" i="2" a="1"/>
  <c r="FD160" i="2" s="1"/>
  <c r="FD19" i="2" a="1"/>
  <c r="FD19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134" i="2" l="1" a="1"/>
  <c r="CS134" i="2" s="1"/>
  <c r="CS56" i="2" a="1"/>
  <c r="CS56" i="2" s="1"/>
  <c r="CS185" i="2" a="1"/>
  <c r="CS185" i="2" s="1"/>
  <c r="CS38" i="2" a="1"/>
  <c r="CS38" i="2" s="1"/>
  <c r="CS137" i="2" a="1"/>
  <c r="CS137" i="2" s="1"/>
  <c r="CS24" i="2" a="1"/>
  <c r="CS24" i="2" s="1"/>
  <c r="CS72" i="2" a="1"/>
  <c r="CS72" i="2" s="1"/>
  <c r="CS105" i="2" a="1"/>
  <c r="CS105" i="2" s="1"/>
  <c r="CS120" i="2" a="1"/>
  <c r="CS120" i="2" s="1"/>
  <c r="CS114" i="2" a="1"/>
  <c r="CS114" i="2" s="1"/>
  <c r="CS161" i="2" a="1"/>
  <c r="CS161" i="2" s="1"/>
  <c r="CS116" i="2" a="1"/>
  <c r="CS116" i="2" s="1"/>
  <c r="CS77" i="2" a="1"/>
  <c r="CS77" i="2" s="1"/>
  <c r="CS129" i="2" a="1"/>
  <c r="CS129" i="2" s="1"/>
  <c r="CS52" i="2" a="1"/>
  <c r="CS52" i="2" s="1"/>
  <c r="BC58" i="2" a="1"/>
  <c r="BC58" i="2" s="1"/>
  <c r="AH166" i="2" a="1"/>
  <c r="AH166" i="2" s="1"/>
  <c r="AH19" i="2" a="1"/>
  <c r="AH19" i="2" s="1"/>
  <c r="AH92" i="2" a="1"/>
  <c r="AH92" i="2" s="1"/>
  <c r="AH90" i="2" a="1"/>
  <c r="AH90" i="2" s="1"/>
  <c r="AH62" i="2" a="1"/>
  <c r="AH62" i="2" s="1"/>
  <c r="AH199" i="2" a="1"/>
  <c r="AH199" i="2" s="1"/>
  <c r="AH151" i="2" a="1"/>
  <c r="AH151" i="2" s="1"/>
  <c r="FD194" i="2" a="1"/>
  <c r="FD194" i="2" s="1"/>
  <c r="FD107" i="2" a="1"/>
  <c r="FD107" i="2" s="1"/>
  <c r="FD167" i="2" a="1"/>
  <c r="FD167" i="2" s="1"/>
  <c r="FD137" i="2" a="1"/>
  <c r="FD137" i="2" s="1"/>
  <c r="FD131" i="2" a="1"/>
  <c r="FD131" i="2" s="1"/>
  <c r="FD43" i="2" a="1"/>
  <c r="FD43" i="2" s="1"/>
  <c r="FD59" i="2" a="1"/>
  <c r="FD59" i="2" s="1"/>
  <c r="FD14" i="2" a="1"/>
  <c r="FD14" i="2" s="1"/>
  <c r="FD188" i="2" a="1"/>
  <c r="FD188" i="2" s="1"/>
  <c r="FD60" i="2" a="1"/>
  <c r="FD60" i="2" s="1"/>
  <c r="FD144" i="2" a="1"/>
  <c r="FD144" i="2" s="1"/>
  <c r="FD189" i="2" a="1"/>
  <c r="FD189" i="2" s="1"/>
  <c r="FD44" i="2" a="1"/>
  <c r="FD44" i="2" s="1"/>
  <c r="FD48" i="2" a="1"/>
  <c r="FD48" i="2" s="1"/>
  <c r="FD21" i="2" a="1"/>
  <c r="FD21" i="2" s="1"/>
  <c r="EI106" i="2" a="1"/>
  <c r="EI106" i="2" s="1"/>
  <c r="DN132" i="2" a="1"/>
  <c r="DN132" i="2" s="1"/>
  <c r="DN30" i="2" a="1"/>
  <c r="DN30" i="2" s="1"/>
  <c r="DN46" i="2" a="1"/>
  <c r="DN46" i="2" s="1"/>
  <c r="DN176" i="2" a="1"/>
  <c r="DN176" i="2" s="1"/>
  <c r="DN190" i="2" a="1"/>
  <c r="DN190" i="2" s="1"/>
  <c r="DN133" i="2" a="1"/>
  <c r="DN133" i="2" s="1"/>
  <c r="DN65" i="2" a="1"/>
  <c r="DN65" i="2" s="1"/>
  <c r="DN16" i="2" a="1"/>
  <c r="DN16" i="2" s="1"/>
  <c r="DN70" i="2" a="1"/>
  <c r="DN70" i="2" s="1"/>
  <c r="DN55" i="2" a="1"/>
  <c r="DN55" i="2" s="1"/>
  <c r="DN31" i="2" a="1"/>
  <c r="DN31" i="2" s="1"/>
  <c r="DN167" i="2" a="1"/>
  <c r="DN167" i="2" s="1"/>
  <c r="DN123" i="2" a="1"/>
  <c r="DN123" i="2" s="1"/>
  <c r="DN164" i="2" a="1"/>
  <c r="DN164" i="2" s="1"/>
  <c r="DN135" i="2" a="1"/>
  <c r="DN135" i="2" s="1"/>
  <c r="DN80" i="2" a="1"/>
  <c r="DN80" i="2" s="1"/>
  <c r="DN114" i="2" a="1"/>
  <c r="DN114" i="2" s="1"/>
  <c r="DN110" i="2" a="1"/>
  <c r="DN110" i="2" s="1"/>
  <c r="DN162" i="2" a="1"/>
  <c r="DN162" i="2" s="1"/>
  <c r="DN38" i="2" a="1"/>
  <c r="DN38" i="2" s="1"/>
  <c r="DN49" i="2" a="1"/>
  <c r="DN49" i="2" s="1"/>
  <c r="DN168" i="2" a="1"/>
  <c r="DN168" i="2" s="1"/>
  <c r="DN150" i="2" a="1"/>
  <c r="DN150" i="2" s="1"/>
  <c r="DN103" i="2" a="1"/>
  <c r="DN103" i="2" s="1"/>
  <c r="DN63" i="2" a="1"/>
  <c r="DN63" i="2" s="1"/>
  <c r="DN192" i="2" a="1"/>
  <c r="DN192" i="2" s="1"/>
  <c r="DN66" i="2" a="1"/>
  <c r="DN66" i="2" s="1"/>
  <c r="DN188" i="2" a="1"/>
  <c r="DN188" i="2" s="1"/>
  <c r="DN86" i="2" a="1"/>
  <c r="DN86" i="2" s="1"/>
  <c r="DN115" i="2" a="1"/>
  <c r="DN115" i="2" s="1"/>
  <c r="DN153" i="2" a="1"/>
  <c r="DN153" i="2" s="1"/>
  <c r="DN177" i="2" a="1"/>
  <c r="DN177" i="2" s="1"/>
  <c r="DN170" i="2" a="1"/>
  <c r="DN170" i="2" s="1"/>
  <c r="DN129" i="2" a="1"/>
  <c r="DN129" i="2" s="1"/>
  <c r="DN50" i="2" a="1"/>
  <c r="DN50" i="2" s="1"/>
  <c r="DN113" i="2" a="1"/>
  <c r="DN113" i="2" s="1"/>
  <c r="DN25" i="2" a="1"/>
  <c r="DN25" i="2" s="1"/>
  <c r="DN29" i="2" a="1"/>
  <c r="DN29" i="2" s="1"/>
  <c r="DN184" i="2" a="1"/>
  <c r="DN184" i="2" s="1"/>
  <c r="DN152" i="2" a="1"/>
  <c r="DN152" i="2" s="1"/>
  <c r="DN41" i="2" a="1"/>
  <c r="DN41" i="2" s="1"/>
  <c r="DN155" i="2" a="1"/>
  <c r="DN155" i="2" s="1"/>
  <c r="DN124" i="2" a="1"/>
  <c r="DN124" i="2" s="1"/>
  <c r="DN186" i="2" a="1"/>
  <c r="DN186" i="2" s="1"/>
  <c r="DN137" i="2" a="1"/>
  <c r="DN137" i="2" s="1"/>
  <c r="DN56" i="2" a="1"/>
  <c r="DN5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CY112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CY36" i="2" l="1"/>
  <c r="CY119" i="2"/>
  <c r="CY133" i="2"/>
  <c r="CY75" i="2"/>
  <c r="CY117" i="2"/>
  <c r="CY87" i="2"/>
  <c r="CY53" i="2"/>
  <c r="CY68" i="2"/>
  <c r="CY199" i="2"/>
  <c r="CY57" i="2"/>
  <c r="CY172" i="2"/>
  <c r="CY110" i="2"/>
  <c r="CY50" i="2"/>
  <c r="CY95" i="2"/>
  <c r="CY167" i="2"/>
  <c r="CY65" i="2"/>
  <c r="CY102" i="2"/>
  <c r="CY85" i="2"/>
  <c r="CY158" i="2"/>
  <c r="CY33" i="2"/>
  <c r="CY92" i="2"/>
  <c r="CY202" i="2"/>
  <c r="CY200" i="2"/>
  <c r="CY132" i="2"/>
  <c r="CY114" i="2"/>
  <c r="CY91" i="2"/>
  <c r="CY140" i="2"/>
  <c r="CY34" i="2"/>
  <c r="CY40" i="2"/>
  <c r="CY16" i="2"/>
  <c r="CY138" i="2"/>
  <c r="CY71" i="2"/>
  <c r="CY84" i="2"/>
  <c r="CY169" i="2"/>
  <c r="CY128" i="2"/>
  <c r="CY135" i="2"/>
  <c r="CY174" i="2"/>
  <c r="CY190" i="2"/>
  <c r="CY118" i="2"/>
  <c r="CY15" i="2"/>
  <c r="CY147" i="2"/>
  <c r="CY178" i="2"/>
  <c r="CY56" i="2"/>
  <c r="CY8" i="2"/>
  <c r="CY13" i="2"/>
  <c r="CY51" i="2"/>
  <c r="CY3" i="2"/>
  <c r="C10" i="4" s="1"/>
  <c r="E10" i="4" s="1"/>
  <c r="F10" i="4" s="1"/>
  <c r="G10" i="4" s="1"/>
  <c r="L10" i="4" s="1"/>
  <c r="CY38" i="2"/>
  <c r="CY109" i="2"/>
  <c r="CY139" i="2"/>
  <c r="CY30" i="2"/>
  <c r="CY62" i="2"/>
  <c r="CY60" i="2"/>
  <c r="CY198" i="2"/>
  <c r="CY175" i="2"/>
  <c r="CY21" i="2"/>
  <c r="CY80" i="2"/>
  <c r="CY159" i="2"/>
  <c r="CY155" i="2"/>
  <c r="CY150" i="2"/>
  <c r="CY193" i="2"/>
  <c r="CY121" i="2"/>
  <c r="CY104" i="2"/>
  <c r="CY98" i="2"/>
  <c r="CY148" i="2"/>
  <c r="CY59" i="2"/>
  <c r="CY177" i="2"/>
  <c r="CY161" i="2"/>
  <c r="CY201" i="2"/>
  <c r="CY12" i="2"/>
  <c r="CY165" i="2"/>
  <c r="CY127" i="2"/>
  <c r="CY163" i="2"/>
  <c r="CY142" i="2"/>
  <c r="CY176" i="2"/>
  <c r="CY180" i="2"/>
  <c r="CY66" i="2"/>
  <c r="CY195" i="2"/>
  <c r="CY185" i="2"/>
  <c r="CY46" i="2"/>
  <c r="CY145" i="2"/>
  <c r="CY144" i="2"/>
  <c r="CY181" i="2"/>
  <c r="CY23" i="2"/>
  <c r="CY196" i="2"/>
  <c r="CY7" i="2"/>
  <c r="CY122" i="2"/>
  <c r="CY11" i="2"/>
  <c r="CY69" i="2"/>
  <c r="CY100" i="2"/>
  <c r="CY45" i="2"/>
  <c r="CY27" i="2"/>
  <c r="CY103" i="2"/>
  <c r="CY156" i="2"/>
  <c r="CY184" i="2"/>
  <c r="CY82" i="2"/>
  <c r="CY101" i="2"/>
  <c r="CY115" i="2"/>
  <c r="CY166" i="2"/>
  <c r="CY20" i="2"/>
  <c r="CY134" i="2"/>
  <c r="CY77" i="2"/>
  <c r="CY19" i="2"/>
  <c r="CY111" i="2"/>
  <c r="CY55" i="2"/>
  <c r="CY183" i="2"/>
  <c r="CY151" i="2"/>
  <c r="CY67" i="2"/>
  <c r="CY187" i="2"/>
  <c r="CY22" i="2"/>
  <c r="CY164" i="2"/>
  <c r="CY136" i="2"/>
  <c r="CY203" i="2"/>
  <c r="CY10" i="2"/>
  <c r="CY6" i="2"/>
  <c r="CY89" i="2"/>
  <c r="CY106" i="2"/>
  <c r="CY44" i="2"/>
  <c r="CY74" i="2"/>
  <c r="CY141" i="2"/>
  <c r="CY94" i="2"/>
  <c r="CY125" i="2"/>
  <c r="CY107" i="2"/>
  <c r="CY5" i="2"/>
  <c r="CY24" i="2"/>
  <c r="CY14" i="2"/>
  <c r="CY137" i="2"/>
  <c r="CY79" i="2"/>
  <c r="CY61" i="2"/>
  <c r="CY116" i="2"/>
  <c r="CY54" i="2"/>
  <c r="CY83" i="2"/>
  <c r="CY39" i="2"/>
  <c r="CY88" i="2"/>
  <c r="CY99" i="2"/>
  <c r="CY63" i="2"/>
  <c r="CY108" i="2"/>
  <c r="CY97" i="2"/>
  <c r="CY49" i="2"/>
  <c r="CY194" i="2"/>
  <c r="CY4" i="2"/>
  <c r="CY78" i="2"/>
  <c r="CY129" i="2"/>
  <c r="CY31" i="2"/>
  <c r="CY170" i="2"/>
  <c r="CY123" i="2"/>
  <c r="CY154" i="2"/>
  <c r="CY113" i="2"/>
  <c r="CY197" i="2"/>
  <c r="CY182" i="2"/>
  <c r="CY70" i="2"/>
  <c r="CY186" i="2"/>
  <c r="CY188" i="2"/>
  <c r="CY48" i="2"/>
  <c r="CY168" i="2"/>
  <c r="CY157" i="2"/>
  <c r="CY96" i="2"/>
  <c r="CY173" i="2"/>
  <c r="CY17" i="2"/>
  <c r="CY76" i="2"/>
  <c r="CY124" i="2"/>
  <c r="CY32" i="2"/>
  <c r="CY42" i="2"/>
  <c r="CY58" i="2"/>
  <c r="CY146" i="2"/>
  <c r="CY162" i="2"/>
  <c r="CY47" i="2"/>
  <c r="CY120" i="2"/>
  <c r="CY29" i="2"/>
  <c r="CY152" i="2"/>
  <c r="CY28" i="2"/>
  <c r="CY90" i="2"/>
  <c r="CY192" i="2"/>
  <c r="CY149" i="2"/>
  <c r="CY41" i="2"/>
  <c r="CY37" i="2"/>
  <c r="CY86" i="2"/>
  <c r="CY18" i="2"/>
  <c r="CY72" i="2"/>
  <c r="CY43" i="2"/>
  <c r="CY105" i="2"/>
  <c r="CY153" i="2"/>
  <c r="CY160" i="2"/>
  <c r="CY93" i="2"/>
  <c r="CY81" i="2"/>
  <c r="CY35" i="2"/>
  <c r="CY126" i="2"/>
  <c r="CY171" i="2"/>
  <c r="CY179" i="2"/>
  <c r="CY26" i="2"/>
  <c r="CY52" i="2"/>
  <c r="CY131" i="2"/>
  <c r="CY143" i="2"/>
  <c r="CY130" i="2"/>
  <c r="CY191" i="2"/>
  <c r="CY189" i="2"/>
  <c r="CY25" i="2"/>
  <c r="CY9" i="2"/>
  <c r="CY73" i="2"/>
  <c r="CY64" i="2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<sst xmlns="http://schemas.openxmlformats.org/spreadsheetml/2006/main" count="1129" uniqueCount="324">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</sst>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1.2254423494457609</c:v>
                </c:pt>
                <c:pt idx="2">
                  <c:v>3.2446168664957149</c:v>
                </c:pt>
                <c:pt idx="3">
                  <c:v>5.2179258012902769</c:v>
                </c:pt>
                <c:pt idx="4">
                  <c:v>7.1663567414460303</c:v>
                </c:pt>
                <c:pt idx="5">
                  <c:v>9.0978132600006436</c:v>
                </c:pt>
                <c:pt idx="6">
                  <c:v>10.961798035280573</c:v>
                </c:pt>
                <c:pt idx="7">
                  <c:v>12.816071577640272</c:v>
                </c:pt>
                <c:pt idx="8">
                  <c:v>14.662249689878307</c:v>
                </c:pt>
                <c:pt idx="9">
                  <c:v>16.501503447635862</c:v>
                </c:pt>
                <c:pt idx="10">
                  <c:v>18.334719028272797</c:v>
                </c:pt>
                <c:pt idx="11">
                  <c:v>20.162589399775332</c:v>
                </c:pt>
                <c:pt idx="12">
                  <c:v>21.985670632864682</c:v>
                </c:pt>
                <c:pt idx="13">
                  <c:v>23.804418365553989</c:v>
                </c:pt>
                <c:pt idx="14">
                  <c:v>25.619212436927352</c:v>
                </c:pt>
                <c:pt idx="15">
                  <c:v>27.430374116178225</c:v>
                </c:pt>
                <c:pt idx="16">
                  <c:v>29.238178507026898</c:v>
                </c:pt>
                <c:pt idx="17">
                  <c:v>31.042863700791941</c:v>
                </c:pt>
                <c:pt idx="18">
                  <c:v>32.844637674509393</c:v>
                </c:pt>
                <c:pt idx="19">
                  <c:v>34.64368358591917</c:v>
                </c:pt>
                <c:pt idx="20">
                  <c:v>36.440163903846461</c:v>
                </c:pt>
                <c:pt idx="21">
                  <c:v>38.2342236763267</c:v>
                </c:pt>
                <c:pt idx="22">
                  <c:v>40.025993149485693</c:v>
                </c:pt>
                <c:pt idx="23">
                  <c:v>41.815589890156922</c:v>
                </c:pt>
                <c:pt idx="24">
                  <c:v>43.603120524009938</c:v>
                </c:pt>
                <c:pt idx="25">
                  <c:v>45.388682172129371</c:v>
                </c:pt>
                <c:pt idx="26">
                  <c:v>55.021048366596325</c:v>
                </c:pt>
                <c:pt idx="27">
                  <c:v>64.609003364942211</c:v>
                </c:pt>
                <c:pt idx="28">
                  <c:v>74.160096244932106</c:v>
                </c:pt>
                <c:pt idx="29">
                  <c:v>83.679759116902574</c:v>
                </c:pt>
                <c:pt idx="30">
                  <c:v>93.172080657101858</c:v>
                </c:pt>
                <c:pt idx="31">
                  <c:v>104.49011310785191</c:v>
                </c:pt>
                <c:pt idx="32">
                  <c:v>115.77785737197435</c:v>
                </c:pt>
                <c:pt idx="33">
                  <c:v>127.03868706017153</c:v>
                </c:pt>
                <c:pt idx="34">
                  <c:v>138.27532721770669</c:v>
                </c:pt>
                <c:pt idx="35">
                  <c:v>149.49002281670283</c:v>
                </c:pt>
                <c:pt idx="36">
                  <c:v>160.68465382913149</c:v>
                </c:pt>
                <c:pt idx="37">
                  <c:v>171.86081644124263</c:v>
                </c:pt>
                <c:pt idx="38">
                  <c:v>183.01988197396963</c:v>
                </c:pt>
                <c:pt idx="39">
                  <c:v>194.16304064471555</c:v>
                </c:pt>
                <c:pt idx="40">
                  <c:v>205.29133473515969</c:v>
                </c:pt>
                <c:pt idx="41">
                  <c:v>222.46247518327695</c:v>
                </c:pt>
                <c:pt idx="42">
                  <c:v>239.60321698163875</c:v>
                </c:pt>
                <c:pt idx="43">
                  <c:v>256.71604092575211</c:v>
                </c:pt>
                <c:pt idx="44">
                  <c:v>273.80306989453715</c:v>
                </c:pt>
                <c:pt idx="45">
                  <c:v>290.86614008068233</c:v>
                </c:pt>
                <c:pt idx="46">
                  <c:v>307.90685461043864</c:v>
                </c:pt>
                <c:pt idx="47">
                  <c:v>223.57247309039982</c:v>
                </c:pt>
                <c:pt idx="48">
                  <c:v>241.81934217417586</c:v>
                </c:pt>
                <c:pt idx="49">
                  <c:v>260.03489159171852</c:v>
                </c:pt>
                <c:pt idx="50">
                  <c:v>278.22162375497288</c:v>
                </c:pt>
                <c:pt idx="51">
                  <c:v>296.38168710899475</c:v>
                </c:pt>
                <c:pt idx="52">
                  <c:v>314.51694528188909</c:v>
                </c:pt>
                <c:pt idx="53">
                  <c:v>332.62902943446431</c:v>
                </c:pt>
                <c:pt idx="54">
                  <c:v>350.71937860245998</c:v>
                </c:pt>
                <c:pt idx="55">
                  <c:v>368.78927127528976</c:v>
                </c:pt>
                <c:pt idx="56">
                  <c:v>386.83985045971804</c:v>
                </c:pt>
                <c:pt idx="57">
                  <c:v>313.61575226592186</c:v>
                </c:pt>
                <c:pt idx="58">
                  <c:v>331.32890213821253</c:v>
                </c:pt>
                <c:pt idx="59">
                  <c:v>349.02117423582143</c:v>
                </c:pt>
                <c:pt idx="60">
                  <c:v>366.69377549524091</c:v>
                </c:pt>
                <c:pt idx="61">
                  <c:v>384.34778704677433</c:v>
                </c:pt>
                <c:pt idx="62">
                  <c:v>401.98418262418687</c:v>
                </c:pt>
                <c:pt idx="63">
                  <c:v>419.60384357448828</c:v>
                </c:pt>
                <c:pt idx="64">
                  <c:v>437.20757121496905</c:v>
                </c:pt>
                <c:pt idx="65">
                  <c:v>454.79609709637583</c:v>
                </c:pt>
                <c:pt idx="66">
                  <c:v>472.37009159588257</c:v>
                </c:pt>
                <c:pt idx="67">
                  <c:v>388.63392005694885</c:v>
                </c:pt>
                <c:pt idx="68">
                  <c:v>405.37002304691242</c:v>
                </c:pt>
                <c:pt idx="69">
                  <c:v>422.09119450330417</c:v>
                </c:pt>
                <c:pt idx="70">
                  <c:v>438.79810900392067</c:v>
                </c:pt>
                <c:pt idx="71">
                  <c:v>455.49138558575549</c:v>
                </c:pt>
                <c:pt idx="72">
                  <c:v>472.17159422788433</c:v>
                </c:pt>
                <c:pt idx="73">
                  <c:v>488.83926137072314</c:v>
                </c:pt>
                <c:pt idx="74">
                  <c:v>505.49487464351949</c:v>
                </c:pt>
                <c:pt idx="75">
                  <c:v>522.13888693652405</c:v>
                </c:pt>
                <c:pt idx="76">
                  <c:v>538.77171992708645</c:v>
                </c:pt>
                <c:pt idx="77">
                  <c:v>447.6432324247956</c:v>
                </c:pt>
                <c:pt idx="78">
                  <c:v>461.64866945322973</c:v>
                </c:pt>
                <c:pt idx="79">
                  <c:v>475.64504237534555</c:v>
                </c:pt>
                <c:pt idx="80">
                  <c:v>489.63265542816242</c:v>
                </c:pt>
                <c:pt idx="81">
                  <c:v>503.61179405248805</c:v>
                </c:pt>
                <c:pt idx="82">
                  <c:v>517.58272655458052</c:v>
                </c:pt>
                <c:pt idx="83">
                  <c:v>531.54570557910438</c:v>
                </c:pt>
                <c:pt idx="84">
                  <c:v>545.50096941930758</c:v>
                </c:pt>
                <c:pt idx="85">
                  <c:v>559.44874318619202</c:v>
                </c:pt>
                <c:pt idx="86">
                  <c:v>573.38923985506824</c:v>
                </c:pt>
                <c:pt idx="87">
                  <c:v>479.3163865659435</c:v>
                </c:pt>
                <c:pt idx="88">
                  <c:v>492.21099800137716</c:v>
                </c:pt>
                <c:pt idx="89">
                  <c:v>505.09844897378497</c:v>
                </c:pt>
                <c:pt idx="90">
                  <c:v>517.97894789153167</c:v>
                </c:pt>
                <c:pt idx="91">
                  <c:v>530.852691954835</c:v>
                </c:pt>
                <c:pt idx="92">
                  <c:v>543.71986802143545</c:v>
                </c:pt>
                <c:pt idx="93">
                  <c:v>556.58065338607764</c:v>
                </c:pt>
                <c:pt idx="94">
                  <c:v>569.43521648422018</c:v>
                </c:pt>
                <c:pt idx="95">
                  <c:v>582.28371752891633</c:v>
                </c:pt>
                <c:pt idx="96">
                  <c:v>491.41769240661694</c:v>
                </c:pt>
                <c:pt idx="97">
                  <c:v>502.52152144554731</c:v>
                </c:pt>
                <c:pt idx="98">
                  <c:v>513.62016026281026</c:v>
                </c:pt>
                <c:pt idx="99">
                  <c:v>524.71373681756165</c:v>
                </c:pt>
                <c:pt idx="100">
                  <c:v>535.80237321728134</c:v>
                </c:pt>
                <c:pt idx="101">
                  <c:v>545.89675313933128</c:v>
                </c:pt>
                <c:pt idx="102">
                  <c:v>555.98721690157811</c:v>
                </c:pt>
                <c:pt idx="103">
                  <c:v>566.07384559506545</c:v>
                </c:pt>
                <c:pt idx="104">
                  <c:v>576.15671718544536</c:v>
                </c:pt>
                <c:pt idx="105">
                  <c:v>586.23590668718907</c:v>
                </c:pt>
                <c:pt idx="106">
                  <c:v>7.8530297811856558E-12</c:v>
                </c:pt>
                <c:pt idx="107">
                  <c:v>7.8530297811856558E-12</c:v>
                </c:pt>
                <c:pt idx="108">
                  <c:v>7.8530297811856558E-12</c:v>
                </c:pt>
                <c:pt idx="109">
                  <c:v>7.8530297811856558E-12</c:v>
                </c:pt>
                <c:pt idx="110">
                  <c:v>7.8530297811856558E-12</c:v>
                </c:pt>
                <c:pt idx="111">
                  <c:v>7.8530297811856558E-12</c:v>
                </c:pt>
                <c:pt idx="112">
                  <c:v>7.8530297811856558E-12</c:v>
                </c:pt>
                <c:pt idx="113">
                  <c:v>7.8530297811856558E-12</c:v>
                </c:pt>
                <c:pt idx="114">
                  <c:v>7.8530297811856558E-12</c:v>
                </c:pt>
                <c:pt idx="115">
                  <c:v>7.8530297811856558E-12</c:v>
                </c:pt>
                <c:pt idx="116">
                  <c:v>7.8530297811856558E-12</c:v>
                </c:pt>
                <c:pt idx="117">
                  <c:v>7.8530297811856558E-12</c:v>
                </c:pt>
                <c:pt idx="118">
                  <c:v>7.8530297811856558E-12</c:v>
                </c:pt>
                <c:pt idx="119">
                  <c:v>7.8530297811856558E-12</c:v>
                </c:pt>
                <c:pt idx="120">
                  <c:v>7.8530297811856558E-12</c:v>
                </c:pt>
                <c:pt idx="121">
                  <c:v>7.8530297811856558E-12</c:v>
                </c:pt>
                <c:pt idx="122">
                  <c:v>7.8530297811856558E-12</c:v>
                </c:pt>
                <c:pt idx="123">
                  <c:v>7.8530297811856558E-12</c:v>
                </c:pt>
                <c:pt idx="124">
                  <c:v>7.8530297811856558E-12</c:v>
                </c:pt>
                <c:pt idx="125">
                  <c:v>7.8530297811856558E-12</c:v>
                </c:pt>
                <c:pt idx="126">
                  <c:v>7.8530297811856558E-12</c:v>
                </c:pt>
                <c:pt idx="127">
                  <c:v>7.8530297811856558E-12</c:v>
                </c:pt>
                <c:pt idx="128">
                  <c:v>7.8530297811856558E-12</c:v>
                </c:pt>
                <c:pt idx="129">
                  <c:v>7.8530297811856558E-12</c:v>
                </c:pt>
                <c:pt idx="130">
                  <c:v>7.8530297811856558E-12</c:v>
                </c:pt>
                <c:pt idx="131">
                  <c:v>7.8530297811856558E-12</c:v>
                </c:pt>
                <c:pt idx="132">
                  <c:v>7.8530297811856558E-12</c:v>
                </c:pt>
                <c:pt idx="133">
                  <c:v>7.8530297811856558E-12</c:v>
                </c:pt>
                <c:pt idx="134">
                  <c:v>7.8530297811856558E-12</c:v>
                </c:pt>
                <c:pt idx="135">
                  <c:v>7.8530297811856558E-12</c:v>
                </c:pt>
                <c:pt idx="136">
                  <c:v>7.8530297811856558E-12</c:v>
                </c:pt>
                <c:pt idx="137">
                  <c:v>7.8530297811856558E-12</c:v>
                </c:pt>
                <c:pt idx="138">
                  <c:v>7.8530297811856558E-12</c:v>
                </c:pt>
                <c:pt idx="139">
                  <c:v>7.8530297811856558E-12</c:v>
                </c:pt>
                <c:pt idx="140">
                  <c:v>7.8530297811856558E-12</c:v>
                </c:pt>
                <c:pt idx="141">
                  <c:v>7.8530297811856558E-12</c:v>
                </c:pt>
                <c:pt idx="142">
                  <c:v>7.8530297811856558E-12</c:v>
                </c:pt>
                <c:pt idx="143">
                  <c:v>7.8530297811856558E-12</c:v>
                </c:pt>
                <c:pt idx="144">
                  <c:v>7.8530297811856558E-12</c:v>
                </c:pt>
                <c:pt idx="145">
                  <c:v>7.8530297811856558E-12</c:v>
                </c:pt>
                <c:pt idx="146">
                  <c:v>7.8530297811856558E-12</c:v>
                </c:pt>
                <c:pt idx="147">
                  <c:v>7.8530297811856558E-12</c:v>
                </c:pt>
                <c:pt idx="148">
                  <c:v>7.8530297811856558E-12</c:v>
                </c:pt>
                <c:pt idx="149">
                  <c:v>7.8530297811856558E-12</c:v>
                </c:pt>
                <c:pt idx="150">
                  <c:v>7.8530297811856558E-12</c:v>
                </c:pt>
                <c:pt idx="151">
                  <c:v>7.8530297811856558E-12</c:v>
                </c:pt>
                <c:pt idx="152">
                  <c:v>7.8530297811856558E-12</c:v>
                </c:pt>
                <c:pt idx="153">
                  <c:v>7.8530297811856558E-12</c:v>
                </c:pt>
                <c:pt idx="154">
                  <c:v>7.8530297811856558E-12</c:v>
                </c:pt>
                <c:pt idx="155">
                  <c:v>7.8530297811856558E-12</c:v>
                </c:pt>
                <c:pt idx="156">
                  <c:v>7.8530297811856558E-12</c:v>
                </c:pt>
                <c:pt idx="157">
                  <c:v>7.8530297811856558E-12</c:v>
                </c:pt>
                <c:pt idx="158">
                  <c:v>7.8530297811856558E-12</c:v>
                </c:pt>
                <c:pt idx="159">
                  <c:v>7.8530297811856558E-12</c:v>
                </c:pt>
                <c:pt idx="160">
                  <c:v>7.8530297811856558E-12</c:v>
                </c:pt>
                <c:pt idx="161">
                  <c:v>7.8530297811856558E-12</c:v>
                </c:pt>
                <c:pt idx="162">
                  <c:v>7.8530297811856558E-12</c:v>
                </c:pt>
                <c:pt idx="163">
                  <c:v>7.8530297811856558E-12</c:v>
                </c:pt>
                <c:pt idx="164">
                  <c:v>7.8530297811856558E-12</c:v>
                </c:pt>
                <c:pt idx="165">
                  <c:v>7.8530297811856558E-12</c:v>
                </c:pt>
                <c:pt idx="166">
                  <c:v>7.8530297811856558E-12</c:v>
                </c:pt>
                <c:pt idx="167">
                  <c:v>7.8530297811856558E-12</c:v>
                </c:pt>
                <c:pt idx="168">
                  <c:v>7.8530297811856558E-12</c:v>
                </c:pt>
                <c:pt idx="169">
                  <c:v>7.8530297811856558E-12</c:v>
                </c:pt>
                <c:pt idx="170">
                  <c:v>7.8530297811856558E-12</c:v>
                </c:pt>
                <c:pt idx="171">
                  <c:v>7.8530297811856558E-12</c:v>
                </c:pt>
                <c:pt idx="172">
                  <c:v>7.8530297811856558E-12</c:v>
                </c:pt>
                <c:pt idx="173">
                  <c:v>7.8530297811856558E-12</c:v>
                </c:pt>
                <c:pt idx="174">
                  <c:v>7.8530297811856558E-12</c:v>
                </c:pt>
                <c:pt idx="175">
                  <c:v>7.8530297811856558E-12</c:v>
                </c:pt>
                <c:pt idx="176">
                  <c:v>7.8530297811856558E-12</c:v>
                </c:pt>
                <c:pt idx="177">
                  <c:v>7.8530297811856558E-12</c:v>
                </c:pt>
                <c:pt idx="178">
                  <c:v>7.8530297811856558E-12</c:v>
                </c:pt>
                <c:pt idx="179">
                  <c:v>7.8530297811856558E-12</c:v>
                </c:pt>
                <c:pt idx="180">
                  <c:v>7.8530297811856558E-12</c:v>
                </c:pt>
                <c:pt idx="181">
                  <c:v>7.8530297811856558E-12</c:v>
                </c:pt>
                <c:pt idx="182">
                  <c:v>7.8530297811856558E-12</c:v>
                </c:pt>
                <c:pt idx="183">
                  <c:v>7.8530297811856558E-12</c:v>
                </c:pt>
                <c:pt idx="184">
                  <c:v>7.8530297811856558E-12</c:v>
                </c:pt>
                <c:pt idx="185">
                  <c:v>7.8530297811856558E-12</c:v>
                </c:pt>
                <c:pt idx="186">
                  <c:v>7.8530297811856558E-12</c:v>
                </c:pt>
                <c:pt idx="187">
                  <c:v>7.8530297811856558E-12</c:v>
                </c:pt>
                <c:pt idx="188">
                  <c:v>7.8530297811856558E-12</c:v>
                </c:pt>
                <c:pt idx="189">
                  <c:v>7.8530297811856558E-12</c:v>
                </c:pt>
                <c:pt idx="190">
                  <c:v>7.8530297811856558E-12</c:v>
                </c:pt>
                <c:pt idx="191">
                  <c:v>7.8530297811856558E-12</c:v>
                </c:pt>
                <c:pt idx="192">
                  <c:v>7.8530297811856558E-12</c:v>
                </c:pt>
                <c:pt idx="193">
                  <c:v>7.8530297811856558E-12</c:v>
                </c:pt>
                <c:pt idx="194">
                  <c:v>7.8530297811856558E-12</c:v>
                </c:pt>
                <c:pt idx="195">
                  <c:v>7.8530297811856558E-12</c:v>
                </c:pt>
                <c:pt idx="196">
                  <c:v>7.8530297811856558E-12</c:v>
                </c:pt>
                <c:pt idx="197">
                  <c:v>7.8530297811856558E-12</c:v>
                </c:pt>
                <c:pt idx="198">
                  <c:v>7.8530297811856558E-12</c:v>
                </c:pt>
                <c:pt idx="199">
                  <c:v>7.8530297811856558E-12</c:v>
                </c:pt>
                <c:pt idx="200">
                  <c:v>7.8530297811856558E-12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4.1881773820981003</c:v>
                </c:pt>
                <c:pt idx="2">
                  <c:v>8.5091552558650374</c:v>
                </c:pt>
                <c:pt idx="3">
                  <c:v>12.758633029619304</c:v>
                </c:pt>
                <c:pt idx="4">
                  <c:v>16.964840183640646</c:v>
                </c:pt>
                <c:pt idx="5">
                  <c:v>21.140230149801205</c:v>
                </c:pt>
                <c:pt idx="6">
                  <c:v>24.973198242612366</c:v>
                </c:pt>
                <c:pt idx="7">
                  <c:v>28.789481173639189</c:v>
                </c:pt>
                <c:pt idx="8">
                  <c:v>32.591615924031565</c:v>
                </c:pt>
                <c:pt idx="9">
                  <c:v>36.381494402608745</c:v>
                </c:pt>
                <c:pt idx="10">
                  <c:v>40.160579450457739</c:v>
                </c:pt>
                <c:pt idx="11">
                  <c:v>57.682656422482061</c:v>
                </c:pt>
                <c:pt idx="12">
                  <c:v>75.063900987508134</c:v>
                </c:pt>
                <c:pt idx="13">
                  <c:v>92.341935410240197</c:v>
                </c:pt>
                <c:pt idx="14">
                  <c:v>109.53891756394221</c:v>
                </c:pt>
                <c:pt idx="15">
                  <c:v>126.66941082809338</c:v>
                </c:pt>
                <c:pt idx="16">
                  <c:v>141.30763997681012</c:v>
                </c:pt>
                <c:pt idx="17">
                  <c:v>155.90949332871295</c:v>
                </c:pt>
                <c:pt idx="18">
                  <c:v>170.47886028802475</c:v>
                </c:pt>
                <c:pt idx="19">
                  <c:v>185.0189099293344</c:v>
                </c:pt>
                <c:pt idx="20">
                  <c:v>199.53227181605993</c:v>
                </c:pt>
                <c:pt idx="21">
                  <c:v>228.24653971138068</c:v>
                </c:pt>
                <c:pt idx="22">
                  <c:v>256.87809478782867</c:v>
                </c:pt>
                <c:pt idx="23">
                  <c:v>285.43745135632236</c:v>
                </c:pt>
                <c:pt idx="24">
                  <c:v>313.93284523806824</c:v>
                </c:pt>
                <c:pt idx="25">
                  <c:v>342.37089418257483</c:v>
                </c:pt>
                <c:pt idx="26">
                  <c:v>311.30131399484679</c:v>
                </c:pt>
                <c:pt idx="27">
                  <c:v>344.75821320428196</c:v>
                </c:pt>
                <c:pt idx="28">
                  <c:v>378.14378727996063</c:v>
                </c:pt>
                <c:pt idx="29">
                  <c:v>411.46521112446493</c:v>
                </c:pt>
                <c:pt idx="30">
                  <c:v>444.72840313441998</c:v>
                </c:pt>
                <c:pt idx="31">
                  <c:v>409.80056784428257</c:v>
                </c:pt>
                <c:pt idx="32">
                  <c:v>439.03005208718201</c:v>
                </c:pt>
                <c:pt idx="33">
                  <c:v>468.21781705559039</c:v>
                </c:pt>
                <c:pt idx="34">
                  <c:v>497.36682571323354</c:v>
                </c:pt>
                <c:pt idx="35">
                  <c:v>526.47966574618135</c:v>
                </c:pt>
                <c:pt idx="36">
                  <c:v>474.38253420761703</c:v>
                </c:pt>
                <c:pt idx="37">
                  <c:v>503.99723200983789</c:v>
                </c:pt>
                <c:pt idx="38">
                  <c:v>533.57513621204123</c:v>
                </c:pt>
                <c:pt idx="39">
                  <c:v>563.11857029884061</c:v>
                </c:pt>
                <c:pt idx="40">
                  <c:v>592.62959437384336</c:v>
                </c:pt>
                <c:pt idx="41">
                  <c:v>535.93985059498357</c:v>
                </c:pt>
                <c:pt idx="42">
                  <c:v>564.29962062366326</c:v>
                </c:pt>
                <c:pt idx="43">
                  <c:v>592.62959437384336</c:v>
                </c:pt>
                <c:pt idx="44">
                  <c:v>620.93139451795207</c:v>
                </c:pt>
                <c:pt idx="45">
                  <c:v>649.20648394180876</c:v>
                </c:pt>
                <c:pt idx="46">
                  <c:v>596.64069352395222</c:v>
                </c:pt>
                <c:pt idx="47">
                  <c:v>621.87432013046623</c:v>
                </c:pt>
                <c:pt idx="48">
                  <c:v>647.08674851073533</c:v>
                </c:pt>
                <c:pt idx="49">
                  <c:v>672.27891974083843</c:v>
                </c:pt>
                <c:pt idx="50">
                  <c:v>697.45169870786265</c:v>
                </c:pt>
                <c:pt idx="51">
                  <c:v>660.27390642311684</c:v>
                </c:pt>
                <c:pt idx="52">
                  <c:v>679.57392666353223</c:v>
                </c:pt>
                <c:pt idx="53">
                  <c:v>698.86269869307478</c:v>
                </c:pt>
                <c:pt idx="54">
                  <c:v>718.14057636669759</c:v>
                </c:pt>
                <c:pt idx="55">
                  <c:v>737.40789301225311</c:v>
                </c:pt>
                <c:pt idx="56">
                  <c:v>709.67843760807307</c:v>
                </c:pt>
                <c:pt idx="57">
                  <c:v>723.07588230699639</c:v>
                </c:pt>
                <c:pt idx="58">
                  <c:v>736.46826411186339</c:v>
                </c:pt>
                <c:pt idx="59">
                  <c:v>749.85568800157341</c:v>
                </c:pt>
                <c:pt idx="60">
                  <c:v>763.23825490354557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1.6159054176082581</c:v>
                </c:pt>
                <c:pt idx="2">
                  <c:v>3.1497854102506522</c:v>
                </c:pt>
                <c:pt idx="3">
                  <c:v>4.6571753080478375</c:v>
                </c:pt>
                <c:pt idx="4">
                  <c:v>6.1482360950259185</c:v>
                </c:pt>
                <c:pt idx="5">
                  <c:v>7.6275730622446112</c:v>
                </c:pt>
                <c:pt idx="6">
                  <c:v>16.933363187349929</c:v>
                </c:pt>
                <c:pt idx="7">
                  <c:v>26.081214397930072</c:v>
                </c:pt>
                <c:pt idx="8">
                  <c:v>35.13708408992391</c:v>
                </c:pt>
                <c:pt idx="9">
                  <c:v>44.128485981455462</c:v>
                </c:pt>
                <c:pt idx="10">
                  <c:v>53.070542423821507</c:v>
                </c:pt>
                <c:pt idx="11">
                  <c:v>65.926057138000246</c:v>
                </c:pt>
                <c:pt idx="12">
                  <c:v>78.716623217842269</c:v>
                </c:pt>
                <c:pt idx="13">
                  <c:v>91.454332237557423</c:v>
                </c:pt>
                <c:pt idx="14">
                  <c:v>104.14760645595801</c:v>
                </c:pt>
                <c:pt idx="15">
                  <c:v>116.8026363404107</c:v>
                </c:pt>
                <c:pt idx="16">
                  <c:v>129.42415599562852</c:v>
                </c:pt>
                <c:pt idx="17">
                  <c:v>142.01589791538453</c:v>
                </c:pt>
                <c:pt idx="18">
                  <c:v>154.58087703393579</c:v>
                </c:pt>
                <c:pt idx="19">
                  <c:v>151.86626044725756</c:v>
                </c:pt>
                <c:pt idx="20">
                  <c:v>176.25878327088822</c:v>
                </c:pt>
                <c:pt idx="21">
                  <c:v>200.57199414028256</c:v>
                </c:pt>
                <c:pt idx="22">
                  <c:v>187.07372242622981</c:v>
                </c:pt>
                <c:pt idx="23">
                  <c:v>208.66075265393116</c:v>
                </c:pt>
                <c:pt idx="24">
                  <c:v>230.1962191138023</c:v>
                </c:pt>
                <c:pt idx="25">
                  <c:v>210.23271639040468</c:v>
                </c:pt>
                <c:pt idx="26">
                  <c:v>229.29986190918837</c:v>
                </c:pt>
                <c:pt idx="27">
                  <c:v>248.33074918569818</c:v>
                </c:pt>
                <c:pt idx="28">
                  <c:v>267.3285475179016</c:v>
                </c:pt>
                <c:pt idx="29">
                  <c:v>286.29593876612051</c:v>
                </c:pt>
                <c:pt idx="30">
                  <c:v>305.23522033866368</c:v>
                </c:pt>
                <c:pt idx="31">
                  <c:v>251.46199750876846</c:v>
                </c:pt>
                <c:pt idx="32">
                  <c:v>268.6683907698814</c:v>
                </c:pt>
                <c:pt idx="33">
                  <c:v>285.84997848413349</c:v>
                </c:pt>
                <c:pt idx="34">
                  <c:v>303.00846129255973</c:v>
                </c:pt>
                <c:pt idx="35">
                  <c:v>320.14533148345635</c:v>
                </c:pt>
                <c:pt idx="36">
                  <c:v>337.26190853958735</c:v>
                </c:pt>
                <c:pt idx="37">
                  <c:v>269.78481182023978</c:v>
                </c:pt>
                <c:pt idx="38">
                  <c:v>285.18100884727528</c:v>
                </c:pt>
                <c:pt idx="39">
                  <c:v>300.55860547261943</c:v>
                </c:pt>
                <c:pt idx="40">
                  <c:v>315.91868734548365</c:v>
                </c:pt>
                <c:pt idx="41">
                  <c:v>331.26222591378024</c:v>
                </c:pt>
                <c:pt idx="42">
                  <c:v>346.59009528166484</c:v>
                </c:pt>
                <c:pt idx="43">
                  <c:v>271.34762666193643</c:v>
                </c:pt>
                <c:pt idx="44">
                  <c:v>285.62699250384247</c:v>
                </c:pt>
                <c:pt idx="45">
                  <c:v>299.89038593700792</c:v>
                </c:pt>
                <c:pt idx="46">
                  <c:v>314.13867371561679</c:v>
                </c:pt>
                <c:pt idx="47">
                  <c:v>328.37263753239341</c:v>
                </c:pt>
                <c:pt idx="48">
                  <c:v>342.592985769569</c:v>
                </c:pt>
                <c:pt idx="49">
                  <c:v>268.78003756948306</c:v>
                </c:pt>
                <c:pt idx="50">
                  <c:v>281.83563166027687</c:v>
                </c:pt>
                <c:pt idx="51">
                  <c:v>294.87767605242158</c:v>
                </c:pt>
                <c:pt idx="52">
                  <c:v>307.90685461043864</c:v>
                </c:pt>
                <c:pt idx="53">
                  <c:v>320.9237885788545</c:v>
                </c:pt>
                <c:pt idx="54">
                  <c:v>333.92904467751276</c:v>
                </c:pt>
                <c:pt idx="55">
                  <c:v>346.92314186926529</c:v>
                </c:pt>
                <c:pt idx="56">
                  <c:v>359.90655706035301</c:v>
                </c:pt>
                <c:pt idx="57">
                  <c:v>372.87972993501268</c:v>
                </c:pt>
                <c:pt idx="58">
                  <c:v>385.84306708196328</c:v>
                </c:pt>
                <c:pt idx="59">
                  <c:v>398.79694553728069</c:v>
                </c:pt>
                <c:pt idx="60">
                  <c:v>411.74171584285915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2.1350786004664535</c:v>
                </c:pt>
                <c:pt idx="2">
                  <c:v>2.6921717481430694</c:v>
                </c:pt>
                <c:pt idx="3">
                  <c:v>3.3951979925602132</c:v>
                </c:pt>
                <c:pt idx="4">
                  <c:v>4.2825271299889929</c:v>
                </c:pt>
                <c:pt idx="5">
                  <c:v>5.4026523830368793</c:v>
                </c:pt>
                <c:pt idx="6">
                  <c:v>6.8168699269517186</c:v>
                </c:pt>
                <c:pt idx="7">
                  <c:v>8.6026697455530794</c:v>
                </c:pt>
                <c:pt idx="8">
                  <c:v>10.858027163519033</c:v>
                </c:pt>
                <c:pt idx="9">
                  <c:v>13.706834927621495</c:v>
                </c:pt>
                <c:pt idx="10">
                  <c:v>17.305779747951522</c:v>
                </c:pt>
                <c:pt idx="11">
                  <c:v>21.853048382275563</c:v>
                </c:pt>
                <c:pt idx="12">
                  <c:v>27.599351245605177</c:v>
                </c:pt>
                <c:pt idx="13">
                  <c:v>34.861881979556053</c:v>
                </c:pt>
                <c:pt idx="14">
                  <c:v>44.041996814142045</c:v>
                </c:pt>
                <c:pt idx="15">
                  <c:v>55.647607276796499</c:v>
                </c:pt>
                <c:pt idx="16">
                  <c:v>72.542905122967582</c:v>
                </c:pt>
                <c:pt idx="17">
                  <c:v>89.336953064344058</c:v>
                </c:pt>
                <c:pt idx="18">
                  <c:v>106.05159327760617</c:v>
                </c:pt>
                <c:pt idx="19">
                  <c:v>122.70115105309355</c:v>
                </c:pt>
                <c:pt idx="20">
                  <c:v>139.29572121624975</c:v>
                </c:pt>
                <c:pt idx="21">
                  <c:v>117.25346933375137</c:v>
                </c:pt>
                <c:pt idx="22">
                  <c:v>135.29473451496173</c:v>
                </c:pt>
                <c:pt idx="23">
                  <c:v>153.27800394954755</c:v>
                </c:pt>
                <c:pt idx="24">
                  <c:v>171.21104774190769</c:v>
                </c:pt>
                <c:pt idx="25">
                  <c:v>189.09987078266826</c:v>
                </c:pt>
                <c:pt idx="26">
                  <c:v>163.24658905905838</c:v>
                </c:pt>
                <c:pt idx="27">
                  <c:v>177.17864497610677</c:v>
                </c:pt>
                <c:pt idx="28">
                  <c:v>191.0850050625892</c:v>
                </c:pt>
                <c:pt idx="29">
                  <c:v>204.96780366925177</c:v>
                </c:pt>
                <c:pt idx="30">
                  <c:v>218.82886210158495</c:v>
                </c:pt>
                <c:pt idx="31">
                  <c:v>197.32089757499611</c:v>
                </c:pt>
                <c:pt idx="32">
                  <c:v>215.43623857870287</c:v>
                </c:pt>
                <c:pt idx="33">
                  <c:v>233.51652959110712</c:v>
                </c:pt>
                <c:pt idx="34">
                  <c:v>251.56486631652947</c:v>
                </c:pt>
                <c:pt idx="35">
                  <c:v>269.58386372150017</c:v>
                </c:pt>
                <c:pt idx="36">
                  <c:v>233.79877322753001</c:v>
                </c:pt>
                <c:pt idx="37">
                  <c:v>247.33750950241213</c:v>
                </c:pt>
                <c:pt idx="38">
                  <c:v>260.85942671475169</c:v>
                </c:pt>
                <c:pt idx="39">
                  <c:v>274.36551974723062</c:v>
                </c:pt>
                <c:pt idx="40">
                  <c:v>287.85667749117118</c:v>
                </c:pt>
                <c:pt idx="41">
                  <c:v>250.15592780468808</c:v>
                </c:pt>
                <c:pt idx="42">
                  <c:v>261.70401140880318</c:v>
                </c:pt>
                <c:pt idx="43">
                  <c:v>273.24059406456814</c:v>
                </c:pt>
                <c:pt idx="44">
                  <c:v>284.76623003096705</c:v>
                </c:pt>
                <c:pt idx="45">
                  <c:v>296.28142501216269</c:v>
                </c:pt>
                <c:pt idx="46">
                  <c:v>264.23739708984226</c:v>
                </c:pt>
                <c:pt idx="47">
                  <c:v>274.36551974723051</c:v>
                </c:pt>
                <c:pt idx="48">
                  <c:v>284.48524314677445</c:v>
                </c:pt>
                <c:pt idx="49">
                  <c:v>294.59690838804539</c:v>
                </c:pt>
                <c:pt idx="50">
                  <c:v>304.70083122716056</c:v>
                </c:pt>
                <c:pt idx="51">
                  <c:v>270.99042974399333</c:v>
                </c:pt>
                <c:pt idx="52">
                  <c:v>279.4264094073539</c:v>
                </c:pt>
                <c:pt idx="53">
                  <c:v>287.85667749117096</c:v>
                </c:pt>
                <c:pt idx="54">
                  <c:v>296.28142501216263</c:v>
                </c:pt>
                <c:pt idx="55">
                  <c:v>304.70083122716056</c:v>
                </c:pt>
                <c:pt idx="56">
                  <c:v>283.92325072308762</c:v>
                </c:pt>
                <c:pt idx="57">
                  <c:v>291.22722867703129</c:v>
                </c:pt>
                <c:pt idx="58">
                  <c:v>298.52711512215916</c:v>
                </c:pt>
                <c:pt idx="59">
                  <c:v>305.82302433005196</c:v>
                </c:pt>
                <c:pt idx="60">
                  <c:v>313.11506466918644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2.5786040175823195</c:v>
                </c:pt>
                <c:pt idx="2">
                  <c:v>10.423789184331907</c:v>
                </c:pt>
                <c:pt idx="3">
                  <c:v>18.065478617033168</c:v>
                </c:pt>
                <c:pt idx="4">
                  <c:v>25.610325488775771</c:v>
                </c:pt>
                <c:pt idx="5">
                  <c:v>33.091723221173709</c:v>
                </c:pt>
                <c:pt idx="6">
                  <c:v>42.236367467864618</c:v>
                </c:pt>
                <c:pt idx="7">
                  <c:v>51.327421208058347</c:v>
                </c:pt>
                <c:pt idx="8">
                  <c:v>60.375781786290162</c:v>
                </c:pt>
                <c:pt idx="9">
                  <c:v>69.388779735073783</c:v>
                </c:pt>
                <c:pt idx="10">
                  <c:v>78.371671763282563</c:v>
                </c:pt>
                <c:pt idx="11">
                  <c:v>87.328404449284065</c:v>
                </c:pt>
                <c:pt idx="12">
                  <c:v>96.262045139603686</c:v>
                </c:pt>
                <c:pt idx="13">
                  <c:v>105.17504328024955</c:v>
                </c:pt>
                <c:pt idx="14">
                  <c:v>114.06939797149329</c:v>
                </c:pt>
                <c:pt idx="15">
                  <c:v>122.94677025652992</c:v>
                </c:pt>
                <c:pt idx="16">
                  <c:v>131.8085611384661</c:v>
                </c:pt>
                <c:pt idx="17">
                  <c:v>140.65596743833871</c:v>
                </c:pt>
                <c:pt idx="18">
                  <c:v>149.49002281670286</c:v>
                </c:pt>
                <c:pt idx="19">
                  <c:v>158.31162856255909</c:v>
                </c:pt>
                <c:pt idx="20">
                  <c:v>167.12157714245117</c:v>
                </c:pt>
                <c:pt idx="21">
                  <c:v>175.92057051227542</c:v>
                </c:pt>
                <c:pt idx="22">
                  <c:v>184.70923456588253</c:v>
                </c:pt>
                <c:pt idx="23">
                  <c:v>193.48813068444883</c:v>
                </c:pt>
                <c:pt idx="24">
                  <c:v>202.25776507632233</c:v>
                </c:pt>
                <c:pt idx="25">
                  <c:v>211.01859640956005</c:v>
                </c:pt>
                <c:pt idx="26">
                  <c:v>221.95788870113014</c:v>
                </c:pt>
                <c:pt idx="27">
                  <c:v>232.88481320255323</c:v>
                </c:pt>
                <c:pt idx="28">
                  <c:v>243.80003239943395</c:v>
                </c:pt>
                <c:pt idx="29">
                  <c:v>254.70414456356778</c:v>
                </c:pt>
                <c:pt idx="30">
                  <c:v>265.59769251928259</c:v>
                </c:pt>
                <c:pt idx="31">
                  <c:v>278.65669872045368</c:v>
                </c:pt>
                <c:pt idx="32">
                  <c:v>291.70197809153433</c:v>
                </c:pt>
                <c:pt idx="33">
                  <c:v>304.73423115701871</c:v>
                </c:pt>
                <c:pt idx="34">
                  <c:v>317.75409361194505</c:v>
                </c:pt>
                <c:pt idx="35">
                  <c:v>330.76214478850403</c:v>
                </c:pt>
                <c:pt idx="36">
                  <c:v>291.70197809153433</c:v>
                </c:pt>
                <c:pt idx="37">
                  <c:v>306.90505238979614</c:v>
                </c:pt>
                <c:pt idx="38">
                  <c:v>322.09139590753097</c:v>
                </c:pt>
                <c:pt idx="39">
                  <c:v>337.26190853958735</c:v>
                </c:pt>
                <c:pt idx="40">
                  <c:v>352.41740261109879</c:v>
                </c:pt>
                <c:pt idx="41">
                  <c:v>367.55861487745</c:v>
                </c:pt>
                <c:pt idx="42">
                  <c:v>382.68621644309741</c:v>
                </c:pt>
                <c:pt idx="43">
                  <c:v>397.80082102983079</c:v>
                </c:pt>
                <c:pt idx="44">
                  <c:v>412.90299192267594</c:v>
                </c:pt>
                <c:pt idx="45">
                  <c:v>427.99324784652981</c:v>
                </c:pt>
                <c:pt idx="46">
                  <c:v>367.55861487745</c:v>
                </c:pt>
                <c:pt idx="47">
                  <c:v>382.68621644309741</c:v>
                </c:pt>
                <c:pt idx="48">
                  <c:v>397.80082102983079</c:v>
                </c:pt>
                <c:pt idx="49">
                  <c:v>412.90299192267594</c:v>
                </c:pt>
                <c:pt idx="50">
                  <c:v>427.99324784652981</c:v>
                </c:pt>
                <c:pt idx="51">
                  <c:v>443.07206797078311</c:v>
                </c:pt>
                <c:pt idx="52">
                  <c:v>458.1398961971957</c:v>
                </c:pt>
                <c:pt idx="53">
                  <c:v>473.19714485434082</c:v>
                </c:pt>
                <c:pt idx="54">
                  <c:v>488.24419789739949</c:v>
                </c:pt>
                <c:pt idx="55">
                  <c:v>503.28141369303722</c:v>
                </c:pt>
                <c:pt idx="56">
                  <c:v>419.37167464206533</c:v>
                </c:pt>
                <c:pt idx="57">
                  <c:v>432.30262904622123</c:v>
                </c:pt>
                <c:pt idx="58">
                  <c:v>445.22527789057045</c:v>
                </c:pt>
                <c:pt idx="59">
                  <c:v>458.1398961971957</c:v>
                </c:pt>
                <c:pt idx="60">
                  <c:v>471.04674221919896</c:v>
                </c:pt>
                <c:pt idx="61">
                  <c:v>483.94605890429244</c:v>
                </c:pt>
                <c:pt idx="62">
                  <c:v>496.83807519423459</c:v>
                </c:pt>
                <c:pt idx="63">
                  <c:v>509.72300718239177</c:v>
                </c:pt>
                <c:pt idx="64">
                  <c:v>522.6010591481828</c:v>
                </c:pt>
                <c:pt idx="65">
                  <c:v>535.47242448427414</c:v>
                </c:pt>
                <c:pt idx="66">
                  <c:v>440.91863377904156</c:v>
                </c:pt>
                <c:pt idx="67">
                  <c:v>453.83589944051113</c:v>
                </c:pt>
                <c:pt idx="68">
                  <c:v>466.74530850225375</c:v>
                </c:pt>
                <c:pt idx="69">
                  <c:v>479.64710886178597</c:v>
                </c:pt>
                <c:pt idx="70">
                  <c:v>492.54153399430999</c:v>
                </c:pt>
                <c:pt idx="71">
                  <c:v>505.42880415532341</c:v>
                </c:pt>
                <c:pt idx="72">
                  <c:v>518.3091274542079</c:v>
                </c:pt>
                <c:pt idx="73">
                  <c:v>531.18270081556818</c:v>
                </c:pt>
                <c:pt idx="74">
                  <c:v>544.0497108425468</c:v>
                </c:pt>
                <c:pt idx="75">
                  <c:v>556.91033459423954</c:v>
                </c:pt>
                <c:pt idx="76">
                  <c:v>460.29157019967289</c:v>
                </c:pt>
                <c:pt idx="77">
                  <c:v>471.04674221919896</c:v>
                </c:pt>
                <c:pt idx="78">
                  <c:v>481.79668577992396</c:v>
                </c:pt>
                <c:pt idx="79">
                  <c:v>492.54153399430999</c:v>
                </c:pt>
                <c:pt idx="80">
                  <c:v>503.28141369303722</c:v>
                </c:pt>
                <c:pt idx="81">
                  <c:v>514.01644585203383</c:v>
                </c:pt>
                <c:pt idx="82">
                  <c:v>524.74674598197555</c:v>
                </c:pt>
                <c:pt idx="83">
                  <c:v>535.47242448427414</c:v>
                </c:pt>
                <c:pt idx="84">
                  <c:v>546.19358697705911</c:v>
                </c:pt>
                <c:pt idx="85">
                  <c:v>556.91033459423954</c:v>
                </c:pt>
                <c:pt idx="86">
                  <c:v>458.1398961971957</c:v>
                </c:pt>
                <c:pt idx="87">
                  <c:v>466.74530850225375</c:v>
                </c:pt>
                <c:pt idx="88">
                  <c:v>475.34733945827878</c:v>
                </c:pt>
                <c:pt idx="89">
                  <c:v>483.94605890429244</c:v>
                </c:pt>
                <c:pt idx="90">
                  <c:v>492.54153399430999</c:v>
                </c:pt>
                <c:pt idx="91">
                  <c:v>501.13382934663673</c:v>
                </c:pt>
                <c:pt idx="92">
                  <c:v>509.72300718239177</c:v>
                </c:pt>
                <c:pt idx="93">
                  <c:v>518.3091274542079</c:v>
                </c:pt>
                <c:pt idx="94">
                  <c:v>526.89224796595806</c:v>
                </c:pt>
                <c:pt idx="95">
                  <c:v>535.47242448427414</c:v>
                </c:pt>
                <c:pt idx="96">
                  <c:v>436.61108755732994</c:v>
                </c:pt>
                <c:pt idx="97">
                  <c:v>445.22527789057045</c:v>
                </c:pt>
                <c:pt idx="98">
                  <c:v>453.83589944051113</c:v>
                </c:pt>
                <c:pt idx="99">
                  <c:v>462.44302949249573</c:v>
                </c:pt>
                <c:pt idx="100">
                  <c:v>471.04674221919896</c:v>
                </c:pt>
                <c:pt idx="101">
                  <c:v>479.64710886178597</c:v>
                </c:pt>
                <c:pt idx="102">
                  <c:v>488.24419789739949</c:v>
                </c:pt>
                <c:pt idx="103">
                  <c:v>496.83807519423459</c:v>
                </c:pt>
                <c:pt idx="104">
                  <c:v>505.42880415532341</c:v>
                </c:pt>
                <c:pt idx="105">
                  <c:v>514.01644585203383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141.66234617156286</c:v>
                </c:pt>
                <c:pt idx="22">
                  <c:v>163.47020469068116</c:v>
                </c:pt>
                <c:pt idx="23">
                  <c:v>185.20921350564853</c:v>
                </c:pt>
                <c:pt idx="24">
                  <c:v>206.88859690307575</c:v>
                </c:pt>
                <c:pt idx="25">
                  <c:v>228.51548359441401</c:v>
                </c:pt>
                <c:pt idx="26">
                  <c:v>197.26018069003635</c:v>
                </c:pt>
                <c:pt idx="27">
                  <c:v>214.10308677012063</c:v>
                </c:pt>
                <c:pt idx="28">
                  <c:v>230.91548802122443</c:v>
                </c:pt>
                <c:pt idx="29">
                  <c:v>247.69991823980641</c:v>
                </c:pt>
                <c:pt idx="30">
                  <c:v>264.45853959036134</c:v>
                </c:pt>
                <c:pt idx="31">
                  <c:v>238.45467779458647</c:v>
                </c:pt>
                <c:pt idx="32">
                  <c:v>260.35666841385756</c:v>
                </c:pt>
                <c:pt idx="33">
                  <c:v>282.21704940359314</c:v>
                </c:pt>
                <c:pt idx="34">
                  <c:v>304.0394958320357</c:v>
                </c:pt>
                <c:pt idx="35">
                  <c:v>325.82711205911613</c:v>
                </c:pt>
                <c:pt idx="36">
                  <c:v>294.49663277508859</c:v>
                </c:pt>
                <c:pt idx="37">
                  <c:v>310.85173466328649</c:v>
                </c:pt>
                <c:pt idx="38">
                  <c:v>327.18774429711937</c:v>
                </c:pt>
                <c:pt idx="39">
                  <c:v>343.50574897575711</c:v>
                </c:pt>
                <c:pt idx="40">
                  <c:v>359.80672426785873</c:v>
                </c:pt>
                <c:pt idx="41">
                  <c:v>326.16728186715721</c:v>
                </c:pt>
                <c:pt idx="42">
                  <c:v>340.10759988620447</c:v>
                </c:pt>
                <c:pt idx="43">
                  <c:v>354.03535269094056</c:v>
                </c:pt>
                <c:pt idx="44">
                  <c:v>367.95110424042514</c:v>
                </c:pt>
                <c:pt idx="45">
                  <c:v>381.85537235272432</c:v>
                </c:pt>
                <c:pt idx="46">
                  <c:v>356.75154686672857</c:v>
                </c:pt>
                <c:pt idx="47">
                  <c:v>368.96887308418565</c:v>
                </c:pt>
                <c:pt idx="48">
                  <c:v>381.17737444442315</c:v>
                </c:pt>
                <c:pt idx="49">
                  <c:v>393.37737346788646</c:v>
                </c:pt>
                <c:pt idx="50">
                  <c:v>405.56917103469459</c:v>
                </c:pt>
                <c:pt idx="51">
                  <c:v>386.93952572628649</c:v>
                </c:pt>
                <c:pt idx="52">
                  <c:v>397.10350173182547</c:v>
                </c:pt>
                <c:pt idx="53">
                  <c:v>407.26184368889852</c:v>
                </c:pt>
                <c:pt idx="54">
                  <c:v>417.414711986329</c:v>
                </c:pt>
                <c:pt idx="55">
                  <c:v>427.56225857158444</c:v>
                </c:pt>
                <c:pt idx="56">
                  <c:v>414.36941703418364</c:v>
                </c:pt>
                <c:pt idx="57">
                  <c:v>423.16563235827925</c:v>
                </c:pt>
                <c:pt idx="58">
                  <c:v>431.95791264449895</c:v>
                </c:pt>
                <c:pt idx="59">
                  <c:v>440.74634931773704</c:v>
                </c:pt>
                <c:pt idx="60">
                  <c:v>449.53102985794345</c:v>
                </c:pt>
                <c:pt idx="61">
                  <c:v>436.69061972160154</c:v>
                </c:pt>
                <c:pt idx="62">
                  <c:v>444.12551245998526</c:v>
                </c:pt>
                <c:pt idx="63">
                  <c:v>451.55773933262213</c:v>
                </c:pt>
                <c:pt idx="64">
                  <c:v>458.98735042977302</c:v>
                </c:pt>
                <c:pt idx="65">
                  <c:v>466.41439408694333</c:v>
                </c:pt>
                <c:pt idx="66">
                  <c:v>454.25971616804867</c:v>
                </c:pt>
                <c:pt idx="67">
                  <c:v>460.67553864161067</c:v>
                </c:pt>
                <c:pt idx="68">
                  <c:v>467.08945418848742</c:v>
                </c:pt>
                <c:pt idx="69">
                  <c:v>473.50149270407684</c:v>
                </c:pt>
                <c:pt idx="70">
                  <c:v>479.91168320756515</c:v>
                </c:pt>
                <c:pt idx="71">
                  <c:v>468.7770135290109</c:v>
                </c:pt>
                <c:pt idx="72">
                  <c:v>474.51375017343634</c:v>
                </c:pt>
                <c:pt idx="73">
                  <c:v>480.24901100142</c:v>
                </c:pt>
                <c:pt idx="74">
                  <c:v>485.98281613568861</c:v>
                </c:pt>
                <c:pt idx="75">
                  <c:v>491.71518518509453</c:v>
                </c:pt>
                <c:pt idx="76">
                  <c:v>481.26096417800727</c:v>
                </c:pt>
                <c:pt idx="77">
                  <c:v>485.98281613568861</c:v>
                </c:pt>
                <c:pt idx="78">
                  <c:v>490.70369414861904</c:v>
                </c:pt>
                <c:pt idx="79">
                  <c:v>495.42360891591352</c:v>
                </c:pt>
                <c:pt idx="80">
                  <c:v>500.14257091604259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87.624256130804284</c:v>
                </c:pt>
                <c:pt idx="17">
                  <c:v>107.92051495671599</c:v>
                </c:pt>
                <c:pt idx="18">
                  <c:v>128.12250482488196</c:v>
                </c:pt>
                <c:pt idx="19">
                  <c:v>148.24723201695511</c:v>
                </c:pt>
                <c:pt idx="20">
                  <c:v>168.30668061428082</c:v>
                </c:pt>
                <c:pt idx="21">
                  <c:v>141.66234617156286</c:v>
                </c:pt>
                <c:pt idx="22">
                  <c:v>163.47020469068116</c:v>
                </c:pt>
                <c:pt idx="23">
                  <c:v>185.20921350564853</c:v>
                </c:pt>
                <c:pt idx="24">
                  <c:v>206.88859690307575</c:v>
                </c:pt>
                <c:pt idx="25">
                  <c:v>228.51548359441401</c:v>
                </c:pt>
                <c:pt idx="26">
                  <c:v>197.26018069003635</c:v>
                </c:pt>
                <c:pt idx="27">
                  <c:v>214.10308677012063</c:v>
                </c:pt>
                <c:pt idx="28">
                  <c:v>230.91548802122443</c:v>
                </c:pt>
                <c:pt idx="29">
                  <c:v>247.69991823980641</c:v>
                </c:pt>
                <c:pt idx="30">
                  <c:v>264.45853959036134</c:v>
                </c:pt>
                <c:pt idx="31">
                  <c:v>238.45467779458647</c:v>
                </c:pt>
                <c:pt idx="32">
                  <c:v>260.35666841385756</c:v>
                </c:pt>
                <c:pt idx="33">
                  <c:v>282.21704940359314</c:v>
                </c:pt>
                <c:pt idx="34">
                  <c:v>304.0394958320357</c:v>
                </c:pt>
                <c:pt idx="35">
                  <c:v>325.82711205911613</c:v>
                </c:pt>
                <c:pt idx="36">
                  <c:v>294.49663277508859</c:v>
                </c:pt>
                <c:pt idx="37">
                  <c:v>310.85173466328649</c:v>
                </c:pt>
                <c:pt idx="38">
                  <c:v>327.18774429711937</c:v>
                </c:pt>
                <c:pt idx="39">
                  <c:v>343.50574897575711</c:v>
                </c:pt>
                <c:pt idx="40">
                  <c:v>359.80672426785873</c:v>
                </c:pt>
                <c:pt idx="41">
                  <c:v>326.16728186715721</c:v>
                </c:pt>
                <c:pt idx="42">
                  <c:v>340.10759988620447</c:v>
                </c:pt>
                <c:pt idx="43">
                  <c:v>354.03535269094056</c:v>
                </c:pt>
                <c:pt idx="44">
                  <c:v>367.95110424042514</c:v>
                </c:pt>
                <c:pt idx="45">
                  <c:v>381.85537235272432</c:v>
                </c:pt>
                <c:pt idx="46">
                  <c:v>356.75154686672857</c:v>
                </c:pt>
                <c:pt idx="47">
                  <c:v>368.96887308418565</c:v>
                </c:pt>
                <c:pt idx="48">
                  <c:v>381.17737444442315</c:v>
                </c:pt>
                <c:pt idx="49">
                  <c:v>393.37737346788646</c:v>
                </c:pt>
                <c:pt idx="50">
                  <c:v>405.56917103469459</c:v>
                </c:pt>
                <c:pt idx="51">
                  <c:v>386.93952572628649</c:v>
                </c:pt>
                <c:pt idx="52">
                  <c:v>397.10350173182547</c:v>
                </c:pt>
                <c:pt idx="53">
                  <c:v>407.26184368889852</c:v>
                </c:pt>
                <c:pt idx="54">
                  <c:v>417.414711986329</c:v>
                </c:pt>
                <c:pt idx="55">
                  <c:v>427.56225857158444</c:v>
                </c:pt>
                <c:pt idx="56">
                  <c:v>414.36941703418364</c:v>
                </c:pt>
                <c:pt idx="57">
                  <c:v>423.16563235827925</c:v>
                </c:pt>
                <c:pt idx="58">
                  <c:v>431.95791264449895</c:v>
                </c:pt>
                <c:pt idx="59">
                  <c:v>440.74634931773704</c:v>
                </c:pt>
                <c:pt idx="60">
                  <c:v>449.53102985794345</c:v>
                </c:pt>
                <c:pt idx="61">
                  <c:v>436.69061972160154</c:v>
                </c:pt>
                <c:pt idx="62">
                  <c:v>444.12551245998526</c:v>
                </c:pt>
                <c:pt idx="63">
                  <c:v>451.55773933262213</c:v>
                </c:pt>
                <c:pt idx="64">
                  <c:v>458.98735042977302</c:v>
                </c:pt>
                <c:pt idx="65">
                  <c:v>466.41439408694333</c:v>
                </c:pt>
                <c:pt idx="66">
                  <c:v>454.25971616804867</c:v>
                </c:pt>
                <c:pt idx="67">
                  <c:v>460.67553864161067</c:v>
                </c:pt>
                <c:pt idx="68">
                  <c:v>467.08945418848742</c:v>
                </c:pt>
                <c:pt idx="69">
                  <c:v>473.50149270407684</c:v>
                </c:pt>
                <c:pt idx="70">
                  <c:v>479.91168320756515</c:v>
                </c:pt>
                <c:pt idx="71">
                  <c:v>468.7770135290109</c:v>
                </c:pt>
                <c:pt idx="72">
                  <c:v>474.51375017343634</c:v>
                </c:pt>
                <c:pt idx="73">
                  <c:v>480.24901100142</c:v>
                </c:pt>
                <c:pt idx="74">
                  <c:v>485.98281613568861</c:v>
                </c:pt>
                <c:pt idx="75">
                  <c:v>491.71518518509453</c:v>
                </c:pt>
                <c:pt idx="76">
                  <c:v>481.26096417800727</c:v>
                </c:pt>
                <c:pt idx="77">
                  <c:v>485.98281613568861</c:v>
                </c:pt>
                <c:pt idx="78">
                  <c:v>490.70369414861904</c:v>
                </c:pt>
                <c:pt idx="79">
                  <c:v>495.42360891591352</c:v>
                </c:pt>
                <c:pt idx="80">
                  <c:v>500.14257091604259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89.295693015419545</c:v>
                </c:pt>
                <c:pt idx="17">
                  <c:v>109.98019761370591</c:v>
                </c:pt>
                <c:pt idx="18">
                  <c:v>130.56880184871594</c:v>
                </c:pt>
                <c:pt idx="19">
                  <c:v>151.07880631045833</c:v>
                </c:pt>
                <c:pt idx="20">
                  <c:v>171.52240247513092</c:v>
                </c:pt>
                <c:pt idx="21">
                  <c:v>144.3678421523741</c:v>
                </c:pt>
                <c:pt idx="22">
                  <c:v>166.59329576570181</c:v>
                </c:pt>
                <c:pt idx="23">
                  <c:v>188.74870817143128</c:v>
                </c:pt>
                <c:pt idx="24">
                  <c:v>210.84346329040022</c:v>
                </c:pt>
                <c:pt idx="25">
                  <c:v>232.88481320255315</c:v>
                </c:pt>
                <c:pt idx="26">
                  <c:v>201.03055623322032</c:v>
                </c:pt>
                <c:pt idx="27">
                  <c:v>218.19620322489695</c:v>
                </c:pt>
                <c:pt idx="28">
                  <c:v>235.33081747524633</c:v>
                </c:pt>
                <c:pt idx="29">
                  <c:v>252.43697663025782</c:v>
                </c:pt>
                <c:pt idx="30">
                  <c:v>269.51688027254573</c:v>
                </c:pt>
                <c:pt idx="31">
                  <c:v>243.0145144850492</c:v>
                </c:pt>
                <c:pt idx="32">
                  <c:v>265.3363671929888</c:v>
                </c:pt>
                <c:pt idx="33">
                  <c:v>287.61589018090535</c:v>
                </c:pt>
                <c:pt idx="34">
                  <c:v>309.8568221172635</c:v>
                </c:pt>
                <c:pt idx="35">
                  <c:v>332.06232108561721</c:v>
                </c:pt>
                <c:pt idx="36">
                  <c:v>300.13094878724974</c:v>
                </c:pt>
                <c:pt idx="37">
                  <c:v>316.79971175786812</c:v>
                </c:pt>
                <c:pt idx="38">
                  <c:v>333.44905206621087</c:v>
                </c:pt>
                <c:pt idx="39">
                  <c:v>350.0800758280966</c:v>
                </c:pt>
                <c:pt idx="40">
                  <c:v>366.6937754952408</c:v>
                </c:pt>
                <c:pt idx="41">
                  <c:v>332.40901578262452</c:v>
                </c:pt>
                <c:pt idx="42">
                  <c:v>346.61673926722659</c:v>
                </c:pt>
                <c:pt idx="43">
                  <c:v>360.81168008565834</c:v>
                </c:pt>
                <c:pt idx="44">
                  <c:v>374.99441195677696</c:v>
                </c:pt>
                <c:pt idx="45">
                  <c:v>389.16546165993606</c:v>
                </c:pt>
                <c:pt idx="46">
                  <c:v>363.5799840007133</c:v>
                </c:pt>
                <c:pt idx="47">
                  <c:v>376.03170803933159</c:v>
                </c:pt>
                <c:pt idx="48">
                  <c:v>388.4744544989731</c:v>
                </c:pt>
                <c:pt idx="49">
                  <c:v>400.90855148157726</c:v>
                </c:pt>
                <c:pt idx="50">
                  <c:v>413.33430507425328</c:v>
                </c:pt>
                <c:pt idx="51">
                  <c:v>394.34717004835119</c:v>
                </c:pt>
                <c:pt idx="52">
                  <c:v>404.70618113638193</c:v>
                </c:pt>
                <c:pt idx="53">
                  <c:v>415.05946067388408</c:v>
                </c:pt>
                <c:pt idx="54">
                  <c:v>425.40717182534769</c:v>
                </c:pt>
                <c:pt idx="55">
                  <c:v>435.74946916782233</c:v>
                </c:pt>
                <c:pt idx="56">
                  <c:v>422.30343380409886</c:v>
                </c:pt>
                <c:pt idx="57">
                  <c:v>431.26846210424065</c:v>
                </c:pt>
                <c:pt idx="58">
                  <c:v>440.229487267286</c:v>
                </c:pt>
                <c:pt idx="59">
                  <c:v>449.1866023003156</c:v>
                </c:pt>
                <c:pt idx="60">
                  <c:v>458.13989619719524</c:v>
                </c:pt>
                <c:pt idx="61">
                  <c:v>445.05302932092815</c:v>
                </c:pt>
                <c:pt idx="62">
                  <c:v>452.63062434570588</c:v>
                </c:pt>
                <c:pt idx="63">
                  <c:v>460.20550736963349</c:v>
                </c:pt>
                <c:pt idx="64">
                  <c:v>467.77772934982653</c:v>
                </c:pt>
                <c:pt idx="65">
                  <c:v>475.34733945827821</c:v>
                </c:pt>
                <c:pt idx="66">
                  <c:v>462.95934790100313</c:v>
                </c:pt>
                <c:pt idx="67">
                  <c:v>469.49832289995226</c:v>
                </c:pt>
                <c:pt idx="68">
                  <c:v>476.03535797120679</c:v>
                </c:pt>
                <c:pt idx="69">
                  <c:v>482.57048352753094</c:v>
                </c:pt>
                <c:pt idx="70">
                  <c:v>489.10372909031207</c:v>
                </c:pt>
                <c:pt idx="71">
                  <c:v>477.75531176685877</c:v>
                </c:pt>
                <c:pt idx="72">
                  <c:v>483.60217285660246</c:v>
                </c:pt>
                <c:pt idx="73">
                  <c:v>489.44753258962902</c:v>
                </c:pt>
                <c:pt idx="74">
                  <c:v>495.2914114369068</c:v>
                </c:pt>
                <c:pt idx="75">
                  <c:v>501.13382934663622</c:v>
                </c:pt>
                <c:pt idx="76">
                  <c:v>490.47891235987964</c:v>
                </c:pt>
                <c:pt idx="77">
                  <c:v>495.2914114369068</c:v>
                </c:pt>
                <c:pt idx="78">
                  <c:v>500.10291971422998</c:v>
                </c:pt>
                <c:pt idx="79">
                  <c:v>504.91344807612194</c:v>
                </c:pt>
                <c:pt idx="80">
                  <c:v>509.72300718239154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115" zoomScaleNormal="80" workbookViewId="0">
      <selection activeCell="B214" sqref="B21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7.32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164</v>
      </c>
      <c r="C9" s="32">
        <v>0.35</v>
      </c>
      <c r="D9" s="33">
        <f t="shared" ref="D9:D18" si="0">C9*$C$5</f>
        <v>2.5619999999999998</v>
      </c>
      <c r="E9" s="34">
        <v>105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18</v>
      </c>
      <c r="C10" s="32">
        <v>0.27300000000000002</v>
      </c>
      <c r="D10" s="33">
        <f t="shared" si="0"/>
        <v>1.9983600000000001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27</v>
      </c>
      <c r="C11" s="32">
        <v>6.4000000000000001E-2</v>
      </c>
      <c r="D11" s="33">
        <f t="shared" si="0"/>
        <v>0.46848000000000001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4</v>
      </c>
      <c r="C12" s="32">
        <v>7.6999999999999999E-2</v>
      </c>
      <c r="D12" s="33">
        <f t="shared" si="0"/>
        <v>0.56364000000000003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12</v>
      </c>
      <c r="C13" s="32">
        <v>8.6999999999999994E-2</v>
      </c>
      <c r="D13" s="33">
        <f t="shared" si="0"/>
        <v>0.63683999999999996</v>
      </c>
      <c r="E13" s="34">
        <v>105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22</v>
      </c>
      <c r="C14" s="32">
        <v>1.2999999999999999E-2</v>
      </c>
      <c r="D14" s="33">
        <f t="shared" si="0"/>
        <v>9.5159999999999995E-2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23</v>
      </c>
      <c r="C15" s="32">
        <v>6.8000000000000005E-2</v>
      </c>
      <c r="D15" s="33">
        <f t="shared" si="0"/>
        <v>0.49776000000000004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30</v>
      </c>
      <c r="C16" s="32">
        <v>6.8000000000000005E-2</v>
      </c>
      <c r="D16" s="33">
        <f t="shared" si="0"/>
        <v>0.49776000000000004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7.3200000000000021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0</v>
      </c>
      <c r="B36" s="60">
        <v>0</v>
      </c>
      <c r="C36" s="60"/>
      <c r="D36" s="60"/>
      <c r="E36" s="51"/>
      <c r="F36" s="51"/>
      <c r="G36" s="51"/>
      <c r="H36" s="51"/>
      <c r="I36" s="49" t="str">
        <f>IFERROR(B36/A36,"")</f>
        <v/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</v>
      </c>
      <c r="B37" s="60">
        <v>1</v>
      </c>
      <c r="C37" s="60"/>
      <c r="D37" s="60"/>
      <c r="E37" s="51"/>
      <c r="F37" s="51"/>
      <c r="G37" s="51"/>
      <c r="H37" s="51"/>
      <c r="I37" s="53">
        <f t="shared" ref="I37:I55" si="1">IF(A37&lt;&gt;0,(B37-(B36-D36))/(A37-A36),"")</f>
        <v>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5</v>
      </c>
      <c r="B38" s="60">
        <v>8</v>
      </c>
      <c r="C38" s="60"/>
      <c r="D38" s="60"/>
      <c r="E38" s="51"/>
      <c r="F38" s="51"/>
      <c r="G38" s="51"/>
      <c r="H38" s="51"/>
      <c r="I38" s="53">
        <f t="shared" si="1"/>
        <v>1.75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25</v>
      </c>
      <c r="B39" s="60">
        <v>42</v>
      </c>
      <c r="C39" s="60"/>
      <c r="D39" s="60"/>
      <c r="E39" s="51"/>
      <c r="F39" s="51"/>
      <c r="G39" s="51"/>
      <c r="H39" s="51"/>
      <c r="I39" s="49">
        <f t="shared" si="1"/>
        <v>1.7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30</v>
      </c>
      <c r="B40" s="60">
        <v>88</v>
      </c>
      <c r="C40" s="60"/>
      <c r="D40" s="60"/>
      <c r="E40" s="51"/>
      <c r="F40" s="51"/>
      <c r="G40" s="51"/>
      <c r="H40" s="51"/>
      <c r="I40" s="49">
        <f t="shared" si="1"/>
        <v>9.1999999999999993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35</v>
      </c>
      <c r="B41" s="60">
        <v>143</v>
      </c>
      <c r="C41" s="60"/>
      <c r="D41" s="60"/>
      <c r="E41" s="51"/>
      <c r="F41" s="51"/>
      <c r="G41" s="51"/>
      <c r="H41" s="51"/>
      <c r="I41" s="53">
        <f t="shared" si="1"/>
        <v>11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40</v>
      </c>
      <c r="B42" s="60">
        <v>198</v>
      </c>
      <c r="C42" s="60"/>
      <c r="D42" s="60"/>
      <c r="E42" s="51"/>
      <c r="F42" s="51"/>
      <c r="G42" s="51"/>
      <c r="H42" s="51"/>
      <c r="I42" s="53">
        <f t="shared" si="1"/>
        <v>11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46</v>
      </c>
      <c r="B43" s="60">
        <v>300</v>
      </c>
      <c r="C43" s="60">
        <v>1</v>
      </c>
      <c r="D43" s="60">
        <v>102</v>
      </c>
      <c r="E43" s="51">
        <v>0.4</v>
      </c>
      <c r="F43" s="51">
        <v>0.4</v>
      </c>
      <c r="G43" s="51"/>
      <c r="H43" s="51">
        <v>0.2</v>
      </c>
      <c r="I43" s="49">
        <f t="shared" si="1"/>
        <v>17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56</v>
      </c>
      <c r="B44" s="60">
        <v>379</v>
      </c>
      <c r="C44" s="60">
        <v>2</v>
      </c>
      <c r="D44" s="60">
        <v>91</v>
      </c>
      <c r="E44" s="51">
        <v>0.45</v>
      </c>
      <c r="F44" s="51">
        <v>0.35</v>
      </c>
      <c r="G44" s="51"/>
      <c r="H44" s="51">
        <v>0.2</v>
      </c>
      <c r="I44" s="49">
        <f t="shared" si="1"/>
        <v>18.100000000000001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66</v>
      </c>
      <c r="B45" s="60">
        <v>465</v>
      </c>
      <c r="C45" s="60">
        <v>3</v>
      </c>
      <c r="D45" s="60">
        <v>101</v>
      </c>
      <c r="E45" s="51">
        <v>0.5</v>
      </c>
      <c r="F45" s="51">
        <v>0.35</v>
      </c>
      <c r="G45" s="51"/>
      <c r="H45" s="51">
        <v>0.15</v>
      </c>
      <c r="I45" s="49">
        <f t="shared" si="1"/>
        <v>17.7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76</v>
      </c>
      <c r="B46" s="60">
        <v>532</v>
      </c>
      <c r="C46" s="60">
        <v>4</v>
      </c>
      <c r="D46" s="60">
        <v>106</v>
      </c>
      <c r="E46" s="51">
        <v>0.55000000000000004</v>
      </c>
      <c r="F46" s="51">
        <v>0.3</v>
      </c>
      <c r="G46" s="51"/>
      <c r="H46" s="51">
        <v>0.15</v>
      </c>
      <c r="I46" s="49">
        <f t="shared" si="1"/>
        <v>16.8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86</v>
      </c>
      <c r="B47" s="60">
        <v>567</v>
      </c>
      <c r="C47" s="60">
        <v>5</v>
      </c>
      <c r="D47" s="60">
        <v>108</v>
      </c>
      <c r="E47" s="51">
        <v>0.6</v>
      </c>
      <c r="F47" s="51">
        <v>0.25</v>
      </c>
      <c r="G47" s="51"/>
      <c r="H47" s="51">
        <v>0.15</v>
      </c>
      <c r="I47" s="49">
        <f t="shared" si="1"/>
        <v>14.1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95</v>
      </c>
      <c r="B48" s="60">
        <v>576</v>
      </c>
      <c r="C48" s="60">
        <v>6</v>
      </c>
      <c r="D48" s="60">
        <v>103</v>
      </c>
      <c r="E48" s="51">
        <v>0.6</v>
      </c>
      <c r="F48" s="51">
        <v>0.25</v>
      </c>
      <c r="G48" s="51"/>
      <c r="H48" s="51">
        <v>0.15</v>
      </c>
      <c r="I48" s="49">
        <f t="shared" si="1"/>
        <v>13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100</v>
      </c>
      <c r="B49" s="60">
        <v>529</v>
      </c>
      <c r="C49" s="60"/>
      <c r="D49" s="60"/>
      <c r="E49" s="51"/>
      <c r="F49" s="51"/>
      <c r="G49" s="51"/>
      <c r="H49" s="51"/>
      <c r="I49" s="49">
        <f t="shared" si="1"/>
        <v>11.2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>
        <v>105</v>
      </c>
      <c r="B50" s="50">
        <v>580</v>
      </c>
      <c r="C50" s="50">
        <v>7</v>
      </c>
      <c r="D50" s="50">
        <v>580</v>
      </c>
      <c r="E50" s="51">
        <v>0.65</v>
      </c>
      <c r="F50" s="51">
        <v>0.25</v>
      </c>
      <c r="G50" s="51"/>
      <c r="H50" s="51">
        <v>0.1</v>
      </c>
      <c r="I50" s="49">
        <f t="shared" si="1"/>
        <v>10.199999999999999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0</v>
      </c>
      <c r="B62" s="60">
        <v>1</v>
      </c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1</v>
      </c>
      <c r="B63" s="60">
        <v>4</v>
      </c>
      <c r="C63" s="60"/>
      <c r="D63" s="60"/>
      <c r="E63" s="51"/>
      <c r="F63" s="51"/>
      <c r="G63" s="51"/>
      <c r="H63" s="51"/>
      <c r="I63" s="49">
        <f>IF(A63&lt;&gt;0,(B63-(B62-D62))/(A63-A62),"")</f>
        <v>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5</v>
      </c>
      <c r="B64" s="60">
        <v>17</v>
      </c>
      <c r="C64" s="60"/>
      <c r="D64" s="60"/>
      <c r="E64" s="51"/>
      <c r="F64" s="51"/>
      <c r="G64" s="51"/>
      <c r="H64" s="51"/>
      <c r="I64" s="49">
        <f>IF(A64&lt;&gt;0,(B64-(B63-D63))/(A64-A63),"")</f>
        <v>3.25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10</v>
      </c>
      <c r="B65" s="60">
        <v>32</v>
      </c>
      <c r="C65" s="60"/>
      <c r="D65" s="60"/>
      <c r="E65" s="51"/>
      <c r="F65" s="51"/>
      <c r="G65" s="51"/>
      <c r="H65" s="51"/>
      <c r="I65" s="49">
        <f>IF(A65&lt;&gt;0,(B65-(B64-D64))/(A65-A64),"")</f>
        <v>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15</v>
      </c>
      <c r="B66" s="60">
        <v>102</v>
      </c>
      <c r="C66" s="60"/>
      <c r="D66" s="60"/>
      <c r="E66" s="51"/>
      <c r="F66" s="51"/>
      <c r="G66" s="51"/>
      <c r="H66" s="51"/>
      <c r="I66" s="49">
        <f t="shared" ref="I66:I81" si="2">IF(A66&lt;&gt;0,(B66-(B65-D65))/(A66-A65),"")</f>
        <v>14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20</v>
      </c>
      <c r="B67" s="60">
        <v>162</v>
      </c>
      <c r="C67" s="60"/>
      <c r="D67" s="60"/>
      <c r="E67" s="51"/>
      <c r="F67" s="51"/>
      <c r="G67" s="51"/>
      <c r="H67" s="51"/>
      <c r="I67" s="49">
        <f t="shared" si="2"/>
        <v>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25</v>
      </c>
      <c r="B68" s="60">
        <v>281</v>
      </c>
      <c r="C68" s="60">
        <v>1</v>
      </c>
      <c r="D68" s="60">
        <v>54</v>
      </c>
      <c r="E68" s="51">
        <v>0.4</v>
      </c>
      <c r="F68" s="51">
        <v>0.4</v>
      </c>
      <c r="G68" s="51"/>
      <c r="H68" s="51">
        <v>0.2</v>
      </c>
      <c r="I68" s="49">
        <f t="shared" si="2"/>
        <v>23.8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30</v>
      </c>
      <c r="B69" s="50">
        <v>367</v>
      </c>
      <c r="C69" s="50">
        <v>2</v>
      </c>
      <c r="D69" s="50">
        <v>54</v>
      </c>
      <c r="E69" s="51">
        <v>0.5</v>
      </c>
      <c r="F69" s="51">
        <v>0.3</v>
      </c>
      <c r="G69" s="51"/>
      <c r="H69" s="51">
        <v>0.2</v>
      </c>
      <c r="I69" s="49">
        <f t="shared" si="2"/>
        <v>28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35</v>
      </c>
      <c r="B70" s="50">
        <v>436</v>
      </c>
      <c r="C70" s="50">
        <v>3</v>
      </c>
      <c r="D70" s="50">
        <v>69</v>
      </c>
      <c r="E70" s="51">
        <v>0.6</v>
      </c>
      <c r="F70" s="51">
        <v>0.3</v>
      </c>
      <c r="G70" s="51"/>
      <c r="H70" s="51">
        <v>0.1</v>
      </c>
      <c r="I70" s="49">
        <f t="shared" si="2"/>
        <v>24.6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40</v>
      </c>
      <c r="B71" s="50">
        <v>492</v>
      </c>
      <c r="C71" s="50">
        <v>4</v>
      </c>
      <c r="D71" s="50">
        <v>72</v>
      </c>
      <c r="E71" s="51">
        <v>0.65</v>
      </c>
      <c r="F71" s="51">
        <v>0.25</v>
      </c>
      <c r="G71" s="51"/>
      <c r="H71" s="51">
        <v>0.1</v>
      </c>
      <c r="I71" s="49">
        <f t="shared" si="2"/>
        <v>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45</v>
      </c>
      <c r="B72" s="50">
        <v>540</v>
      </c>
      <c r="C72" s="50">
        <v>5</v>
      </c>
      <c r="D72" s="50">
        <v>66</v>
      </c>
      <c r="E72" s="51">
        <v>0.65</v>
      </c>
      <c r="F72" s="51">
        <v>0.25</v>
      </c>
      <c r="G72" s="51"/>
      <c r="H72" s="51">
        <v>0.1</v>
      </c>
      <c r="I72" s="49">
        <f t="shared" si="2"/>
        <v>24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50</v>
      </c>
      <c r="B73" s="50">
        <v>581</v>
      </c>
      <c r="C73" s="50">
        <v>6</v>
      </c>
      <c r="D73" s="50">
        <v>48</v>
      </c>
      <c r="E73" s="51">
        <v>0.65</v>
      </c>
      <c r="F73" s="51">
        <v>0.25</v>
      </c>
      <c r="G73" s="51"/>
      <c r="H73" s="51">
        <v>0.1</v>
      </c>
      <c r="I73" s="49">
        <f t="shared" si="2"/>
        <v>21.4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55</v>
      </c>
      <c r="B74" s="50">
        <v>615</v>
      </c>
      <c r="C74" s="50">
        <v>7</v>
      </c>
      <c r="D74" s="50">
        <v>35</v>
      </c>
      <c r="E74" s="51">
        <v>0.65</v>
      </c>
      <c r="F74" s="51">
        <v>0.25</v>
      </c>
      <c r="G74" s="51"/>
      <c r="H74" s="51">
        <v>0.1</v>
      </c>
      <c r="I74" s="49">
        <f t="shared" si="2"/>
        <v>16.399999999999999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60</v>
      </c>
      <c r="B75" s="50">
        <v>637</v>
      </c>
      <c r="C75" s="50">
        <v>8</v>
      </c>
      <c r="D75" s="50">
        <v>637</v>
      </c>
      <c r="E75" s="51">
        <v>0.65</v>
      </c>
      <c r="F75" s="51">
        <v>0.25</v>
      </c>
      <c r="G75" s="51"/>
      <c r="H75" s="51">
        <v>0.1</v>
      </c>
      <c r="I75" s="49">
        <f t="shared" si="2"/>
        <v>11.4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0</v>
      </c>
      <c r="B88" s="60">
        <v>1</v>
      </c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1</v>
      </c>
      <c r="B89" s="60">
        <v>2</v>
      </c>
      <c r="C89" s="60"/>
      <c r="D89" s="60"/>
      <c r="E89" s="51"/>
      <c r="F89" s="51"/>
      <c r="G89" s="51"/>
      <c r="H89" s="87"/>
      <c r="I89" s="53">
        <f t="shared" ref="I89:I107" si="3">IF(A89&lt;&gt;0,(B89-(B88-D88))/(A89-A88),"")</f>
        <v>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5</v>
      </c>
      <c r="B90" s="60">
        <v>6</v>
      </c>
      <c r="C90" s="60"/>
      <c r="D90" s="60"/>
      <c r="E90" s="87"/>
      <c r="F90" s="87"/>
      <c r="G90" s="87"/>
      <c r="H90" s="87"/>
      <c r="I90" s="53">
        <f t="shared" si="3"/>
        <v>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10</v>
      </c>
      <c r="B91" s="60">
        <v>38</v>
      </c>
      <c r="C91" s="60"/>
      <c r="D91" s="60"/>
      <c r="E91" s="87"/>
      <c r="F91" s="87"/>
      <c r="G91" s="87"/>
      <c r="H91" s="87"/>
      <c r="I91" s="53">
        <f t="shared" si="3"/>
        <v>6.4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18</v>
      </c>
      <c r="B92" s="60">
        <v>112</v>
      </c>
      <c r="C92" s="60">
        <v>1</v>
      </c>
      <c r="D92" s="60">
        <v>20</v>
      </c>
      <c r="E92" s="87"/>
      <c r="F92" s="87">
        <v>0.6</v>
      </c>
      <c r="G92" s="87"/>
      <c r="H92" s="87">
        <v>0.4</v>
      </c>
      <c r="I92" s="53">
        <f t="shared" si="3"/>
        <v>9.25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21</v>
      </c>
      <c r="B93" s="60">
        <v>146</v>
      </c>
      <c r="C93" s="60">
        <v>2</v>
      </c>
      <c r="D93" s="60">
        <v>26</v>
      </c>
      <c r="E93" s="87"/>
      <c r="F93" s="87">
        <v>0.7</v>
      </c>
      <c r="G93" s="87"/>
      <c r="H93" s="87">
        <v>0.3</v>
      </c>
      <c r="I93" s="53">
        <f t="shared" si="3"/>
        <v>18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24</v>
      </c>
      <c r="B94" s="60">
        <v>168</v>
      </c>
      <c r="C94" s="60">
        <v>3</v>
      </c>
      <c r="D94" s="60">
        <v>29</v>
      </c>
      <c r="E94" s="87"/>
      <c r="F94" s="87">
        <v>0.8</v>
      </c>
      <c r="G94" s="87"/>
      <c r="H94" s="87">
        <v>0.2</v>
      </c>
      <c r="I94" s="53">
        <f t="shared" si="3"/>
        <v>16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30</v>
      </c>
      <c r="B95" s="60">
        <v>224</v>
      </c>
      <c r="C95" s="60">
        <v>4</v>
      </c>
      <c r="D95" s="60">
        <v>53</v>
      </c>
      <c r="E95" s="87">
        <v>0.3</v>
      </c>
      <c r="F95" s="87">
        <v>0.6</v>
      </c>
      <c r="G95" s="87"/>
      <c r="H95" s="87">
        <v>0.2</v>
      </c>
      <c r="I95" s="53">
        <f t="shared" si="3"/>
        <v>14.166666666666666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>
        <v>36</v>
      </c>
      <c r="B96" s="60">
        <v>248</v>
      </c>
      <c r="C96" s="60">
        <v>5</v>
      </c>
      <c r="D96" s="60">
        <v>62</v>
      </c>
      <c r="E96" s="87">
        <v>0.4</v>
      </c>
      <c r="F96" s="87">
        <v>0.45</v>
      </c>
      <c r="G96" s="87"/>
      <c r="H96" s="87">
        <v>0.15</v>
      </c>
      <c r="I96" s="53">
        <f t="shared" si="3"/>
        <v>12.833333333333334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>
        <v>42</v>
      </c>
      <c r="B97" s="60">
        <v>255</v>
      </c>
      <c r="C97" s="60">
        <v>6</v>
      </c>
      <c r="D97" s="60">
        <v>67</v>
      </c>
      <c r="E97" s="87">
        <v>0.6</v>
      </c>
      <c r="F97" s="87">
        <v>0.3</v>
      </c>
      <c r="G97" s="87"/>
      <c r="H97" s="87">
        <v>0.1</v>
      </c>
      <c r="I97" s="53">
        <f t="shared" si="3"/>
        <v>11.5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>
        <v>48</v>
      </c>
      <c r="B98" s="60">
        <v>252</v>
      </c>
      <c r="C98" s="60">
        <v>7</v>
      </c>
      <c r="D98" s="60">
        <v>65</v>
      </c>
      <c r="E98" s="87">
        <v>0.7</v>
      </c>
      <c r="F98" s="87">
        <v>0.2</v>
      </c>
      <c r="G98" s="87"/>
      <c r="H98" s="87">
        <v>0.1</v>
      </c>
      <c r="I98" s="53">
        <f t="shared" si="3"/>
        <v>10.666666666666666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>
        <v>60</v>
      </c>
      <c r="B99" s="60">
        <v>304</v>
      </c>
      <c r="C99" s="60">
        <v>8</v>
      </c>
      <c r="D99" s="60">
        <v>304</v>
      </c>
      <c r="E99" s="87">
        <v>0.7</v>
      </c>
      <c r="F99" s="87">
        <v>0.2</v>
      </c>
      <c r="G99" s="87"/>
      <c r="H99" s="87">
        <v>0.1</v>
      </c>
      <c r="I99" s="53">
        <f t="shared" si="3"/>
        <v>9.75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Aulne glutineux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15</v>
      </c>
      <c r="B114" s="60">
        <v>37</v>
      </c>
      <c r="C114" s="50"/>
      <c r="D114" s="60"/>
      <c r="E114" s="51"/>
      <c r="F114" s="51"/>
      <c r="G114" s="51"/>
      <c r="H114" s="51"/>
      <c r="I114" s="53">
        <f>IFERROR(B114/A114,"")</f>
        <v>2.4666666666666668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20</v>
      </c>
      <c r="B115" s="60">
        <v>95</v>
      </c>
      <c r="C115" s="50">
        <v>1</v>
      </c>
      <c r="D115" s="60">
        <v>28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11.6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25</v>
      </c>
      <c r="B116" s="60">
        <v>130</v>
      </c>
      <c r="C116" s="50">
        <v>2</v>
      </c>
      <c r="D116" s="60">
        <v>28</v>
      </c>
      <c r="E116" s="51"/>
      <c r="F116" s="51"/>
      <c r="G116" s="51"/>
      <c r="H116" s="51">
        <v>1</v>
      </c>
      <c r="I116" s="53">
        <f t="shared" si="4"/>
        <v>12.6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30</v>
      </c>
      <c r="B117" s="60">
        <v>151</v>
      </c>
      <c r="C117" s="50">
        <v>3</v>
      </c>
      <c r="D117" s="60">
        <v>28</v>
      </c>
      <c r="E117" s="51"/>
      <c r="F117" s="51">
        <v>0.3</v>
      </c>
      <c r="G117" s="51"/>
      <c r="H117" s="51">
        <v>0.7</v>
      </c>
      <c r="I117" s="53">
        <f t="shared" si="4"/>
        <v>9.8000000000000007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35</v>
      </c>
      <c r="B118" s="60">
        <v>187</v>
      </c>
      <c r="C118" s="50">
        <v>4</v>
      </c>
      <c r="D118" s="60">
        <v>35</v>
      </c>
      <c r="E118" s="51"/>
      <c r="F118" s="51">
        <v>0.4</v>
      </c>
      <c r="G118" s="51"/>
      <c r="H118" s="51">
        <v>0.6</v>
      </c>
      <c r="I118" s="53">
        <f t="shared" si="4"/>
        <v>12.8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40</v>
      </c>
      <c r="B119" s="60">
        <v>200</v>
      </c>
      <c r="C119" s="50">
        <v>5</v>
      </c>
      <c r="D119" s="60">
        <v>35</v>
      </c>
      <c r="E119" s="51">
        <v>0.2</v>
      </c>
      <c r="F119" s="51">
        <v>0.35</v>
      </c>
      <c r="G119" s="51"/>
      <c r="H119" s="51">
        <v>0.45</v>
      </c>
      <c r="I119" s="53">
        <f t="shared" si="4"/>
        <v>9.6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45</v>
      </c>
      <c r="B120" s="60">
        <v>206</v>
      </c>
      <c r="C120" s="60">
        <v>6</v>
      </c>
      <c r="D120" s="60">
        <v>30</v>
      </c>
      <c r="E120" s="87">
        <v>0.3</v>
      </c>
      <c r="F120" s="87">
        <v>0.35</v>
      </c>
      <c r="G120" s="87"/>
      <c r="H120" s="87">
        <v>0.35</v>
      </c>
      <c r="I120" s="53">
        <f t="shared" si="4"/>
        <v>8.1999999999999993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50</v>
      </c>
      <c r="B121" s="60">
        <v>212</v>
      </c>
      <c r="C121" s="60">
        <v>7</v>
      </c>
      <c r="D121" s="60">
        <v>30</v>
      </c>
      <c r="E121" s="87">
        <v>0.4</v>
      </c>
      <c r="F121" s="87">
        <v>0.3</v>
      </c>
      <c r="G121" s="87"/>
      <c r="H121" s="87">
        <v>0.3</v>
      </c>
      <c r="I121" s="53">
        <f t="shared" si="4"/>
        <v>7.2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55</v>
      </c>
      <c r="B122" s="60">
        <v>212</v>
      </c>
      <c r="C122" s="60">
        <v>8</v>
      </c>
      <c r="D122" s="60">
        <v>20</v>
      </c>
      <c r="E122" s="87">
        <v>0.5</v>
      </c>
      <c r="F122" s="87">
        <v>0.25</v>
      </c>
      <c r="G122" s="87"/>
      <c r="H122" s="87">
        <v>0.25</v>
      </c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60</v>
      </c>
      <c r="B123" s="60">
        <v>218</v>
      </c>
      <c r="C123" s="60">
        <v>9</v>
      </c>
      <c r="D123" s="60">
        <v>218</v>
      </c>
      <c r="E123" s="87">
        <v>0.6</v>
      </c>
      <c r="F123" s="87">
        <v>0.2</v>
      </c>
      <c r="G123" s="87"/>
      <c r="H123" s="87">
        <v>0.2</v>
      </c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Chêne pubescent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0</v>
      </c>
      <c r="B140" s="60">
        <v>0</v>
      </c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1</v>
      </c>
      <c r="B141" s="60">
        <v>1</v>
      </c>
      <c r="C141" s="50"/>
      <c r="D141" s="60"/>
      <c r="E141" s="51"/>
      <c r="F141" s="51"/>
      <c r="G141" s="51"/>
      <c r="H141" s="51"/>
      <c r="I141" s="57">
        <f t="shared" ref="I141:I159" si="5">IF(A141&lt;&gt;0,(B141-(B140-D140))/(A141-A140),"")</f>
        <v>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5</v>
      </c>
      <c r="B142" s="60">
        <v>14</v>
      </c>
      <c r="C142" s="50"/>
      <c r="D142" s="60"/>
      <c r="E142" s="51"/>
      <c r="F142" s="51"/>
      <c r="G142" s="51"/>
      <c r="H142" s="51"/>
      <c r="I142" s="57">
        <f t="shared" si="5"/>
        <v>3.25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25</v>
      </c>
      <c r="B143" s="60">
        <v>94</v>
      </c>
      <c r="C143" s="50"/>
      <c r="D143" s="60"/>
      <c r="E143" s="51"/>
      <c r="F143" s="51"/>
      <c r="G143" s="51"/>
      <c r="H143" s="51"/>
      <c r="I143" s="57">
        <f t="shared" si="5"/>
        <v>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30</v>
      </c>
      <c r="B144" s="60">
        <v>119</v>
      </c>
      <c r="C144" s="50"/>
      <c r="D144" s="60"/>
      <c r="E144" s="51"/>
      <c r="F144" s="51"/>
      <c r="G144" s="51"/>
      <c r="H144" s="51"/>
      <c r="I144" s="57">
        <f t="shared" si="5"/>
        <v>5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35</v>
      </c>
      <c r="B145" s="60">
        <v>149</v>
      </c>
      <c r="C145" s="50">
        <v>1</v>
      </c>
      <c r="D145" s="60">
        <v>25</v>
      </c>
      <c r="E145" s="51"/>
      <c r="F145" s="51"/>
      <c r="G145" s="51"/>
      <c r="H145" s="51">
        <v>1</v>
      </c>
      <c r="I145" s="57">
        <f t="shared" si="5"/>
        <v>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>
        <v>40</v>
      </c>
      <c r="B146" s="60">
        <v>159</v>
      </c>
      <c r="C146" s="50"/>
      <c r="D146" s="60"/>
      <c r="E146" s="51"/>
      <c r="F146" s="51"/>
      <c r="G146" s="51"/>
      <c r="H146" s="51"/>
      <c r="I146" s="57">
        <f t="shared" si="5"/>
        <v>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>
        <v>45</v>
      </c>
      <c r="B147" s="60">
        <v>194</v>
      </c>
      <c r="C147" s="50">
        <v>2</v>
      </c>
      <c r="D147" s="60">
        <v>35</v>
      </c>
      <c r="E147" s="51"/>
      <c r="F147" s="51">
        <v>0.35</v>
      </c>
      <c r="G147" s="51"/>
      <c r="H147" s="51">
        <v>0.65</v>
      </c>
      <c r="I147" s="57">
        <f>IF(A147&lt;&gt;0,(B147-(B146-D146))/(A147-A146),"")</f>
        <v>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>
        <v>55</v>
      </c>
      <c r="B148" s="60">
        <v>229</v>
      </c>
      <c r="C148" s="50">
        <v>3</v>
      </c>
      <c r="D148" s="60">
        <v>45</v>
      </c>
      <c r="E148" s="51">
        <v>0.15</v>
      </c>
      <c r="F148" s="51">
        <v>0.4</v>
      </c>
      <c r="G148" s="51"/>
      <c r="H148" s="51">
        <v>0.45</v>
      </c>
      <c r="I148" s="57">
        <f t="shared" si="5"/>
        <v>7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>
        <v>65</v>
      </c>
      <c r="B149" s="60">
        <v>244</v>
      </c>
      <c r="C149" s="50">
        <v>4</v>
      </c>
      <c r="D149" s="60">
        <v>50</v>
      </c>
      <c r="E149" s="51">
        <v>0.2</v>
      </c>
      <c r="F149" s="51">
        <v>0.35</v>
      </c>
      <c r="G149" s="51"/>
      <c r="H149" s="51">
        <v>0.45</v>
      </c>
      <c r="I149" s="57">
        <f t="shared" si="5"/>
        <v>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>
        <v>75</v>
      </c>
      <c r="B150" s="60">
        <v>254</v>
      </c>
      <c r="C150" s="50">
        <v>5</v>
      </c>
      <c r="D150" s="60">
        <v>50</v>
      </c>
      <c r="E150" s="51">
        <v>0.4</v>
      </c>
      <c r="F150" s="51">
        <v>0.3</v>
      </c>
      <c r="G150" s="51"/>
      <c r="H150" s="51">
        <v>0.3</v>
      </c>
      <c r="I150" s="57">
        <f t="shared" si="5"/>
        <v>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>
        <v>85</v>
      </c>
      <c r="B151" s="60">
        <v>254</v>
      </c>
      <c r="C151" s="50">
        <v>6</v>
      </c>
      <c r="D151" s="60">
        <v>50</v>
      </c>
      <c r="E151" s="51">
        <v>0.5</v>
      </c>
      <c r="F151" s="51">
        <v>0.25</v>
      </c>
      <c r="G151" s="51"/>
      <c r="H151" s="51">
        <v>0.25</v>
      </c>
      <c r="I151" s="57">
        <f t="shared" si="5"/>
        <v>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>
        <v>95</v>
      </c>
      <c r="B152" s="60">
        <v>244</v>
      </c>
      <c r="C152" s="50">
        <v>7</v>
      </c>
      <c r="D152" s="60">
        <v>50</v>
      </c>
      <c r="E152" s="54">
        <v>0.6</v>
      </c>
      <c r="F152" s="54">
        <v>0.15</v>
      </c>
      <c r="G152" s="54"/>
      <c r="H152" s="54">
        <v>0.25</v>
      </c>
      <c r="I152" s="57">
        <f t="shared" si="5"/>
        <v>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>
        <v>100</v>
      </c>
      <c r="B153" s="60">
        <f>B152+5*4-D152</f>
        <v>214</v>
      </c>
      <c r="C153" s="50"/>
      <c r="D153" s="60"/>
      <c r="E153" s="54"/>
      <c r="F153" s="54"/>
      <c r="G153" s="54"/>
      <c r="H153" s="54"/>
      <c r="I153" s="57">
        <f t="shared" si="5"/>
        <v>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>
        <v>105</v>
      </c>
      <c r="B154" s="56">
        <f>B153+5*4</f>
        <v>234</v>
      </c>
      <c r="C154" s="50">
        <v>8</v>
      </c>
      <c r="D154" s="50">
        <v>234</v>
      </c>
      <c r="E154" s="54">
        <v>0.65</v>
      </c>
      <c r="F154" s="54">
        <v>0.1</v>
      </c>
      <c r="G154" s="54"/>
      <c r="H154" s="54">
        <v>0.25</v>
      </c>
      <c r="I154" s="57">
        <f t="shared" si="5"/>
        <v>4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Erable plane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15</v>
      </c>
      <c r="B166" s="60">
        <v>37</v>
      </c>
      <c r="C166" s="60"/>
      <c r="D166" s="60"/>
      <c r="E166" s="51"/>
      <c r="F166" s="51"/>
      <c r="G166" s="51"/>
      <c r="H166" s="51"/>
      <c r="I166" s="49">
        <f>IFERROR(B166/A166,"")</f>
        <v>2.4666666666666668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20</v>
      </c>
      <c r="B167" s="60">
        <v>95</v>
      </c>
      <c r="C167" s="60">
        <v>1</v>
      </c>
      <c r="D167" s="60">
        <v>28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11.6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25</v>
      </c>
      <c r="B168" s="60">
        <v>130</v>
      </c>
      <c r="C168" s="60">
        <v>2</v>
      </c>
      <c r="D168" s="60">
        <v>28</v>
      </c>
      <c r="E168" s="51"/>
      <c r="F168" s="51"/>
      <c r="G168" s="51"/>
      <c r="H168" s="51">
        <v>1</v>
      </c>
      <c r="I168" s="49">
        <f t="shared" si="6"/>
        <v>12.6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30</v>
      </c>
      <c r="B169" s="60">
        <v>151</v>
      </c>
      <c r="C169" s="60">
        <v>3</v>
      </c>
      <c r="D169" s="60">
        <v>28</v>
      </c>
      <c r="E169" s="51">
        <v>0.25</v>
      </c>
      <c r="F169" s="51"/>
      <c r="G169" s="51"/>
      <c r="H169" s="51">
        <v>0.75</v>
      </c>
      <c r="I169" s="49">
        <f t="shared" si="6"/>
        <v>9.8000000000000007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35</v>
      </c>
      <c r="B170" s="60">
        <v>187</v>
      </c>
      <c r="C170" s="60">
        <v>4</v>
      </c>
      <c r="D170" s="60">
        <v>28</v>
      </c>
      <c r="E170" s="51">
        <v>0.25</v>
      </c>
      <c r="F170" s="51"/>
      <c r="G170" s="51"/>
      <c r="H170" s="51">
        <v>0.75</v>
      </c>
      <c r="I170" s="49">
        <f t="shared" si="6"/>
        <v>12.8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40</v>
      </c>
      <c r="B171" s="60">
        <v>207</v>
      </c>
      <c r="C171" s="60">
        <v>5</v>
      </c>
      <c r="D171" s="60">
        <v>28</v>
      </c>
      <c r="E171" s="51">
        <v>0.3</v>
      </c>
      <c r="F171" s="51"/>
      <c r="G171" s="51"/>
      <c r="H171" s="51">
        <v>0.7</v>
      </c>
      <c r="I171" s="49">
        <f t="shared" si="6"/>
        <v>9.6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45</v>
      </c>
      <c r="B172" s="60">
        <v>220</v>
      </c>
      <c r="C172" s="60">
        <v>6</v>
      </c>
      <c r="D172" s="60">
        <v>22</v>
      </c>
      <c r="E172" s="51">
        <v>0.3</v>
      </c>
      <c r="F172" s="51"/>
      <c r="G172" s="51"/>
      <c r="H172" s="51">
        <v>0.7</v>
      </c>
      <c r="I172" s="49">
        <f t="shared" si="6"/>
        <v>8.1999999999999993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50</v>
      </c>
      <c r="B173" s="50">
        <v>234</v>
      </c>
      <c r="C173" s="50">
        <v>7</v>
      </c>
      <c r="D173" s="50">
        <v>17</v>
      </c>
      <c r="E173" s="51">
        <v>0.35</v>
      </c>
      <c r="F173" s="51"/>
      <c r="G173" s="51"/>
      <c r="H173" s="51">
        <v>0.65</v>
      </c>
      <c r="I173" s="49">
        <f t="shared" si="6"/>
        <v>7.2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55</v>
      </c>
      <c r="B174" s="50">
        <v>247</v>
      </c>
      <c r="C174" s="50">
        <v>8</v>
      </c>
      <c r="D174" s="50">
        <v>13</v>
      </c>
      <c r="E174" s="51">
        <v>0.4</v>
      </c>
      <c r="F174" s="51"/>
      <c r="G174" s="51"/>
      <c r="H174" s="51">
        <v>0.6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60</v>
      </c>
      <c r="B175" s="50">
        <v>260</v>
      </c>
      <c r="C175" s="50">
        <v>9</v>
      </c>
      <c r="D175" s="50">
        <v>12</v>
      </c>
      <c r="E175" s="51">
        <v>0.4</v>
      </c>
      <c r="F175" s="51"/>
      <c r="G175" s="51"/>
      <c r="H175" s="51">
        <v>0.6</v>
      </c>
      <c r="I175" s="49">
        <f t="shared" si="6"/>
        <v>5.2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65</v>
      </c>
      <c r="B176" s="50">
        <v>270</v>
      </c>
      <c r="C176" s="50">
        <v>10</v>
      </c>
      <c r="D176" s="50">
        <v>11</v>
      </c>
      <c r="E176" s="51">
        <v>0.55000000000000004</v>
      </c>
      <c r="F176" s="51"/>
      <c r="G176" s="51"/>
      <c r="H176" s="51">
        <v>0.45</v>
      </c>
      <c r="I176" s="49">
        <f t="shared" si="6"/>
        <v>4.4000000000000004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70</v>
      </c>
      <c r="B177" s="50">
        <v>278</v>
      </c>
      <c r="C177" s="50">
        <v>11</v>
      </c>
      <c r="D177" s="50">
        <v>10</v>
      </c>
      <c r="E177" s="51">
        <v>0.6</v>
      </c>
      <c r="F177" s="51"/>
      <c r="G177" s="51"/>
      <c r="H177" s="51">
        <v>0.4</v>
      </c>
      <c r="I177" s="49">
        <f t="shared" si="6"/>
        <v>3.8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>
        <v>75</v>
      </c>
      <c r="B178" s="50">
        <v>285</v>
      </c>
      <c r="C178" s="50">
        <v>12</v>
      </c>
      <c r="D178" s="50">
        <v>9</v>
      </c>
      <c r="E178" s="51">
        <v>0</v>
      </c>
      <c r="F178" s="51"/>
      <c r="G178" s="51"/>
      <c r="H178" s="51">
        <v>1</v>
      </c>
      <c r="I178" s="49">
        <f t="shared" si="6"/>
        <v>3.4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>
        <v>80</v>
      </c>
      <c r="B179" s="50">
        <v>290</v>
      </c>
      <c r="C179" s="50">
        <v>13</v>
      </c>
      <c r="D179" s="50">
        <v>290</v>
      </c>
      <c r="E179" s="51">
        <v>0.7</v>
      </c>
      <c r="F179" s="51"/>
      <c r="G179" s="51"/>
      <c r="H179" s="51">
        <v>0.3</v>
      </c>
      <c r="I179" s="49">
        <f t="shared" si="6"/>
        <v>2.8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Erable sycomore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15</v>
      </c>
      <c r="B192" s="60">
        <v>37</v>
      </c>
      <c r="C192" s="60"/>
      <c r="D192" s="60"/>
      <c r="E192" s="51"/>
      <c r="F192" s="51"/>
      <c r="G192" s="51"/>
      <c r="H192" s="51"/>
      <c r="I192" s="49">
        <f>IFERROR(B192/A192,"")</f>
        <v>2.4666666666666668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20</v>
      </c>
      <c r="B193" s="60">
        <v>95</v>
      </c>
      <c r="C193" s="60">
        <v>1</v>
      </c>
      <c r="D193" s="60">
        <v>28</v>
      </c>
      <c r="E193" s="51"/>
      <c r="F193" s="51"/>
      <c r="G193" s="51"/>
      <c r="H193" s="51">
        <v>1</v>
      </c>
      <c r="I193" s="49">
        <f t="shared" ref="I193:I211" si="7">IF(A193&lt;&gt;0,(B193-(B192-D192))/(A193-A192),"")</f>
        <v>11.6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25</v>
      </c>
      <c r="B194" s="60">
        <v>130</v>
      </c>
      <c r="C194" s="60">
        <v>2</v>
      </c>
      <c r="D194" s="60">
        <v>28</v>
      </c>
      <c r="E194" s="51"/>
      <c r="F194" s="51"/>
      <c r="G194" s="51"/>
      <c r="H194" s="51">
        <v>1</v>
      </c>
      <c r="I194" s="49">
        <f t="shared" si="7"/>
        <v>12.6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30</v>
      </c>
      <c r="B195" s="60">
        <v>151</v>
      </c>
      <c r="C195" s="60">
        <v>3</v>
      </c>
      <c r="D195" s="60">
        <v>28</v>
      </c>
      <c r="E195" s="51">
        <v>0.25</v>
      </c>
      <c r="F195" s="51"/>
      <c r="G195" s="51"/>
      <c r="H195" s="51">
        <v>0.75</v>
      </c>
      <c r="I195" s="49">
        <f t="shared" si="7"/>
        <v>9.8000000000000007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35</v>
      </c>
      <c r="B196" s="60">
        <v>187</v>
      </c>
      <c r="C196" s="60">
        <v>4</v>
      </c>
      <c r="D196" s="60">
        <v>28</v>
      </c>
      <c r="E196" s="51">
        <v>0.25</v>
      </c>
      <c r="F196" s="51"/>
      <c r="G196" s="51"/>
      <c r="H196" s="51">
        <v>0.75</v>
      </c>
      <c r="I196" s="49">
        <f t="shared" si="7"/>
        <v>12.8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40</v>
      </c>
      <c r="B197" s="60">
        <v>207</v>
      </c>
      <c r="C197" s="60">
        <v>5</v>
      </c>
      <c r="D197" s="60">
        <v>28</v>
      </c>
      <c r="E197" s="51">
        <v>0.3</v>
      </c>
      <c r="F197" s="51"/>
      <c r="G197" s="51"/>
      <c r="H197" s="51">
        <v>0.7</v>
      </c>
      <c r="I197" s="49">
        <f t="shared" si="7"/>
        <v>9.6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45</v>
      </c>
      <c r="B198" s="60">
        <v>220</v>
      </c>
      <c r="C198" s="60">
        <v>6</v>
      </c>
      <c r="D198" s="60">
        <v>22</v>
      </c>
      <c r="E198" s="51">
        <v>0.3</v>
      </c>
      <c r="F198" s="51"/>
      <c r="G198" s="51"/>
      <c r="H198" s="51">
        <v>0.7</v>
      </c>
      <c r="I198" s="49">
        <f t="shared" si="7"/>
        <v>8.1999999999999993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50</v>
      </c>
      <c r="B199" s="50">
        <v>234</v>
      </c>
      <c r="C199" s="50">
        <v>7</v>
      </c>
      <c r="D199" s="50">
        <v>17</v>
      </c>
      <c r="E199" s="51">
        <v>0.35</v>
      </c>
      <c r="F199" s="51"/>
      <c r="G199" s="51"/>
      <c r="H199" s="51">
        <v>0.65</v>
      </c>
      <c r="I199" s="49">
        <f t="shared" si="7"/>
        <v>7.2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55</v>
      </c>
      <c r="B200" s="50">
        <v>247</v>
      </c>
      <c r="C200" s="50">
        <v>8</v>
      </c>
      <c r="D200" s="50">
        <v>13</v>
      </c>
      <c r="E200" s="51">
        <v>0.4</v>
      </c>
      <c r="F200" s="51"/>
      <c r="G200" s="51"/>
      <c r="H200" s="51">
        <v>0.6</v>
      </c>
      <c r="I200" s="49">
        <f t="shared" si="7"/>
        <v>6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60</v>
      </c>
      <c r="B201" s="50">
        <v>260</v>
      </c>
      <c r="C201" s="50">
        <v>9</v>
      </c>
      <c r="D201" s="50">
        <v>12</v>
      </c>
      <c r="E201" s="51">
        <v>0.4</v>
      </c>
      <c r="F201" s="51"/>
      <c r="G201" s="51"/>
      <c r="H201" s="51">
        <v>0.6</v>
      </c>
      <c r="I201" s="49">
        <f t="shared" si="7"/>
        <v>5.2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65</v>
      </c>
      <c r="B202" s="50">
        <v>270</v>
      </c>
      <c r="C202" s="50">
        <v>10</v>
      </c>
      <c r="D202" s="50">
        <v>11</v>
      </c>
      <c r="E202" s="51">
        <v>0.55000000000000004</v>
      </c>
      <c r="F202" s="51"/>
      <c r="G202" s="51"/>
      <c r="H202" s="51">
        <v>0.45</v>
      </c>
      <c r="I202" s="49">
        <f t="shared" si="7"/>
        <v>4.4000000000000004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70</v>
      </c>
      <c r="B203" s="50">
        <v>278</v>
      </c>
      <c r="C203" s="50">
        <v>11</v>
      </c>
      <c r="D203" s="50">
        <v>10</v>
      </c>
      <c r="E203" s="51">
        <v>0.6</v>
      </c>
      <c r="F203" s="51"/>
      <c r="G203" s="51"/>
      <c r="H203" s="51">
        <v>0.4</v>
      </c>
      <c r="I203" s="49">
        <f t="shared" si="7"/>
        <v>3.8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>
        <v>75</v>
      </c>
      <c r="B204" s="50">
        <v>285</v>
      </c>
      <c r="C204" s="50">
        <v>12</v>
      </c>
      <c r="D204" s="50">
        <v>9</v>
      </c>
      <c r="E204" s="51">
        <v>0</v>
      </c>
      <c r="F204" s="51"/>
      <c r="G204" s="51"/>
      <c r="H204" s="51">
        <v>1</v>
      </c>
      <c r="I204" s="49">
        <f t="shared" si="7"/>
        <v>3.4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>
        <v>80</v>
      </c>
      <c r="B205" s="50">
        <v>290</v>
      </c>
      <c r="C205" s="50">
        <v>13</v>
      </c>
      <c r="D205" s="50">
        <v>290</v>
      </c>
      <c r="E205" s="51">
        <v>0.7</v>
      </c>
      <c r="F205" s="51"/>
      <c r="G205" s="51"/>
      <c r="H205" s="51">
        <v>0.3</v>
      </c>
      <c r="I205" s="49">
        <f t="shared" si="7"/>
        <v>2.8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Noyer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15</v>
      </c>
      <c r="B218" s="60">
        <v>37</v>
      </c>
      <c r="C218" s="50"/>
      <c r="D218" s="60"/>
      <c r="E218" s="63"/>
      <c r="F218" s="63"/>
      <c r="G218" s="63"/>
      <c r="H218" s="63"/>
      <c r="I218" s="53">
        <f>IFERROR(B218/A218,"")</f>
        <v>2.4666666666666668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20</v>
      </c>
      <c r="B219" s="60">
        <v>95</v>
      </c>
      <c r="C219" s="50">
        <v>1</v>
      </c>
      <c r="D219" s="60">
        <v>28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11.6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25</v>
      </c>
      <c r="B220" s="60">
        <v>130</v>
      </c>
      <c r="C220" s="50">
        <v>2</v>
      </c>
      <c r="D220" s="60">
        <v>28</v>
      </c>
      <c r="E220" s="63"/>
      <c r="F220" s="63"/>
      <c r="G220" s="63"/>
      <c r="H220" s="63">
        <v>1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30</v>
      </c>
      <c r="B221" s="55">
        <v>151</v>
      </c>
      <c r="C221" s="55">
        <v>3</v>
      </c>
      <c r="D221" s="55">
        <v>28</v>
      </c>
      <c r="E221" s="63">
        <v>0.25</v>
      </c>
      <c r="F221" s="63"/>
      <c r="G221" s="63"/>
      <c r="H221" s="63">
        <v>0.75</v>
      </c>
      <c r="I221" s="53">
        <f t="shared" si="8"/>
        <v>9.8000000000000007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35</v>
      </c>
      <c r="B222" s="55">
        <v>187</v>
      </c>
      <c r="C222" s="55">
        <v>4</v>
      </c>
      <c r="D222" s="55">
        <v>28</v>
      </c>
      <c r="E222" s="63">
        <v>0.25</v>
      </c>
      <c r="F222" s="63"/>
      <c r="G222" s="63"/>
      <c r="H222" s="63">
        <v>0.75</v>
      </c>
      <c r="I222" s="53">
        <f t="shared" si="8"/>
        <v>12.8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40</v>
      </c>
      <c r="B223" s="55">
        <v>207</v>
      </c>
      <c r="C223" s="55">
        <v>5</v>
      </c>
      <c r="D223" s="55">
        <v>28</v>
      </c>
      <c r="E223" s="63">
        <v>0.3</v>
      </c>
      <c r="F223" s="63"/>
      <c r="G223" s="63"/>
      <c r="H223" s="63">
        <v>0.7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45</v>
      </c>
      <c r="B224" s="55">
        <v>220</v>
      </c>
      <c r="C224" s="55">
        <v>6</v>
      </c>
      <c r="D224" s="55">
        <v>22</v>
      </c>
      <c r="E224" s="63">
        <v>0.3</v>
      </c>
      <c r="F224" s="63"/>
      <c r="G224" s="63"/>
      <c r="H224" s="63">
        <v>0.7</v>
      </c>
      <c r="I224" s="53">
        <f t="shared" si="8"/>
        <v>8.1999999999999993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50</v>
      </c>
      <c r="B225" s="55">
        <v>234</v>
      </c>
      <c r="C225" s="55">
        <v>7</v>
      </c>
      <c r="D225" s="55">
        <v>17</v>
      </c>
      <c r="E225" s="63">
        <v>0.35</v>
      </c>
      <c r="F225" s="63"/>
      <c r="G225" s="63"/>
      <c r="H225" s="63">
        <v>0.65</v>
      </c>
      <c r="I225" s="53">
        <f t="shared" si="8"/>
        <v>7.2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55</v>
      </c>
      <c r="B226" s="55">
        <v>247</v>
      </c>
      <c r="C226" s="55">
        <v>8</v>
      </c>
      <c r="D226" s="55">
        <v>13</v>
      </c>
      <c r="E226" s="63">
        <v>0.4</v>
      </c>
      <c r="F226" s="63"/>
      <c r="G226" s="63"/>
      <c r="H226" s="63">
        <v>0.6</v>
      </c>
      <c r="I226" s="53">
        <f t="shared" si="8"/>
        <v>6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60</v>
      </c>
      <c r="B227" s="55">
        <v>260</v>
      </c>
      <c r="C227" s="55">
        <v>9</v>
      </c>
      <c r="D227" s="55">
        <v>12</v>
      </c>
      <c r="E227" s="63">
        <v>0.4</v>
      </c>
      <c r="F227" s="63"/>
      <c r="G227" s="63"/>
      <c r="H227" s="63">
        <v>0.6</v>
      </c>
      <c r="I227" s="53">
        <f t="shared" si="8"/>
        <v>5.2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65</v>
      </c>
      <c r="B228" s="55">
        <v>270</v>
      </c>
      <c r="C228" s="55">
        <v>10</v>
      </c>
      <c r="D228" s="55">
        <v>11</v>
      </c>
      <c r="E228" s="63">
        <v>0.55000000000000004</v>
      </c>
      <c r="F228" s="63"/>
      <c r="G228" s="63"/>
      <c r="H228" s="63">
        <v>0.45</v>
      </c>
      <c r="I228" s="53">
        <f t="shared" si="8"/>
        <v>4.4000000000000004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70</v>
      </c>
      <c r="B229" s="55">
        <v>278</v>
      </c>
      <c r="C229" s="55">
        <v>11</v>
      </c>
      <c r="D229" s="55">
        <v>10</v>
      </c>
      <c r="E229" s="63">
        <v>0.6</v>
      </c>
      <c r="F229" s="63"/>
      <c r="G229" s="63"/>
      <c r="H229" s="63">
        <v>0.4</v>
      </c>
      <c r="I229" s="53">
        <f t="shared" si="8"/>
        <v>3.8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75</v>
      </c>
      <c r="B230" s="55">
        <v>285</v>
      </c>
      <c r="C230" s="55">
        <v>12</v>
      </c>
      <c r="D230" s="55">
        <v>9</v>
      </c>
      <c r="E230" s="64">
        <v>0</v>
      </c>
      <c r="F230" s="64"/>
      <c r="G230" s="64"/>
      <c r="H230" s="64">
        <v>1</v>
      </c>
      <c r="I230" s="53">
        <f t="shared" si="8"/>
        <v>3.4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80</v>
      </c>
      <c r="B231" s="60">
        <v>290</v>
      </c>
      <c r="C231" s="88">
        <v>13</v>
      </c>
      <c r="D231" s="60">
        <v>290</v>
      </c>
      <c r="E231" s="54">
        <v>0.7</v>
      </c>
      <c r="F231" s="54"/>
      <c r="G231" s="54"/>
      <c r="H231" s="54">
        <v>0.3</v>
      </c>
      <c r="I231" s="53">
        <f t="shared" si="8"/>
        <v>2.8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1" sqref="F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Aulne glutineux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pubescent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Erable plane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Erable sycomore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Noyer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str">
        <f>VLOOKUP(A3,'Données projet'!$A$35:$I$55,9,0)</f>
        <v/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196.72624686715807</v>
      </c>
      <c r="T3" s="59">
        <f>IF('Données projet'!E9&gt;30,$R$33-$H$33,LOOKUP('Données projet'!$E$9,$A$3:$A$203,R3:R203)-LOOKUP('Données projet'!$E$9,$A$3:$A$203,$H$3:$H$203))</f>
        <v>37.315661698104691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str">
        <f>VLOOKUP(A3,'Données projet'!$A$61:$I$81,9,0)</f>
        <v/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325.42940802362739</v>
      </c>
      <c r="AO3" s="59">
        <f>IF('Données projet'!E10&gt;30,$AM$33-$H$33,LOOKUP('Données projet'!$E$10,$A$3:$A$203,AM3:AM203)-LOOKUP('Données projet'!$E$10,$A$3:$A$203,$H$3:$H$203))</f>
        <v>388.87198417542277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str">
        <f>VLOOKUP(A3,'Données projet'!$A$87:$I$107,9,0)</f>
        <v/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162.87524915738271</v>
      </c>
      <c r="BJ3" s="59">
        <f>IF('Données projet'!E11&gt;30,$BH$33-$H$33,LOOKUP('Données projet'!$E$11,$A$3:$A$203,BH3:BH203)-LOOKUP('Données projet'!$E$11,$A$3:$A$203,$H$3:$H$203))</f>
        <v>249.37880137966658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119.88584888779422</v>
      </c>
      <c r="CE3" s="59">
        <f>IF('Données projet'!E12&gt;30,$CC$33-$H$33,LOOKUP('Données projet'!$E$12,$A$3:$A$203,CC3:CC203)-LOOKUP('Données projet'!$E$12,$A$3:$A$203,$H$3:$H$203))</f>
        <v>162.97244314258774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str">
        <f>VLOOKUP(A3,'Données projet'!$A$139:$I$159,9,0)</f>
        <v/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261.75887764015459</v>
      </c>
      <c r="CZ3" s="59">
        <f>IF('Données projet'!E13&gt;30,$CX$33-$H$33,LOOKUP('Données projet'!$E$13,$A$3:$A$203,CX3:CX203)-LOOKUP('Données projet'!$E$13,$A$3:$A$203,$H$3:$H$203))</f>
        <v>209.74127356028544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215.37468832969444</v>
      </c>
      <c r="DU3" s="59">
        <f>IF('Données projet'!E14&gt;30,$DS$33-$H$33,LOOKUP('Données projet'!$E$14,$A$3:$A$203,DS3:DS203)-LOOKUP('Données projet'!$E$14,$A$3:$A$203,$H$3:$H$203))</f>
        <v>208.60212063136419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215.37468832969444</v>
      </c>
      <c r="EP3" s="59">
        <f>IF('Données projet'!E15&gt;30,$EN$33-$H$33,LOOKUP('Données projet'!$E$15,$A$3:$A$203,EN3:EN203)-LOOKUP('Données projet'!$E$15,$A$3:$A$203,$H$3:$H$203))</f>
        <v>208.60212063136419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220.90439367987847</v>
      </c>
      <c r="FK3" s="59">
        <f>IF('Données projet'!E16&gt;30,$FI$33-$H$33,LOOKUP('Données projet'!$E$16,$A$3:$A$203,FI3:FI203)-LOOKUP('Données projet'!$E$16,$A$3:$A$203,$H$3:$H$203))</f>
        <v>213.66046131354858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1">
        <f>IFERROR(EXP(-1.0587+0.8836*LN(C4)+0.284),0)</f>
        <v>0.38305180611771755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67">
        <f t="shared" ref="H4:H67" si="1">(B4+E4+F4)*44/12+(C4+D4)*0.475*44/12</f>
        <v>295.41332189565503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>
        <f>VLOOKUP(A4,'Données projet'!$A$35:$I$55,2,0)</f>
        <v>1</v>
      </c>
      <c r="L4" s="12">
        <f>VLOOKUP(A4,'Données projet'!$A$35:$I$55,9,0)</f>
        <v>1</v>
      </c>
      <c r="M4" s="12">
        <f t="array" ref="M4">INDEX(L:L,MIN(IF(ISNUMBER(L4:L200),ROW(L4:L200),"")))</f>
        <v>1</v>
      </c>
      <c r="N4" s="13">
        <f>IF('Données projet'!$A$36&gt;35,N3+M4-V3,IF(A4&lt;'Données projet'!$A$36,$K$205^A4,IF(A4='Données projet'!$A$36,'Données projet'!$B$36,N3+M4-V3)))</f>
        <v>1</v>
      </c>
      <c r="O4" s="13">
        <f>N4*VLOOKUP('Données projet'!$B$9,Paramètres!$A$1:$I$89,3,0)*VLOOKUP('Données projet'!$B$9,Paramètres!$A$1:$I$89,5,0)</f>
        <v>0.46799999999999997</v>
      </c>
      <c r="P4" s="13">
        <f>EXP(-1.0587+0.8836*LN(O4)+0.284)</f>
        <v>0.23560326283967137</v>
      </c>
      <c r="Q4" s="20">
        <f t="shared" ref="Q4:Q34" si="2">(O4+P4)*0.475*44/12</f>
        <v>1.2254423494457609</v>
      </c>
      <c r="R4" s="59">
        <f t="shared" si="0"/>
        <v>294.55877568277907</v>
      </c>
      <c r="S4" s="59">
        <f ca="1">AVERAGE(OFFSET($R$3,0,0,'Données projet'!$E$9+1,1))-AVERAGE(OFFSET($H$3,0,0,'Données projet'!$E$9+1,1))</f>
        <v>196.72624686715807</v>
      </c>
      <c r="T4" s="59">
        <f>$T$3</f>
        <v>37.315661698104691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>
        <f>VLOOKUP(A4,'Données projet'!$A$61:$I$81,2,0)</f>
        <v>4</v>
      </c>
      <c r="AG4" s="12">
        <f>VLOOKUP(A4,'Données projet'!$A$61:$I$81,9,0)</f>
        <v>3</v>
      </c>
      <c r="AH4" s="12">
        <f t="array" ref="AH4">INDEX(AG:AG,MIN(IF(ISNUMBER(AG4:AG200),ROW(AG4:AG200),"")))</f>
        <v>3</v>
      </c>
      <c r="AI4" s="13">
        <f>IF('Données projet'!$A$62&gt;35,AI3+AH4-AQ3,IF(A4&lt;'Données projet'!$A$62,$AF$205^A4,IF(A4='Données projet'!$A$62,'Données projet'!$B$62,AI3+AH4-AQ3)))</f>
        <v>3</v>
      </c>
      <c r="AJ4" s="13">
        <f>AI4*VLOOKUP('Données projet'!$B$10,Paramètres!$A$1:$I$89,3,0)*VLOOKUP('Données projet'!$B$10,Paramètres!$A$1:$I$89,5,0)</f>
        <v>1.677</v>
      </c>
      <c r="AK4" s="13">
        <f>EXP(-1.0587+0.8836*LN(AJ4)+0.284)</f>
        <v>0.72769514761613419</v>
      </c>
      <c r="AL4" s="20">
        <f t="shared" ref="AL4:AL67" si="4">(AJ4+AK4)*0.475*44/12</f>
        <v>4.1881773820981003</v>
      </c>
      <c r="AM4" s="59">
        <f t="shared" ref="AM4:AM67" si="5">AL4+(AD4+AE4)*44/12</f>
        <v>297.52151071543142</v>
      </c>
      <c r="AN4" s="59">
        <f ca="1">AVERAGE(OFFSET($AM$3,0,0,'Données projet'!$E$10+1,1))-AVERAGE(OFFSET($H$3,0,0,'Données projet'!$E$10+1,1))</f>
        <v>325.42940802362739</v>
      </c>
      <c r="AO4" s="59">
        <f>$AO$3</f>
        <v>388.87198417542277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>
        <f>VLOOKUP(A4,'Données projet'!$A$87:$I$107,2,0)</f>
        <v>2</v>
      </c>
      <c r="BB4" s="12">
        <f>VLOOKUP(A4,'Données projet'!$A$87:$I$107,9,0)</f>
        <v>1</v>
      </c>
      <c r="BC4" s="12">
        <f t="array" ref="BC4">INDEX(BB:BB,MIN(IF(ISNUMBER(BB4:BB200),ROW(BB4:BB200),"")))</f>
        <v>1</v>
      </c>
      <c r="BD4" s="12">
        <f>IF('Données projet'!$A$88&gt;35,BD3+BC4-BL3,IF(A4&lt;'Données projet'!$A$88,$BA$205^A4,IF(A4='Données projet'!$A$88,'Données projet'!$B$88,BD3+BC4-BL3)))</f>
        <v>1</v>
      </c>
      <c r="BE4" s="13">
        <f>BD4*VLOOKUP('Données projet'!$B$11,Paramètres!$A$1:$I$89,3,0)*VLOOKUP('Données projet'!$B$11,Paramètres!$A$1:$I$89,5,0)</f>
        <v>0.624</v>
      </c>
      <c r="BF4" s="13">
        <f>EXP(-1.0587+0.8836*LN(BE4)+0.284)</f>
        <v>0.30379258427268413</v>
      </c>
      <c r="BG4" s="20">
        <f t="shared" ref="BG4:BG67" si="7">(BE4+BF4)*0.475*44/12</f>
        <v>1.6159054176082581</v>
      </c>
      <c r="BH4" s="59">
        <f t="shared" ref="BH4:BH67" si="8">BG4+(AY4+AZ4)*44/12</f>
        <v>294.94923875094156</v>
      </c>
      <c r="BI4" s="59">
        <f ca="1">AVERAGE(OFFSET($BH$3,0,0,'Données projet'!$E$11+1,1))-AVERAGE(OFFSET($H$3,0,0,'Données projet'!$E$11+1,1))</f>
        <v>162.87524915738271</v>
      </c>
      <c r="BJ4" s="59">
        <f>$BJ$3</f>
        <v>249.37880137966658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2.4666666666666668</v>
      </c>
      <c r="BY4" s="12">
        <f>IF('Données projet'!$A$114&gt;35,BY3+BX4-CG3,IF(A4&lt;'Données projet'!$A$114,$BV$205^A4,IF(A4='Données projet'!$A$114,'Données projet'!$B$114,BY3+BX4-CG3)))</f>
        <v>1.2721747796233518</v>
      </c>
      <c r="BZ4" s="13">
        <f>BY4*VLOOKUP('Données projet'!$B$12,Paramètres!$A$1:$I$89,3,0)*VLOOKUP('Données projet'!$B$12,Paramètres!$A$1:$I$89,5,0)</f>
        <v>0.83352891560922016</v>
      </c>
      <c r="CA4" s="13">
        <f>EXP(-1.0587+0.8836*LN(BZ4)+0.284)</f>
        <v>0.39235353441936577</v>
      </c>
      <c r="CB4" s="20">
        <f t="shared" ref="CB4:CB67" si="10">(BZ4+CA4)*0.475*44/12</f>
        <v>2.1350786004664535</v>
      </c>
      <c r="CC4" s="59">
        <f t="shared" ref="CC4:CC67" si="11">CB4+(BT4+BU4)*44/12</f>
        <v>295.46841193379976</v>
      </c>
      <c r="CD4" s="59">
        <f ca="1">AVERAGE(OFFSET($CC$3,0,0,'Données projet'!$E$12+1,1))-AVERAGE(OFFSET($H$3,0,0,'Données projet'!$E$12+1,1))</f>
        <v>119.88584888779422</v>
      </c>
      <c r="CE4" s="59">
        <f>$CE$3</f>
        <v>162.97244314258774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>
        <f>VLOOKUP(A4,'Données projet'!$A$139:$I$159,2,0)</f>
        <v>1</v>
      </c>
      <c r="CR4" s="12">
        <f>VLOOKUP(A4,'Données projet'!$A$139:$I$159,9,0)</f>
        <v>1</v>
      </c>
      <c r="CS4" s="12">
        <f t="array" ref="CS4">INDEX(CR:CR,MIN(IF(ISNUMBER(CR4:CR200),ROW(CR4:CR200),"")))</f>
        <v>1</v>
      </c>
      <c r="CT4" s="12">
        <f>IF('Données projet'!$A$140&gt;35,CT3+CS4-DB3,IF(A4&lt;'Données projet'!$A$140,$CQ$205^A4,IF(A4='Données projet'!$A$140,'Données projet'!$B$140,CT3+CS4-DB3)))</f>
        <v>1</v>
      </c>
      <c r="CU4" s="17">
        <f>CT4*VLOOKUP('Données projet'!$B$13,Paramètres!$A$1:$I$89,3,0)*VLOOKUP('Données projet'!$B$13,Paramètres!$A$1:$I$89,5,0)</f>
        <v>1.014</v>
      </c>
      <c r="CV4" s="13">
        <f>EXP(-1.0587+0.8836*LN(CU4)+0.284)</f>
        <v>0.46653819191329327</v>
      </c>
      <c r="CW4" s="20">
        <f t="shared" ref="CW4:CW67" si="13">(CU4+CV4)*0.475*44/12</f>
        <v>2.5786040175823195</v>
      </c>
      <c r="CX4" s="59">
        <f t="shared" ref="CX4:CX67" si="14">CW4+(CO4+CP4)*44/12</f>
        <v>295.91193735091565</v>
      </c>
      <c r="CY4" s="59">
        <f ca="1">AVERAGE(OFFSET($CX$3,0,0,'Données projet'!$E$13+1,1))-AVERAGE(OFFSET($H$3,0,0,'Données projet'!$E$13+1,1))</f>
        <v>261.75887764015459</v>
      </c>
      <c r="CZ4" s="59">
        <f>$CZ$3</f>
        <v>209.74127356028544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2.4666666666666668</v>
      </c>
      <c r="DO4" s="12">
        <f>IF('Données projet'!$A$166&gt;35,DO3+DN4-DW3,IF(A4&lt;'Données projet'!$A$166,$DL$205^A4,IF(A4='Données projet'!$A$166,'Données projet'!$B$166,DO3+DN4-DW3)))</f>
        <v>1.2721747796233518</v>
      </c>
      <c r="DP4" s="17">
        <f>DO4*VLOOKUP('Données projet'!$B$14,Paramètres!$A$1:$I$89,3,0)*VLOOKUP('Données projet'!$B$14,Paramètres!$A$1:$I$89,5,0)</f>
        <v>1.0121422546683387</v>
      </c>
      <c r="DQ4" s="13">
        <f>EXP(-1.0587+0.8836*LN(DP4)+0.284)</f>
        <v>0.46578286063395047</v>
      </c>
      <c r="DR4" s="20">
        <f t="shared" ref="DR4:DR67" si="16">(DP4+DQ4)*0.475*44/12</f>
        <v>2.574052909151487</v>
      </c>
      <c r="DS4" s="59">
        <f t="shared" ref="DS4:DS67" si="17">DR4+(DJ4+DK4)*44/12</f>
        <v>295.90738624248479</v>
      </c>
      <c r="DT4" s="59">
        <f ca="1">AVERAGE(OFFSET($DS$3,0,0,'Données projet'!$E$14+1,1))-AVERAGE(OFFSET($H$3,0,0,'Données projet'!$E$14+1,1))</f>
        <v>215.37468832969444</v>
      </c>
      <c r="DU4" s="59">
        <f>$DU$3</f>
        <v>208.60212063136419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2.4666666666666668</v>
      </c>
      <c r="EJ4" s="12">
        <f>IF('Données projet'!$A$192&gt;35,EJ3+EI4-ER3,IF(A4&lt;'Données projet'!$A$192,$EG$205^A4,IF(A4='Données projet'!$A$192,'Données projet'!$B$192,EJ3+EI4-ER3)))</f>
        <v>1.2721747796233518</v>
      </c>
      <c r="EK4" s="17">
        <f>EJ4*VLOOKUP('Données projet'!$B$15,Paramètres!$A$1:$I$89,3,0)*VLOOKUP('Données projet'!$B$15,Paramètres!$A$1:$I$89,5,0)</f>
        <v>1.0121422546683387</v>
      </c>
      <c r="EL4" s="13">
        <f>EXP(-1.0587+0.8836*LN(EK4)+0.284)</f>
        <v>0.46578286063395047</v>
      </c>
      <c r="EM4" s="20">
        <f t="shared" ref="EM4:EM67" si="19">(EK4+EL4)*0.475*44/12</f>
        <v>2.574052909151487</v>
      </c>
      <c r="EN4" s="59">
        <f t="shared" ref="EN4:EN67" si="20">EM4+(EE4+EF4)*44/12</f>
        <v>295.90738624248479</v>
      </c>
      <c r="EO4" s="59">
        <f ca="1">AVERAGE(OFFSET($EN$3,0,0,'Données projet'!$E$15+1,1))-AVERAGE(OFFSET($H$3,0,0,'Données projet'!$E$15+1,1))</f>
        <v>215.37468832969444</v>
      </c>
      <c r="EP4" s="59">
        <f>$EP$3</f>
        <v>208.60212063136419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2.4666666666666668</v>
      </c>
      <c r="FE4" s="12">
        <f>IF('Données projet'!$A$218&gt;35,FE3+FD4-FM3,IF(A4&lt;'Données projet'!$A$218,$FB$205^A4,IF(A4='Données projet'!$A$218,'Données projet'!$B$218,FE3+FD4-FM3)))</f>
        <v>1.2721747796233518</v>
      </c>
      <c r="FF4" s="17">
        <f>FE4*VLOOKUP('Données projet'!$B$16,Paramètres!$A$1:$I$89,3,0)*VLOOKUP('Données projet'!$B$16,Paramètres!$A$1:$I$89,5,0)</f>
        <v>1.031988181230463</v>
      </c>
      <c r="FG4" s="13">
        <f>EXP(-1.0587+0.8836*LN(FF4)+0.284)</f>
        <v>0.47384363432899212</v>
      </c>
      <c r="FH4" s="20">
        <f t="shared" ref="FH4:FH67" si="22">(FF4+FG4)*0.475*44/12</f>
        <v>2.6226570787660513</v>
      </c>
      <c r="FI4" s="59">
        <f t="shared" ref="FI4:FI67" si="23">FH4+(EZ4+FA4)*44/12</f>
        <v>295.95599041209937</v>
      </c>
      <c r="FJ4" s="59">
        <f ca="1">AVERAGE(OFFSET($FI$3,0,0,'Données projet'!$E$16+1,1))-AVERAGE(OFFSET($H$3,0,0,'Données projet'!$E$16+1,1))</f>
        <v>220.90439367987847</v>
      </c>
      <c r="FK4" s="59">
        <f>$FK$3</f>
        <v>213.66046131354858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1">
        <f t="shared" ref="D5:D68" si="32">IFERROR(EXP(-1.0587+0.8836*LN(C5)+0.284),0)</f>
        <v>0.70672038512206192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67">
        <f t="shared" si="1"/>
        <v>297.38988467075421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1.75</v>
      </c>
      <c r="N5" s="13">
        <f>IF('Données projet'!$A$36&gt;35,N4+M5-V4,IF(A5&lt;'Données projet'!$A$36,$K$205^A5,IF(A5='Données projet'!$A$36,'Données projet'!$B$36,N4+M5-V4)))</f>
        <v>2.75</v>
      </c>
      <c r="O5" s="13">
        <f>N5*VLOOKUP('Données projet'!$B$9,Paramètres!$A$1:$I$89,3,0)*VLOOKUP('Données projet'!$B$9,Paramètres!$A$1:$I$89,5,0)</f>
        <v>1.2869999999999999</v>
      </c>
      <c r="P5" s="13">
        <f t="shared" ref="P5:P68" si="33">EXP(-1.0587+0.8836*LN(O5)+0.284)</f>
        <v>0.57593791377744397</v>
      </c>
      <c r="Q5" s="20">
        <f t="shared" si="2"/>
        <v>3.2446168664957149</v>
      </c>
      <c r="R5" s="59">
        <f t="shared" si="0"/>
        <v>296.57795019982905</v>
      </c>
      <c r="S5" s="59">
        <f ca="1">AVERAGE(OFFSET($R$3,0,0,'Données projet'!$E$9+1,1))-AVERAGE(OFFSET($H$3,0,0,'Données projet'!$E$9+1,1))</f>
        <v>196.72624686715807</v>
      </c>
      <c r="T5" s="59">
        <f t="shared" ref="T5:T68" si="34">$T$3</f>
        <v>37.315661698104691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3.25</v>
      </c>
      <c r="AI5" s="13">
        <f>IF('Données projet'!$A$62&gt;35,AI4+AH5-AQ4,IF(A5&lt;'Données projet'!$A$62,$AF$205^A5,IF(A5='Données projet'!$A$62,'Données projet'!$B$62,AI4+AH5-AQ4)))</f>
        <v>6.25</v>
      </c>
      <c r="AJ5" s="13">
        <f>AI5*VLOOKUP('Données projet'!$B$10,Paramètres!$A$1:$I$89,3,0)*VLOOKUP('Données projet'!$B$10,Paramètres!$A$1:$I$89,5,0)</f>
        <v>3.4937499999999999</v>
      </c>
      <c r="AK5" s="13">
        <f t="shared" ref="AK5:AK68" si="35">EXP(-1.0587+0.8836*LN(AJ5)+0.284)</f>
        <v>1.3918893813579174</v>
      </c>
      <c r="AL5" s="20">
        <f t="shared" si="4"/>
        <v>8.5091552558650374</v>
      </c>
      <c r="AM5" s="59">
        <f t="shared" si="5"/>
        <v>301.84248858919835</v>
      </c>
      <c r="AN5" s="59">
        <f ca="1">AVERAGE(OFFSET($AM$3,0,0,'Données projet'!$E$10+1,1))-AVERAGE(OFFSET($H$3,0,0,'Données projet'!$E$10+1,1))</f>
        <v>325.42940802362739</v>
      </c>
      <c r="AO5" s="59">
        <f t="shared" ref="AO5:AO68" si="36">$AO$3</f>
        <v>388.87198417542277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</v>
      </c>
      <c r="BD5" s="12">
        <f>IF('Données projet'!$A$88&gt;35,BD4+BC5-BL4,IF(A5&lt;'Données projet'!$A$88,$BA$205^A5,IF(A5='Données projet'!$A$88,'Données projet'!$B$88,BD4+BC5-BL4)))</f>
        <v>2</v>
      </c>
      <c r="BE5" s="13">
        <f>BD5*VLOOKUP('Données projet'!$B$11,Paramètres!$A$1:$I$89,3,0)*VLOOKUP('Données projet'!$B$11,Paramètres!$A$1:$I$89,5,0)</f>
        <v>1.248</v>
      </c>
      <c r="BF5" s="13">
        <f t="shared" ref="BF5:BF68" si="37">EXP(-1.0587+0.8836*LN(BE5)+0.284)</f>
        <v>0.56048923076592494</v>
      </c>
      <c r="BG5" s="20">
        <f t="shared" si="7"/>
        <v>3.1497854102506522</v>
      </c>
      <c r="BH5" s="59">
        <f t="shared" si="8"/>
        <v>296.48311874358399</v>
      </c>
      <c r="BI5" s="59">
        <f ca="1">AVERAGE(OFFSET($BH$3,0,0,'Données projet'!$E$11+1,1))-AVERAGE(OFFSET($H$3,0,0,'Données projet'!$E$11+1,1))</f>
        <v>162.87524915738271</v>
      </c>
      <c r="BJ5" s="59">
        <f t="shared" ref="BJ5:BJ68" si="38">$BJ$3</f>
        <v>249.37880137966658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2.4666666666666668</v>
      </c>
      <c r="BY5" s="12">
        <f>IF('Données projet'!$A$114&gt;35,BY4+BX5-CG4,IF(A5&lt;'Données projet'!$A$114,$BV$205^A5,IF(A5='Données projet'!$A$114,'Données projet'!$B$114,BY4+BX5-CG4)))</f>
        <v>1.6184286699097237</v>
      </c>
      <c r="BZ5" s="13">
        <f>BY5*VLOOKUP('Données projet'!$B$12,Paramètres!$A$1:$I$89,3,0)*VLOOKUP('Données projet'!$B$12,Paramètres!$A$1:$I$89,5,0)</f>
        <v>1.0603944645248509</v>
      </c>
      <c r="CA5" s="13">
        <f t="shared" ref="CA5:CA68" si="39">EXP(-1.0587+0.8836*LN(BZ5)+0.284)</f>
        <v>0.48535007986351425</v>
      </c>
      <c r="CB5" s="20">
        <f t="shared" si="10"/>
        <v>2.6921717481430694</v>
      </c>
      <c r="CC5" s="59">
        <f t="shared" si="11"/>
        <v>296.02550508147641</v>
      </c>
      <c r="CD5" s="59">
        <f ca="1">AVERAGE(OFFSET($CC$3,0,0,'Données projet'!$E$12+1,1))-AVERAGE(OFFSET($H$3,0,0,'Données projet'!$E$12+1,1))</f>
        <v>119.88584888779422</v>
      </c>
      <c r="CE5" s="59">
        <f t="shared" ref="CE5:CE68" si="40">$CE$3</f>
        <v>162.97244314258774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3.25</v>
      </c>
      <c r="CT5" s="12">
        <f>IF('Données projet'!$A$140&gt;35,CT4+CS5-DB4,IF(A5&lt;'Données projet'!$A$140,$CQ$205^A5,IF(A5='Données projet'!$A$140,'Données projet'!$B$140,CT4+CS5-DB4)))</f>
        <v>4.25</v>
      </c>
      <c r="CU5" s="17">
        <f>CT5*VLOOKUP('Données projet'!$B$13,Paramètres!$A$1:$I$89,3,0)*VLOOKUP('Données projet'!$B$13,Paramètres!$A$1:$I$89,5,0)</f>
        <v>4.3095000000000008</v>
      </c>
      <c r="CV5" s="13">
        <f t="shared" ref="CV5:CV68" si="41">EXP(-1.0587+0.8836*LN(CU5)+0.284)</f>
        <v>1.6754507278460711</v>
      </c>
      <c r="CW5" s="20">
        <f t="shared" si="13"/>
        <v>10.423789184331907</v>
      </c>
      <c r="CX5" s="59">
        <f t="shared" si="14"/>
        <v>303.75712251766521</v>
      </c>
      <c r="CY5" s="59">
        <f ca="1">AVERAGE(OFFSET($CX$3,0,0,'Données projet'!$E$13+1,1))-AVERAGE(OFFSET($H$3,0,0,'Données projet'!$E$13+1,1))</f>
        <v>261.75887764015459</v>
      </c>
      <c r="CZ5" s="59">
        <f t="shared" ref="CZ5:CZ68" si="42">$CZ$3</f>
        <v>209.74127356028544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2.4666666666666668</v>
      </c>
      <c r="DO5" s="12">
        <f>IF('Données projet'!$A$166&gt;35,DO4+DN5-DW4,IF(A5&lt;'Données projet'!$A$166,$DL$205^A5,IF(A5='Données projet'!$A$166,'Données projet'!$B$166,DO4+DN5-DW4)))</f>
        <v>1.6184286699097237</v>
      </c>
      <c r="DP5" s="17">
        <f>DO5*VLOOKUP('Données projet'!$B$14,Paramètres!$A$1:$I$89,3,0)*VLOOKUP('Données projet'!$B$14,Paramètres!$A$1:$I$89,5,0)</f>
        <v>1.2876218497801761</v>
      </c>
      <c r="DQ5" s="13">
        <f t="shared" ref="DQ5:DQ68" si="43">EXP(-1.0587+0.8836*LN(DP5)+0.284)</f>
        <v>0.57618379541883336</v>
      </c>
      <c r="DR5" s="20">
        <f t="shared" si="16"/>
        <v>3.2461281653882743</v>
      </c>
      <c r="DS5" s="59">
        <f t="shared" si="17"/>
        <v>296.57946149872157</v>
      </c>
      <c r="DT5" s="59">
        <f ca="1">AVERAGE(OFFSET($DS$3,0,0,'Données projet'!$E$14+1,1))-AVERAGE(OFFSET($H$3,0,0,'Données projet'!$E$14+1,1))</f>
        <v>215.37468832969444</v>
      </c>
      <c r="DU5" s="59">
        <f t="shared" ref="DU5:DU68" si="44">$DU$3</f>
        <v>208.60212063136419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2.4666666666666668</v>
      </c>
      <c r="EJ5" s="12">
        <f>IF('Données projet'!$A$192&gt;35,EJ4+EI5-ER4,IF(A5&lt;'Données projet'!$A$192,$EG$205^A5,IF(A5='Données projet'!$A$192,'Données projet'!$B$192,EJ4+EI5-ER4)))</f>
        <v>1.6184286699097237</v>
      </c>
      <c r="EK5" s="17">
        <f>EJ5*VLOOKUP('Données projet'!$B$15,Paramètres!$A$1:$I$89,3,0)*VLOOKUP('Données projet'!$B$15,Paramètres!$A$1:$I$89,5,0)</f>
        <v>1.2876218497801761</v>
      </c>
      <c r="EL5" s="13">
        <f t="shared" ref="EL5:EL68" si="45">EXP(-1.0587+0.8836*LN(EK5)+0.284)</f>
        <v>0.57618379541883336</v>
      </c>
      <c r="EM5" s="20">
        <f t="shared" si="19"/>
        <v>3.2461281653882743</v>
      </c>
      <c r="EN5" s="59">
        <f t="shared" si="20"/>
        <v>296.57946149872157</v>
      </c>
      <c r="EO5" s="59">
        <f ca="1">AVERAGE(OFFSET($EN$3,0,0,'Données projet'!$E$15+1,1))-AVERAGE(OFFSET($H$3,0,0,'Données projet'!$E$15+1,1))</f>
        <v>215.37468832969444</v>
      </c>
      <c r="EP5" s="59">
        <f t="shared" ref="EP5:EP68" si="46">$EP$3</f>
        <v>208.60212063136419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2.4666666666666668</v>
      </c>
      <c r="FE5" s="12">
        <f>IF('Données projet'!$A$218&gt;35,FE4+FD5-FM4,IF(A5&lt;'Données projet'!$A$218,$FB$205^A5,IF(A5='Données projet'!$A$218,'Données projet'!$B$218,FE4+FD5-FM4)))</f>
        <v>1.6184286699097237</v>
      </c>
      <c r="FF5" s="17">
        <f>FE5*VLOOKUP('Données projet'!$B$16,Paramètres!$A$1:$I$89,3,0)*VLOOKUP('Données projet'!$B$16,Paramètres!$A$1:$I$89,5,0)</f>
        <v>1.312869337030768</v>
      </c>
      <c r="FG5" s="13">
        <f t="shared" ref="FG5:FG68" si="47">EXP(-1.0587+0.8836*LN(FF5)+0.284)</f>
        <v>0.58615515240543437</v>
      </c>
      <c r="FH5" s="20">
        <f t="shared" si="22"/>
        <v>3.3074676524347191</v>
      </c>
      <c r="FI5" s="59">
        <f t="shared" si="23"/>
        <v>296.64080098576801</v>
      </c>
      <c r="FJ5" s="59">
        <f ca="1">AVERAGE(OFFSET($FI$3,0,0,'Données projet'!$E$16+1,1))-AVERAGE(OFFSET($H$3,0,0,'Données projet'!$E$16+1,1))</f>
        <v>220.90439367987847</v>
      </c>
      <c r="FK5" s="59">
        <f t="shared" ref="FK5:FK68" si="48">$FK$3</f>
        <v>213.66046131354858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1">
        <f t="shared" si="32"/>
        <v>1.0112111626203175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67">
        <f t="shared" si="1"/>
        <v>299.33304610823035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1.75</v>
      </c>
      <c r="N6" s="13">
        <f>IF('Données projet'!$A$36&gt;35,N5+M6-V5,IF(A6&lt;'Données projet'!$A$36,$K$205^A6,IF(A6='Données projet'!$A$36,'Données projet'!$B$36,N5+M6-V5)))</f>
        <v>4.5</v>
      </c>
      <c r="O6" s="13">
        <f>N6*VLOOKUP('Données projet'!$B$9,Paramètres!$A$1:$I$89,3,0)*VLOOKUP('Données projet'!$B$9,Paramètres!$A$1:$I$89,5,0)</f>
        <v>2.1059999999999999</v>
      </c>
      <c r="P6" s="13">
        <f t="shared" si="33"/>
        <v>0.88993825911403512</v>
      </c>
      <c r="Q6" s="20">
        <f t="shared" si="2"/>
        <v>5.2179258012902769</v>
      </c>
      <c r="R6" s="59">
        <f t="shared" si="0"/>
        <v>298.55125913462359</v>
      </c>
      <c r="S6" s="59">
        <f ca="1">AVERAGE(OFFSET($R$3,0,0,'Données projet'!$E$9+1,1))-AVERAGE(OFFSET($H$3,0,0,'Données projet'!$E$9+1,1))</f>
        <v>196.72624686715807</v>
      </c>
      <c r="T6" s="59">
        <f t="shared" si="34"/>
        <v>37.315661698104691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3.25</v>
      </c>
      <c r="AI6" s="13">
        <f>IF('Données projet'!$A$62&gt;35,AI5+AH6-AQ5,IF(A6&lt;'Données projet'!$A$62,$AF$205^A6,IF(A6='Données projet'!$A$62,'Données projet'!$B$62,AI5+AH6-AQ5)))</f>
        <v>9.5</v>
      </c>
      <c r="AJ6" s="13">
        <f>AI6*VLOOKUP('Données projet'!$B$10,Paramètres!$A$1:$I$89,3,0)*VLOOKUP('Données projet'!$B$10,Paramètres!$A$1:$I$89,5,0)</f>
        <v>5.3105000000000002</v>
      </c>
      <c r="AK6" s="13">
        <f t="shared" si="35"/>
        <v>2.0150309260972077</v>
      </c>
      <c r="AL6" s="20">
        <f t="shared" si="4"/>
        <v>12.758633029619304</v>
      </c>
      <c r="AM6" s="59">
        <f t="shared" si="5"/>
        <v>306.09196636295263</v>
      </c>
      <c r="AN6" s="59">
        <f ca="1">AVERAGE(OFFSET($AM$3,0,0,'Données projet'!$E$10+1,1))-AVERAGE(OFFSET($H$3,0,0,'Données projet'!$E$10+1,1))</f>
        <v>325.42940802362739</v>
      </c>
      <c r="AO6" s="59">
        <f t="shared" si="36"/>
        <v>388.87198417542277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</v>
      </c>
      <c r="BD6" s="12">
        <f>IF('Données projet'!$A$88&gt;35,BD5+BC6-BL5,IF(A6&lt;'Données projet'!$A$88,$BA$205^A6,IF(A6='Données projet'!$A$88,'Données projet'!$B$88,BD5+BC6-BL5)))</f>
        <v>3</v>
      </c>
      <c r="BE6" s="13">
        <f>BD6*VLOOKUP('Données projet'!$B$11,Paramètres!$A$1:$I$89,3,0)*VLOOKUP('Données projet'!$B$11,Paramètres!$A$1:$I$89,5,0)</f>
        <v>1.8719999999999999</v>
      </c>
      <c r="BF6" s="13">
        <f t="shared" si="37"/>
        <v>0.80197625342459555</v>
      </c>
      <c r="BG6" s="20">
        <f t="shared" si="7"/>
        <v>4.6571753080478375</v>
      </c>
      <c r="BH6" s="59">
        <f t="shared" si="8"/>
        <v>297.99050864138115</v>
      </c>
      <c r="BI6" s="59">
        <f ca="1">AVERAGE(OFFSET($BH$3,0,0,'Données projet'!$E$11+1,1))-AVERAGE(OFFSET($H$3,0,0,'Données projet'!$E$11+1,1))</f>
        <v>162.87524915738271</v>
      </c>
      <c r="BJ6" s="59">
        <f t="shared" si="38"/>
        <v>249.37880137966658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2.4666666666666668</v>
      </c>
      <c r="BY6" s="12">
        <f>IF('Données projet'!$A$114&gt;35,BY5+BX6-CG5,IF(A6&lt;'Données projet'!$A$114,$BV$205^A6,IF(A6='Données projet'!$A$114,'Données projet'!$B$114,BY5+BX6-CG5)))</f>
        <v>2.0589241364785171</v>
      </c>
      <c r="BZ6" s="13">
        <f>BY6*VLOOKUP('Données projet'!$B$12,Paramètres!$A$1:$I$89,3,0)*VLOOKUP('Données projet'!$B$12,Paramètres!$A$1:$I$89,5,0)</f>
        <v>1.3490070942207244</v>
      </c>
      <c r="CA6" s="13">
        <f t="shared" si="39"/>
        <v>0.60038888236887178</v>
      </c>
      <c r="CB6" s="20">
        <f t="shared" si="10"/>
        <v>3.3951979925602132</v>
      </c>
      <c r="CC6" s="59">
        <f t="shared" si="11"/>
        <v>296.72853132589353</v>
      </c>
      <c r="CD6" s="59">
        <f ca="1">AVERAGE(OFFSET($CC$3,0,0,'Données projet'!$E$12+1,1))-AVERAGE(OFFSET($H$3,0,0,'Données projet'!$E$12+1,1))</f>
        <v>119.88584888779422</v>
      </c>
      <c r="CE6" s="59">
        <f t="shared" si="40"/>
        <v>162.97244314258774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3.25</v>
      </c>
      <c r="CT6" s="12">
        <f>IF('Données projet'!$A$140&gt;35,CT5+CS6-DB5,IF(A6&lt;'Données projet'!$A$140,$CQ$205^A6,IF(A6='Données projet'!$A$140,'Données projet'!$B$140,CT5+CS6-DB5)))</f>
        <v>7.5</v>
      </c>
      <c r="CU6" s="17">
        <f>CT6*VLOOKUP('Données projet'!$B$13,Paramètres!$A$1:$I$89,3,0)*VLOOKUP('Données projet'!$B$13,Paramètres!$A$1:$I$89,5,0)</f>
        <v>7.6050000000000004</v>
      </c>
      <c r="CV6" s="13">
        <f t="shared" si="41"/>
        <v>2.7675236078659342</v>
      </c>
      <c r="CW6" s="20">
        <f t="shared" si="13"/>
        <v>18.065478617033168</v>
      </c>
      <c r="CX6" s="59">
        <f t="shared" si="14"/>
        <v>311.39881195036651</v>
      </c>
      <c r="CY6" s="59">
        <f ca="1">AVERAGE(OFFSET($CX$3,0,0,'Données projet'!$E$13+1,1))-AVERAGE(OFFSET($H$3,0,0,'Données projet'!$E$13+1,1))</f>
        <v>261.75887764015459</v>
      </c>
      <c r="CZ6" s="59">
        <f t="shared" si="42"/>
        <v>209.74127356028544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2.4666666666666668</v>
      </c>
      <c r="DO6" s="12">
        <f>IF('Données projet'!$A$166&gt;35,DO5+DN6-DW5,IF(A6&lt;'Données projet'!$A$166,$DL$205^A6,IF(A6='Données projet'!$A$166,'Données projet'!$B$166,DO5+DN6-DW5)))</f>
        <v>2.0589241364785171</v>
      </c>
      <c r="DP6" s="17">
        <f>DO6*VLOOKUP('Données projet'!$B$14,Paramètres!$A$1:$I$89,3,0)*VLOOKUP('Données projet'!$B$14,Paramètres!$A$1:$I$89,5,0)</f>
        <v>1.6380800429823084</v>
      </c>
      <c r="DQ6" s="13">
        <f t="shared" si="43"/>
        <v>0.71275221602487127</v>
      </c>
      <c r="DR6" s="20">
        <f t="shared" si="16"/>
        <v>4.0943661844375043</v>
      </c>
      <c r="DS6" s="59">
        <f t="shared" si="17"/>
        <v>297.4276995177708</v>
      </c>
      <c r="DT6" s="59">
        <f ca="1">AVERAGE(OFFSET($DS$3,0,0,'Données projet'!$E$14+1,1))-AVERAGE(OFFSET($H$3,0,0,'Données projet'!$E$14+1,1))</f>
        <v>215.37468832969444</v>
      </c>
      <c r="DU6" s="59">
        <f t="shared" si="44"/>
        <v>208.60212063136419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2.4666666666666668</v>
      </c>
      <c r="EJ6" s="12">
        <f>IF('Données projet'!$A$192&gt;35,EJ5+EI6-ER5,IF(A6&lt;'Données projet'!$A$192,$EG$205^A6,IF(A6='Données projet'!$A$192,'Données projet'!$B$192,EJ5+EI6-ER5)))</f>
        <v>2.0589241364785171</v>
      </c>
      <c r="EK6" s="17">
        <f>EJ6*VLOOKUP('Données projet'!$B$15,Paramètres!$A$1:$I$89,3,0)*VLOOKUP('Données projet'!$B$15,Paramètres!$A$1:$I$89,5,0)</f>
        <v>1.6380800429823084</v>
      </c>
      <c r="EL6" s="13">
        <f t="shared" si="45"/>
        <v>0.71275221602487127</v>
      </c>
      <c r="EM6" s="20">
        <f t="shared" si="19"/>
        <v>4.0943661844375043</v>
      </c>
      <c r="EN6" s="59">
        <f t="shared" si="20"/>
        <v>297.4276995177708</v>
      </c>
      <c r="EO6" s="59">
        <f ca="1">AVERAGE(OFFSET($EN$3,0,0,'Données projet'!$E$15+1,1))-AVERAGE(OFFSET($H$3,0,0,'Données projet'!$E$15+1,1))</f>
        <v>215.37468832969444</v>
      </c>
      <c r="EP6" s="59">
        <f t="shared" si="46"/>
        <v>208.60212063136419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2.4666666666666668</v>
      </c>
      <c r="FE6" s="12">
        <f>IF('Données projet'!$A$218&gt;35,FE5+FD6-FM5,IF(A6&lt;'Données projet'!$A$218,$FB$205^A6,IF(A6='Données projet'!$A$218,'Données projet'!$B$218,FE5+FD6-FM5)))</f>
        <v>2.0589241364785171</v>
      </c>
      <c r="FF6" s="17">
        <f>FE6*VLOOKUP('Données projet'!$B$16,Paramètres!$A$1:$I$89,3,0)*VLOOKUP('Données projet'!$B$16,Paramètres!$A$1:$I$89,5,0)</f>
        <v>1.6701992595113733</v>
      </c>
      <c r="FG6" s="13">
        <f t="shared" si="47"/>
        <v>0.72508700718957031</v>
      </c>
      <c r="FH6" s="20">
        <f t="shared" si="22"/>
        <v>4.1717902478374764</v>
      </c>
      <c r="FI6" s="59">
        <f t="shared" si="23"/>
        <v>297.50512358117078</v>
      </c>
      <c r="FJ6" s="59">
        <f ca="1">AVERAGE(OFFSET($FI$3,0,0,'Données projet'!$E$16+1,1))-AVERAGE(OFFSET($H$3,0,0,'Données projet'!$E$16+1,1))</f>
        <v>220.90439367987847</v>
      </c>
      <c r="FK6" s="59">
        <f t="shared" si="48"/>
        <v>213.66046131354858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1">
        <f t="shared" si="32"/>
        <v>1.303880297052002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67">
        <f t="shared" si="1"/>
        <v>301.25561818403224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1.75</v>
      </c>
      <c r="N7" s="13">
        <f>IF('Données projet'!$A$36&gt;35,N6+M7-V6,IF(A7&lt;'Données projet'!$A$36,$K$205^A7,IF(A7='Données projet'!$A$36,'Données projet'!$B$36,N6+M7-V6)))</f>
        <v>6.25</v>
      </c>
      <c r="O7" s="13">
        <f>N7*VLOOKUP('Données projet'!$B$9,Paramètres!$A$1:$I$89,3,0)*VLOOKUP('Données projet'!$B$9,Paramètres!$A$1:$I$89,5,0)</f>
        <v>2.9250000000000003</v>
      </c>
      <c r="P7" s="13">
        <f t="shared" si="33"/>
        <v>1.1896545883900647</v>
      </c>
      <c r="Q7" s="20">
        <f t="shared" si="2"/>
        <v>7.1663567414460303</v>
      </c>
      <c r="R7" s="59">
        <f t="shared" si="0"/>
        <v>300.49969007477932</v>
      </c>
      <c r="S7" s="59">
        <f ca="1">AVERAGE(OFFSET($R$3,0,0,'Données projet'!$E$9+1,1))-AVERAGE(OFFSET($H$3,0,0,'Données projet'!$E$9+1,1))</f>
        <v>196.72624686715807</v>
      </c>
      <c r="T7" s="59">
        <f t="shared" si="34"/>
        <v>37.315661698104691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3.25</v>
      </c>
      <c r="AI7" s="13">
        <f>IF('Données projet'!$A$62&gt;35,AI6+AH7-AQ6,IF(A7&lt;'Données projet'!$A$62,$AF$205^A7,IF(A7='Données projet'!$A$62,'Données projet'!$B$62,AI6+AH7-AQ6)))</f>
        <v>12.75</v>
      </c>
      <c r="AJ7" s="13">
        <f>AI7*VLOOKUP('Données projet'!$B$10,Paramètres!$A$1:$I$89,3,0)*VLOOKUP('Données projet'!$B$10,Paramètres!$A$1:$I$89,5,0)</f>
        <v>7.1272500000000001</v>
      </c>
      <c r="AK7" s="13">
        <f t="shared" si="35"/>
        <v>2.6133280958702283</v>
      </c>
      <c r="AL7" s="20">
        <f t="shared" si="4"/>
        <v>16.964840183640646</v>
      </c>
      <c r="AM7" s="59">
        <f t="shared" si="5"/>
        <v>310.29817351697397</v>
      </c>
      <c r="AN7" s="59">
        <f ca="1">AVERAGE(OFFSET($AM$3,0,0,'Données projet'!$E$10+1,1))-AVERAGE(OFFSET($H$3,0,0,'Données projet'!$E$10+1,1))</f>
        <v>325.42940802362739</v>
      </c>
      <c r="AO7" s="59">
        <f t="shared" si="36"/>
        <v>388.87198417542277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</v>
      </c>
      <c r="BD7" s="12">
        <f>IF('Données projet'!$A$88&gt;35,BD6+BC7-BL6,IF(A7&lt;'Données projet'!$A$88,$BA$205^A7,IF(A7='Données projet'!$A$88,'Données projet'!$B$88,BD6+BC7-BL6)))</f>
        <v>4</v>
      </c>
      <c r="BE7" s="13">
        <f>BD7*VLOOKUP('Données projet'!$B$11,Paramètres!$A$1:$I$89,3,0)*VLOOKUP('Données projet'!$B$11,Paramètres!$A$1:$I$89,5,0)</f>
        <v>2.496</v>
      </c>
      <c r="BF7" s="13">
        <f t="shared" si="37"/>
        <v>1.0340877100627286</v>
      </c>
      <c r="BG7" s="20">
        <f t="shared" si="7"/>
        <v>6.1482360950259185</v>
      </c>
      <c r="BH7" s="59">
        <f t="shared" si="8"/>
        <v>299.48156942835925</v>
      </c>
      <c r="BI7" s="59">
        <f ca="1">AVERAGE(OFFSET($BH$3,0,0,'Données projet'!$E$11+1,1))-AVERAGE(OFFSET($H$3,0,0,'Données projet'!$E$11+1,1))</f>
        <v>162.87524915738271</v>
      </c>
      <c r="BJ7" s="59">
        <f t="shared" si="38"/>
        <v>249.37880137966658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2.4666666666666668</v>
      </c>
      <c r="BY7" s="12">
        <f>IF('Données projet'!$A$114&gt;35,BY6+BX7-CG6,IF(A7&lt;'Données projet'!$A$114,$BV$205^A7,IF(A7='Données projet'!$A$114,'Données projet'!$B$114,BY6+BX7-CG6)))</f>
        <v>2.6193113595857573</v>
      </c>
      <c r="BZ7" s="13">
        <f>BY7*VLOOKUP('Données projet'!$B$12,Paramètres!$A$1:$I$89,3,0)*VLOOKUP('Données projet'!$B$12,Paramètres!$A$1:$I$89,5,0)</f>
        <v>1.7161728028005883</v>
      </c>
      <c r="CA7" s="13">
        <f t="shared" si="39"/>
        <v>0.74269444886773317</v>
      </c>
      <c r="CB7" s="20">
        <f t="shared" si="10"/>
        <v>4.2825271299889929</v>
      </c>
      <c r="CC7" s="59">
        <f t="shared" si="11"/>
        <v>297.61586046332229</v>
      </c>
      <c r="CD7" s="59">
        <f ca="1">AVERAGE(OFFSET($CC$3,0,0,'Données projet'!$E$12+1,1))-AVERAGE(OFFSET($H$3,0,0,'Données projet'!$E$12+1,1))</f>
        <v>119.88584888779422</v>
      </c>
      <c r="CE7" s="59">
        <f t="shared" si="40"/>
        <v>162.97244314258774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3.25</v>
      </c>
      <c r="CT7" s="12">
        <f>IF('Données projet'!$A$140&gt;35,CT6+CS7-DB6,IF(A7&lt;'Données projet'!$A$140,$CQ$205^A7,IF(A7='Données projet'!$A$140,'Données projet'!$B$140,CT6+CS7-DB6)))</f>
        <v>10.75</v>
      </c>
      <c r="CU7" s="17">
        <f>CT7*VLOOKUP('Données projet'!$B$13,Paramètres!$A$1:$I$89,3,0)*VLOOKUP('Données projet'!$B$13,Paramètres!$A$1:$I$89,5,0)</f>
        <v>10.900500000000001</v>
      </c>
      <c r="CV7" s="13">
        <f t="shared" si="41"/>
        <v>3.8039931036033132</v>
      </c>
      <c r="CW7" s="20">
        <f t="shared" si="13"/>
        <v>25.610325488775771</v>
      </c>
      <c r="CX7" s="59">
        <f t="shared" si="14"/>
        <v>318.94365882210911</v>
      </c>
      <c r="CY7" s="59">
        <f ca="1">AVERAGE(OFFSET($CX$3,0,0,'Données projet'!$E$13+1,1))-AVERAGE(OFFSET($H$3,0,0,'Données projet'!$E$13+1,1))</f>
        <v>261.75887764015459</v>
      </c>
      <c r="CZ7" s="59">
        <f t="shared" si="42"/>
        <v>209.74127356028544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2.4666666666666668</v>
      </c>
      <c r="DO7" s="12">
        <f>IF('Données projet'!$A$166&gt;35,DO6+DN7-DW6,IF(A7&lt;'Données projet'!$A$166,$DL$205^A7,IF(A7='Données projet'!$A$166,'Données projet'!$B$166,DO6+DN7-DW6)))</f>
        <v>2.6193113595857573</v>
      </c>
      <c r="DP7" s="17">
        <f>DO7*VLOOKUP('Données projet'!$B$14,Paramètres!$A$1:$I$89,3,0)*VLOOKUP('Données projet'!$B$14,Paramètres!$A$1:$I$89,5,0)</f>
        <v>2.0839241176864287</v>
      </c>
      <c r="DQ7" s="13">
        <f t="shared" si="43"/>
        <v>0.88169040068036508</v>
      </c>
      <c r="DR7" s="20">
        <f t="shared" si="16"/>
        <v>5.1651119528221656</v>
      </c>
      <c r="DS7" s="59">
        <f t="shared" si="17"/>
        <v>298.49844528615546</v>
      </c>
      <c r="DT7" s="59">
        <f ca="1">AVERAGE(OFFSET($DS$3,0,0,'Données projet'!$E$14+1,1))-AVERAGE(OFFSET($H$3,0,0,'Données projet'!$E$14+1,1))</f>
        <v>215.37468832969444</v>
      </c>
      <c r="DU7" s="59">
        <f t="shared" si="44"/>
        <v>208.60212063136419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2.4666666666666668</v>
      </c>
      <c r="EJ7" s="12">
        <f>IF('Données projet'!$A$192&gt;35,EJ6+EI7-ER6,IF(A7&lt;'Données projet'!$A$192,$EG$205^A7,IF(A7='Données projet'!$A$192,'Données projet'!$B$192,EJ6+EI7-ER6)))</f>
        <v>2.6193113595857573</v>
      </c>
      <c r="EK7" s="17">
        <f>EJ7*VLOOKUP('Données projet'!$B$15,Paramètres!$A$1:$I$89,3,0)*VLOOKUP('Données projet'!$B$15,Paramètres!$A$1:$I$89,5,0)</f>
        <v>2.0839241176864287</v>
      </c>
      <c r="EL7" s="13">
        <f t="shared" si="45"/>
        <v>0.88169040068036508</v>
      </c>
      <c r="EM7" s="20">
        <f t="shared" si="19"/>
        <v>5.1651119528221656</v>
      </c>
      <c r="EN7" s="59">
        <f t="shared" si="20"/>
        <v>298.49844528615546</v>
      </c>
      <c r="EO7" s="59">
        <f ca="1">AVERAGE(OFFSET($EN$3,0,0,'Données projet'!$E$15+1,1))-AVERAGE(OFFSET($H$3,0,0,'Données projet'!$E$15+1,1))</f>
        <v>215.37468832969444</v>
      </c>
      <c r="EP7" s="59">
        <f t="shared" si="46"/>
        <v>208.60212063136419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2.4666666666666668</v>
      </c>
      <c r="FE7" s="12">
        <f>IF('Données projet'!$A$218&gt;35,FE6+FD7-FM6,IF(A7&lt;'Données projet'!$A$218,$FB$205^A7,IF(A7='Données projet'!$A$218,'Données projet'!$B$218,FE6+FD7-FM6)))</f>
        <v>2.6193113595857573</v>
      </c>
      <c r="FF7" s="17">
        <f>FE7*VLOOKUP('Données projet'!$B$16,Paramètres!$A$1:$I$89,3,0)*VLOOKUP('Données projet'!$B$16,Paramètres!$A$1:$I$89,5,0)</f>
        <v>2.1247853748959664</v>
      </c>
      <c r="FG7" s="13">
        <f t="shared" si="47"/>
        <v>0.89694881267796833</v>
      </c>
      <c r="FH7" s="20">
        <f t="shared" si="22"/>
        <v>5.2628537100246024</v>
      </c>
      <c r="FI7" s="59">
        <f t="shared" si="23"/>
        <v>298.59618704335793</v>
      </c>
      <c r="FJ7" s="59">
        <f ca="1">AVERAGE(OFFSET($FI$3,0,0,'Données projet'!$E$16+1,1))-AVERAGE(OFFSET($H$3,0,0,'Données projet'!$E$16+1,1))</f>
        <v>220.90439367987847</v>
      </c>
      <c r="FK7" s="59">
        <f t="shared" si="48"/>
        <v>213.66046131354858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1">
        <f t="shared" si="32"/>
        <v>1.588061840572724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67">
        <f t="shared" si="1"/>
        <v>303.16340770566416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8</v>
      </c>
      <c r="L8" s="12">
        <f>VLOOKUP(A8,'Données projet'!$A$35:$I$55,9,0)</f>
        <v>1.75</v>
      </c>
      <c r="M8" s="12">
        <f t="array" ref="M8">INDEX(L:L,MIN(IF(ISNUMBER(L8:L204),ROW(L8:L204),"")))</f>
        <v>1.75</v>
      </c>
      <c r="N8" s="13">
        <f>IF('Données projet'!$A$36&gt;35,N7+M8-V7,IF(A8&lt;'Données projet'!$A$36,$K$205^A8,IF(A8='Données projet'!$A$36,'Données projet'!$B$36,N7+M8-V7)))</f>
        <v>8</v>
      </c>
      <c r="O8" s="13">
        <f>N8*VLOOKUP('Données projet'!$B$9,Paramètres!$A$1:$I$89,3,0)*VLOOKUP('Données projet'!$B$9,Paramètres!$A$1:$I$89,5,0)</f>
        <v>3.7439999999999998</v>
      </c>
      <c r="P8" s="13">
        <f t="shared" si="33"/>
        <v>1.4796248382778823</v>
      </c>
      <c r="Q8" s="20">
        <f t="shared" si="2"/>
        <v>9.0978132600006436</v>
      </c>
      <c r="R8" s="59">
        <f t="shared" si="0"/>
        <v>302.43114659333395</v>
      </c>
      <c r="S8" s="59">
        <f ca="1">AVERAGE(OFFSET($R$3,0,0,'Données projet'!$E$9+1,1))-AVERAGE(OFFSET($H$3,0,0,'Données projet'!$E$9+1,1))</f>
        <v>196.72624686715807</v>
      </c>
      <c r="T8" s="59">
        <f t="shared" si="34"/>
        <v>37.315661698104691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>
        <f>VLOOKUP(A8,'Données projet'!$A$61:$I$81,2,0)</f>
        <v>17</v>
      </c>
      <c r="AG8" s="12">
        <f>VLOOKUP(A8,'Données projet'!$A$61:$I$81,9,0)</f>
        <v>3.25</v>
      </c>
      <c r="AH8" s="12">
        <f t="array" ref="AH8">INDEX(AG:AG,MIN(IF(ISNUMBER(AG8:AG204),ROW(AG8:AG204),"")))</f>
        <v>3.25</v>
      </c>
      <c r="AI8" s="13">
        <f>IF('Données projet'!$A$62&gt;35,AI7+AH8-AQ7,IF(A8&lt;'Données projet'!$A$62,$AF$205^A8,IF(A8='Données projet'!$A$62,'Données projet'!$B$62,AI7+AH8-AQ7)))</f>
        <v>16</v>
      </c>
      <c r="AJ8" s="13">
        <f>AI8*VLOOKUP('Données projet'!$B$10,Paramètres!$A$1:$I$89,3,0)*VLOOKUP('Données projet'!$B$10,Paramètres!$A$1:$I$89,5,0)</f>
        <v>8.9440000000000008</v>
      </c>
      <c r="AK8" s="13">
        <f t="shared" si="35"/>
        <v>3.193931186488729</v>
      </c>
      <c r="AL8" s="20">
        <f t="shared" si="4"/>
        <v>21.140230149801205</v>
      </c>
      <c r="AM8" s="59">
        <f t="shared" si="5"/>
        <v>314.47356348313451</v>
      </c>
      <c r="AN8" s="59">
        <f ca="1">AVERAGE(OFFSET($AM$3,0,0,'Données projet'!$E$10+1,1))-AVERAGE(OFFSET($H$3,0,0,'Données projet'!$E$10+1,1))</f>
        <v>325.42940802362739</v>
      </c>
      <c r="AO8" s="59">
        <f t="shared" si="36"/>
        <v>388.87198417542277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>
        <f>VLOOKUP(A8,'Données projet'!$A$87:$I$107,2,0)</f>
        <v>6</v>
      </c>
      <c r="BB8" s="12">
        <f>VLOOKUP(A8,'Données projet'!$A$87:$I$107,9,0)</f>
        <v>1</v>
      </c>
      <c r="BC8" s="12">
        <f t="array" ref="BC8">INDEX(BB:BB,MIN(IF(ISNUMBER(BB8:BB204),ROW(BB8:BB204),"")))</f>
        <v>1</v>
      </c>
      <c r="BD8" s="12">
        <f>IF('Données projet'!$A$88&gt;35,BD7+BC8-BL7,IF(A8&lt;'Données projet'!$A$88,$BA$205^A8,IF(A8='Données projet'!$A$88,'Données projet'!$B$88,BD7+BC8-BL7)))</f>
        <v>5</v>
      </c>
      <c r="BE8" s="13">
        <f>BD8*VLOOKUP('Données projet'!$B$11,Paramètres!$A$1:$I$89,3,0)*VLOOKUP('Données projet'!$B$11,Paramètres!$A$1:$I$89,5,0)</f>
        <v>3.12</v>
      </c>
      <c r="BF8" s="13">
        <f t="shared" si="37"/>
        <v>1.2594677869347046</v>
      </c>
      <c r="BG8" s="20">
        <f t="shared" si="7"/>
        <v>7.6275730622446112</v>
      </c>
      <c r="BH8" s="59">
        <f t="shared" si="8"/>
        <v>300.96090639557792</v>
      </c>
      <c r="BI8" s="59">
        <f ca="1">AVERAGE(OFFSET($BH$3,0,0,'Données projet'!$E$11+1,1))-AVERAGE(OFFSET($H$3,0,0,'Données projet'!$E$11+1,1))</f>
        <v>162.87524915738271</v>
      </c>
      <c r="BJ8" s="59">
        <f t="shared" si="38"/>
        <v>249.37880137966658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2.4666666666666668</v>
      </c>
      <c r="BY8" s="12">
        <f>IF('Données projet'!$A$114&gt;35,BY7+BX8-CG7,IF(A8&lt;'Données projet'!$A$114,$BV$205^A8,IF(A8='Données projet'!$A$114,'Données projet'!$B$114,BY7+BX8-CG7)))</f>
        <v>3.332221851645953</v>
      </c>
      <c r="BZ8" s="13">
        <f>BY8*VLOOKUP('Données projet'!$B$12,Paramètres!$A$1:$I$89,3,0)*VLOOKUP('Données projet'!$B$12,Paramètres!$A$1:$I$89,5,0)</f>
        <v>2.1832717571984284</v>
      </c>
      <c r="CA8" s="13">
        <f t="shared" si="39"/>
        <v>0.91872961105241191</v>
      </c>
      <c r="CB8" s="20">
        <f t="shared" si="10"/>
        <v>5.4026523830368793</v>
      </c>
      <c r="CC8" s="59">
        <f t="shared" si="11"/>
        <v>298.73598571637018</v>
      </c>
      <c r="CD8" s="59">
        <f ca="1">AVERAGE(OFFSET($CC$3,0,0,'Données projet'!$E$12+1,1))-AVERAGE(OFFSET($H$3,0,0,'Données projet'!$E$12+1,1))</f>
        <v>119.88584888779422</v>
      </c>
      <c r="CE8" s="59">
        <f t="shared" si="40"/>
        <v>162.97244314258774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>
        <f>VLOOKUP(A8,'Données projet'!$A$139:$I$159,2,0)</f>
        <v>14</v>
      </c>
      <c r="CR8" s="12">
        <f>VLOOKUP(A8,'Données projet'!$A$139:$I$159,9,0)</f>
        <v>3.25</v>
      </c>
      <c r="CS8" s="12">
        <f t="array" ref="CS8">INDEX(CR:CR,MIN(IF(ISNUMBER(CR8:CR204),ROW(CR8:CR204),"")))</f>
        <v>3.25</v>
      </c>
      <c r="CT8" s="12">
        <f>IF('Données projet'!$A$140&gt;35,CT7+CS8-DB7,IF(A8&lt;'Données projet'!$A$140,$CQ$205^A8,IF(A8='Données projet'!$A$140,'Données projet'!$B$140,CT7+CS8-DB7)))</f>
        <v>14</v>
      </c>
      <c r="CU8" s="17">
        <f>CT8*VLOOKUP('Données projet'!$B$13,Paramètres!$A$1:$I$89,3,0)*VLOOKUP('Données projet'!$B$13,Paramètres!$A$1:$I$89,5,0)</f>
        <v>14.196</v>
      </c>
      <c r="CV8" s="13">
        <f t="shared" si="41"/>
        <v>4.8040324714872975</v>
      </c>
      <c r="CW8" s="20">
        <f t="shared" si="13"/>
        <v>33.091723221173709</v>
      </c>
      <c r="CX8" s="59">
        <f t="shared" si="14"/>
        <v>326.42505655450702</v>
      </c>
      <c r="CY8" s="59">
        <f ca="1">AVERAGE(OFFSET($CX$3,0,0,'Données projet'!$E$13+1,1))-AVERAGE(OFFSET($H$3,0,0,'Données projet'!$E$13+1,1))</f>
        <v>261.75887764015459</v>
      </c>
      <c r="CZ8" s="59">
        <f t="shared" si="42"/>
        <v>209.74127356028544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2.4666666666666668</v>
      </c>
      <c r="DO8" s="12">
        <f>IF('Données projet'!$A$166&gt;35,DO7+DN8-DW7,IF(A8&lt;'Données projet'!$A$166,$DL$205^A8,IF(A8='Données projet'!$A$166,'Données projet'!$B$166,DO7+DN8-DW7)))</f>
        <v>3.332221851645953</v>
      </c>
      <c r="DP8" s="17">
        <f>DO8*VLOOKUP('Données projet'!$B$14,Paramètres!$A$1:$I$89,3,0)*VLOOKUP('Données projet'!$B$14,Paramètres!$A$1:$I$89,5,0)</f>
        <v>2.6511157051695204</v>
      </c>
      <c r="DQ8" s="13">
        <f t="shared" si="43"/>
        <v>1.0906707059957799</v>
      </c>
      <c r="DR8" s="20">
        <f t="shared" si="16"/>
        <v>6.5169446661128978</v>
      </c>
      <c r="DS8" s="59">
        <f t="shared" si="17"/>
        <v>299.85027799944623</v>
      </c>
      <c r="DT8" s="59">
        <f ca="1">AVERAGE(OFFSET($DS$3,0,0,'Données projet'!$E$14+1,1))-AVERAGE(OFFSET($H$3,0,0,'Données projet'!$E$14+1,1))</f>
        <v>215.37468832969444</v>
      </c>
      <c r="DU8" s="59">
        <f t="shared" si="44"/>
        <v>208.60212063136419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2.4666666666666668</v>
      </c>
      <c r="EJ8" s="12">
        <f>IF('Données projet'!$A$192&gt;35,EJ7+EI8-ER7,IF(A8&lt;'Données projet'!$A$192,$EG$205^A8,IF(A8='Données projet'!$A$192,'Données projet'!$B$192,EJ7+EI8-ER7)))</f>
        <v>3.332221851645953</v>
      </c>
      <c r="EK8" s="17">
        <f>EJ8*VLOOKUP('Données projet'!$B$15,Paramètres!$A$1:$I$89,3,0)*VLOOKUP('Données projet'!$B$15,Paramètres!$A$1:$I$89,5,0)</f>
        <v>2.6511157051695204</v>
      </c>
      <c r="EL8" s="13">
        <f t="shared" si="45"/>
        <v>1.0906707059957799</v>
      </c>
      <c r="EM8" s="20">
        <f t="shared" si="19"/>
        <v>6.5169446661128978</v>
      </c>
      <c r="EN8" s="59">
        <f t="shared" si="20"/>
        <v>299.85027799944623</v>
      </c>
      <c r="EO8" s="59">
        <f ca="1">AVERAGE(OFFSET($EN$3,0,0,'Données projet'!$E$15+1,1))-AVERAGE(OFFSET($H$3,0,0,'Données projet'!$E$15+1,1))</f>
        <v>215.37468832969444</v>
      </c>
      <c r="EP8" s="59">
        <f t="shared" si="46"/>
        <v>208.60212063136419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2.4666666666666668</v>
      </c>
      <c r="FE8" s="12">
        <f>IF('Données projet'!$A$218&gt;35,FE7+FD8-FM7,IF(A8&lt;'Données projet'!$A$218,$FB$205^A8,IF(A8='Données projet'!$A$218,'Données projet'!$B$218,FE7+FD8-FM7)))</f>
        <v>3.332221851645953</v>
      </c>
      <c r="FF8" s="17">
        <f>FE8*VLOOKUP('Données projet'!$B$16,Paramètres!$A$1:$I$89,3,0)*VLOOKUP('Données projet'!$B$16,Paramètres!$A$1:$I$89,5,0)</f>
        <v>2.703098366055197</v>
      </c>
      <c r="FG8" s="13">
        <f t="shared" si="47"/>
        <v>1.1095457022222992</v>
      </c>
      <c r="FH8" s="20">
        <f t="shared" si="22"/>
        <v>6.6403550855833053</v>
      </c>
      <c r="FI8" s="59">
        <f t="shared" si="23"/>
        <v>299.97368841891659</v>
      </c>
      <c r="FJ8" s="59">
        <f ca="1">AVERAGE(OFFSET($FI$3,0,0,'Données projet'!$E$16+1,1))-AVERAGE(OFFSET($H$3,0,0,'Données projet'!$E$16+1,1))</f>
        <v>220.90439367987847</v>
      </c>
      <c r="FK8" s="59">
        <f t="shared" si="48"/>
        <v>213.66046131354858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1">
        <f t="shared" si="32"/>
        <v>1.8656576757326089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67">
        <f t="shared" si="1"/>
        <v>305.05972711856759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1.7</v>
      </c>
      <c r="N9" s="13">
        <f>IF('Données projet'!$A$36&gt;35,N8+M9-V8,IF(A9&lt;'Données projet'!$A$36,$K$205^A9,IF(A9='Données projet'!$A$36,'Données projet'!$B$36,N8+M9-V8)))</f>
        <v>9.6999999999999993</v>
      </c>
      <c r="O9" s="13">
        <f>N9*VLOOKUP('Données projet'!$B$9,Paramètres!$A$1:$I$89,3,0)*VLOOKUP('Données projet'!$B$9,Paramètres!$A$1:$I$89,5,0)</f>
        <v>4.5395999999999992</v>
      </c>
      <c r="P9" s="13">
        <f t="shared" si="33"/>
        <v>1.7542553312615734</v>
      </c>
      <c r="Q9" s="20">
        <f t="shared" si="2"/>
        <v>10.961798035280573</v>
      </c>
      <c r="R9" s="59">
        <f t="shared" si="0"/>
        <v>304.29513136861391</v>
      </c>
      <c r="S9" s="59">
        <f ca="1">AVERAGE(OFFSET($R$3,0,0,'Données projet'!$E$9+1,1))-AVERAGE(OFFSET($H$3,0,0,'Données projet'!$E$9+1,1))</f>
        <v>196.72624686715807</v>
      </c>
      <c r="T9" s="59">
        <f t="shared" si="34"/>
        <v>37.315661698104691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</v>
      </c>
      <c r="AI9" s="13">
        <f>IF('Données projet'!$A$62&gt;35,AI8+AH9-AQ8,IF(A9&lt;'Données projet'!$A$62,$AF$205^A9,IF(A9='Données projet'!$A$62,'Données projet'!$B$62,AI8+AH9-AQ8)))</f>
        <v>19</v>
      </c>
      <c r="AJ9" s="13">
        <f>AI9*VLOOKUP('Données projet'!$B$10,Paramètres!$A$1:$I$89,3,0)*VLOOKUP('Données projet'!$B$10,Paramètres!$A$1:$I$89,5,0)</f>
        <v>10.621</v>
      </c>
      <c r="AK9" s="13">
        <f t="shared" si="35"/>
        <v>3.7176784168109291</v>
      </c>
      <c r="AL9" s="20">
        <f t="shared" si="4"/>
        <v>24.973198242612366</v>
      </c>
      <c r="AM9" s="59">
        <f t="shared" si="5"/>
        <v>318.30653157594566</v>
      </c>
      <c r="AN9" s="59">
        <f ca="1">AVERAGE(OFFSET($AM$3,0,0,'Données projet'!$E$10+1,1))-AVERAGE(OFFSET($H$3,0,0,'Données projet'!$E$10+1,1))</f>
        <v>325.42940802362739</v>
      </c>
      <c r="AO9" s="59">
        <f t="shared" si="36"/>
        <v>388.87198417542277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6.4</v>
      </c>
      <c r="BD9" s="12">
        <f>IF('Données projet'!$A$88&gt;35,BD8+BC9-BL8,IF(A9&lt;'Données projet'!$A$88,$BA$205^A9,IF(A9='Données projet'!$A$88,'Données projet'!$B$88,BD8+BC9-BL8)))</f>
        <v>11.4</v>
      </c>
      <c r="BE9" s="13">
        <f>BD9*VLOOKUP('Données projet'!$B$11,Paramètres!$A$1:$I$89,3,0)*VLOOKUP('Données projet'!$B$11,Paramètres!$A$1:$I$89,5,0)</f>
        <v>7.1135999999999999</v>
      </c>
      <c r="BF9" s="13">
        <f t="shared" si="37"/>
        <v>2.6089051793396725</v>
      </c>
      <c r="BG9" s="20">
        <f t="shared" si="7"/>
        <v>16.933363187349929</v>
      </c>
      <c r="BH9" s="59">
        <f t="shared" si="8"/>
        <v>310.26669652068324</v>
      </c>
      <c r="BI9" s="59">
        <f ca="1">AVERAGE(OFFSET($BH$3,0,0,'Données projet'!$E$11+1,1))-AVERAGE(OFFSET($H$3,0,0,'Données projet'!$E$11+1,1))</f>
        <v>162.87524915738271</v>
      </c>
      <c r="BJ9" s="59">
        <f t="shared" si="38"/>
        <v>249.37880137966658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2.4666666666666668</v>
      </c>
      <c r="BY9" s="12">
        <f>IF('Données projet'!$A$114&gt;35,BY8+BX9-CG8,IF(A9&lt;'Données projet'!$A$114,$BV$205^A9,IF(A9='Données projet'!$A$114,'Données projet'!$B$114,BY8+BX9-CG8)))</f>
        <v>4.2391685997738069</v>
      </c>
      <c r="BZ9" s="13">
        <f>BY9*VLOOKUP('Données projet'!$B$12,Paramètres!$A$1:$I$89,3,0)*VLOOKUP('Données projet'!$B$12,Paramètres!$A$1:$I$89,5,0)</f>
        <v>2.7775032665717982</v>
      </c>
      <c r="CA9" s="13">
        <f t="shared" si="39"/>
        <v>1.1364890359842124</v>
      </c>
      <c r="CB9" s="20">
        <f t="shared" si="10"/>
        <v>6.8168699269517186</v>
      </c>
      <c r="CC9" s="59">
        <f t="shared" si="11"/>
        <v>300.15020326028502</v>
      </c>
      <c r="CD9" s="59">
        <f ca="1">AVERAGE(OFFSET($CC$3,0,0,'Données projet'!$E$12+1,1))-AVERAGE(OFFSET($H$3,0,0,'Données projet'!$E$12+1,1))</f>
        <v>119.88584888779422</v>
      </c>
      <c r="CE9" s="59">
        <f t="shared" si="40"/>
        <v>162.97244314258774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</v>
      </c>
      <c r="CT9" s="12">
        <f>IF('Données projet'!$A$140&gt;35,CT8+CS9-DB8,IF(A9&lt;'Données projet'!$A$140,$CQ$205^A9,IF(A9='Données projet'!$A$140,'Données projet'!$B$140,CT8+CS9-DB8)))</f>
        <v>18</v>
      </c>
      <c r="CU9" s="17">
        <f>CT9*VLOOKUP('Données projet'!$B$13,Paramètres!$A$1:$I$89,3,0)*VLOOKUP('Données projet'!$B$13,Paramètres!$A$1:$I$89,5,0)</f>
        <v>18.252000000000002</v>
      </c>
      <c r="CV9" s="13">
        <f t="shared" si="41"/>
        <v>5.9985459145634135</v>
      </c>
      <c r="CW9" s="20">
        <f t="shared" si="13"/>
        <v>42.236367467864618</v>
      </c>
      <c r="CX9" s="59">
        <f t="shared" si="14"/>
        <v>335.56970080119794</v>
      </c>
      <c r="CY9" s="59">
        <f ca="1">AVERAGE(OFFSET($CX$3,0,0,'Données projet'!$E$13+1,1))-AVERAGE(OFFSET($H$3,0,0,'Données projet'!$E$13+1,1))</f>
        <v>261.75887764015459</v>
      </c>
      <c r="CZ9" s="59">
        <f t="shared" si="42"/>
        <v>209.74127356028544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2.4666666666666668</v>
      </c>
      <c r="DO9" s="12">
        <f>IF('Données projet'!$A$166&gt;35,DO8+DN9-DW8,IF(A9&lt;'Données projet'!$A$166,$DL$205^A9,IF(A9='Données projet'!$A$166,'Données projet'!$B$166,DO8+DN9-DW8)))</f>
        <v>4.2391685997738069</v>
      </c>
      <c r="DP9" s="17">
        <f>DO9*VLOOKUP('Données projet'!$B$14,Paramètres!$A$1:$I$89,3,0)*VLOOKUP('Données projet'!$B$14,Paramètres!$A$1:$I$89,5,0)</f>
        <v>3.3726825379800407</v>
      </c>
      <c r="DQ9" s="13">
        <f t="shared" si="43"/>
        <v>1.3491840083541735</v>
      </c>
      <c r="DR9" s="20">
        <f t="shared" si="16"/>
        <v>8.2239175681987557</v>
      </c>
      <c r="DS9" s="59">
        <f t="shared" si="17"/>
        <v>301.55725090153209</v>
      </c>
      <c r="DT9" s="59">
        <f ca="1">AVERAGE(OFFSET($DS$3,0,0,'Données projet'!$E$14+1,1))-AVERAGE(OFFSET($H$3,0,0,'Données projet'!$E$14+1,1))</f>
        <v>215.37468832969444</v>
      </c>
      <c r="DU9" s="59">
        <f t="shared" si="44"/>
        <v>208.60212063136419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2.4666666666666668</v>
      </c>
      <c r="EJ9" s="12">
        <f>IF('Données projet'!$A$192&gt;35,EJ8+EI9-ER8,IF(A9&lt;'Données projet'!$A$192,$EG$205^A9,IF(A9='Données projet'!$A$192,'Données projet'!$B$192,EJ8+EI9-ER8)))</f>
        <v>4.2391685997738069</v>
      </c>
      <c r="EK9" s="17">
        <f>EJ9*VLOOKUP('Données projet'!$B$15,Paramètres!$A$1:$I$89,3,0)*VLOOKUP('Données projet'!$B$15,Paramètres!$A$1:$I$89,5,0)</f>
        <v>3.3726825379800407</v>
      </c>
      <c r="EL9" s="13">
        <f t="shared" si="45"/>
        <v>1.3491840083541735</v>
      </c>
      <c r="EM9" s="20">
        <f t="shared" si="19"/>
        <v>8.2239175681987557</v>
      </c>
      <c r="EN9" s="59">
        <f t="shared" si="20"/>
        <v>301.55725090153209</v>
      </c>
      <c r="EO9" s="59">
        <f ca="1">AVERAGE(OFFSET($EN$3,0,0,'Données projet'!$E$15+1,1))-AVERAGE(OFFSET($H$3,0,0,'Données projet'!$E$15+1,1))</f>
        <v>215.37468832969444</v>
      </c>
      <c r="EP9" s="59">
        <f t="shared" si="46"/>
        <v>208.60212063136419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2.4666666666666668</v>
      </c>
      <c r="FE9" s="12">
        <f>IF('Données projet'!$A$218&gt;35,FE8+FD9-FM8,IF(A9&lt;'Données projet'!$A$218,$FB$205^A9,IF(A9='Données projet'!$A$218,'Données projet'!$B$218,FE8+FD9-FM8)))</f>
        <v>4.2391685997738069</v>
      </c>
      <c r="FF9" s="17">
        <f>FE9*VLOOKUP('Données projet'!$B$16,Paramètres!$A$1:$I$89,3,0)*VLOOKUP('Données projet'!$B$16,Paramètres!$A$1:$I$89,5,0)</f>
        <v>3.4388135681365122</v>
      </c>
      <c r="FG9" s="13">
        <f t="shared" si="47"/>
        <v>1.3725327999982246</v>
      </c>
      <c r="FH9" s="20">
        <f t="shared" si="22"/>
        <v>8.3797615911680001</v>
      </c>
      <c r="FI9" s="59">
        <f t="shared" si="23"/>
        <v>301.71309492450132</v>
      </c>
      <c r="FJ9" s="59">
        <f ca="1">AVERAGE(OFFSET($FI$3,0,0,'Données projet'!$E$16+1,1))-AVERAGE(OFFSET($H$3,0,0,'Données projet'!$E$16+1,1))</f>
        <v>220.90439367987847</v>
      </c>
      <c r="FK9" s="59">
        <f t="shared" si="48"/>
        <v>213.66046131354858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1">
        <f t="shared" si="32"/>
        <v>2.1378938726743604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67">
        <f t="shared" si="1"/>
        <v>306.94671182824118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1.7</v>
      </c>
      <c r="N10" s="13">
        <f>IF('Données projet'!$A$36&gt;35,N9+M10-V9,IF(A10&lt;'Données projet'!$A$36,$K$205^A10,IF(A10='Données projet'!$A$36,'Données projet'!$B$36,N9+M10-V9)))</f>
        <v>11.399999999999999</v>
      </c>
      <c r="O10" s="13">
        <f>N10*VLOOKUP('Données projet'!$B$9,Paramètres!$A$1:$I$89,3,0)*VLOOKUP('Données projet'!$B$9,Paramètres!$A$1:$I$89,5,0)</f>
        <v>5.3351999999999995</v>
      </c>
      <c r="P10" s="13">
        <f t="shared" si="33"/>
        <v>2.0233099967312578</v>
      </c>
      <c r="Q10" s="20">
        <f t="shared" si="2"/>
        <v>12.816071577640272</v>
      </c>
      <c r="R10" s="59">
        <f t="shared" si="0"/>
        <v>306.1494049109736</v>
      </c>
      <c r="S10" s="59">
        <f ca="1">AVERAGE(OFFSET($R$3,0,0,'Données projet'!$E$9+1,1))-AVERAGE(OFFSET($H$3,0,0,'Données projet'!$E$9+1,1))</f>
        <v>196.72624686715807</v>
      </c>
      <c r="T10" s="59">
        <f t="shared" si="34"/>
        <v>37.315661698104691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</v>
      </c>
      <c r="AI10" s="13">
        <f>IF('Données projet'!$A$62&gt;35,AI9+AH10-AQ9,IF(A10&lt;'Données projet'!$A$62,$AF$205^A10,IF(A10='Données projet'!$A$62,'Données projet'!$B$62,AI9+AH10-AQ9)))</f>
        <v>22</v>
      </c>
      <c r="AJ10" s="13">
        <f>AI10*VLOOKUP('Données projet'!$B$10,Paramètres!$A$1:$I$89,3,0)*VLOOKUP('Données projet'!$B$10,Paramètres!$A$1:$I$89,5,0)</f>
        <v>12.298</v>
      </c>
      <c r="AK10" s="13">
        <f t="shared" si="35"/>
        <v>4.2318456499363757</v>
      </c>
      <c r="AL10" s="20">
        <f t="shared" si="4"/>
        <v>28.789481173639189</v>
      </c>
      <c r="AM10" s="59">
        <f t="shared" si="5"/>
        <v>322.12281450697253</v>
      </c>
      <c r="AN10" s="59">
        <f ca="1">AVERAGE(OFFSET($AM$3,0,0,'Données projet'!$E$10+1,1))-AVERAGE(OFFSET($H$3,0,0,'Données projet'!$E$10+1,1))</f>
        <v>325.42940802362739</v>
      </c>
      <c r="AO10" s="59">
        <f t="shared" si="36"/>
        <v>388.87198417542277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6.4</v>
      </c>
      <c r="BD10" s="12">
        <f>IF('Données projet'!$A$88&gt;35,BD9+BC10-BL9,IF(A10&lt;'Données projet'!$A$88,$BA$205^A10,IF(A10='Données projet'!$A$88,'Données projet'!$B$88,BD9+BC10-BL9)))</f>
        <v>17.8</v>
      </c>
      <c r="BE10" s="13">
        <f>BD10*VLOOKUP('Données projet'!$B$11,Paramètres!$A$1:$I$89,3,0)*VLOOKUP('Données projet'!$B$11,Paramètres!$A$1:$I$89,5,0)</f>
        <v>11.107200000000001</v>
      </c>
      <c r="BF10" s="13">
        <f t="shared" si="37"/>
        <v>3.8676599413952562</v>
      </c>
      <c r="BG10" s="20">
        <f t="shared" si="7"/>
        <v>26.081214397930072</v>
      </c>
      <c r="BH10" s="59">
        <f t="shared" si="8"/>
        <v>319.41454773126338</v>
      </c>
      <c r="BI10" s="59">
        <f ca="1">AVERAGE(OFFSET($BH$3,0,0,'Données projet'!$E$11+1,1))-AVERAGE(OFFSET($H$3,0,0,'Données projet'!$E$11+1,1))</f>
        <v>162.87524915738271</v>
      </c>
      <c r="BJ10" s="59">
        <f t="shared" si="38"/>
        <v>249.37880137966658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2.4666666666666668</v>
      </c>
      <c r="BY10" s="12">
        <f>IF('Données projet'!$A$114&gt;35,BY9+BX10-CG9,IF(A10&lt;'Données projet'!$A$114,$BV$205^A10,IF(A10='Données projet'!$A$114,'Données projet'!$B$114,BY9+BX10-CG9)))</f>
        <v>5.3929633792034757</v>
      </c>
      <c r="BZ10" s="13">
        <f>BY10*VLOOKUP('Données projet'!$B$12,Paramètres!$A$1:$I$89,3,0)*VLOOKUP('Données projet'!$B$12,Paramètres!$A$1:$I$89,5,0)</f>
        <v>3.5334696060541173</v>
      </c>
      <c r="CA10" s="13">
        <f t="shared" si="39"/>
        <v>1.4058623052682262</v>
      </c>
      <c r="CB10" s="20">
        <f t="shared" si="10"/>
        <v>8.6026697455530794</v>
      </c>
      <c r="CC10" s="59">
        <f t="shared" si="11"/>
        <v>301.93600307888642</v>
      </c>
      <c r="CD10" s="59">
        <f ca="1">AVERAGE(OFFSET($CC$3,0,0,'Données projet'!$E$12+1,1))-AVERAGE(OFFSET($H$3,0,0,'Données projet'!$E$12+1,1))</f>
        <v>119.88584888779422</v>
      </c>
      <c r="CE10" s="59">
        <f t="shared" si="40"/>
        <v>162.97244314258774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</v>
      </c>
      <c r="CT10" s="12">
        <f>IF('Données projet'!$A$140&gt;35,CT9+CS10-DB9,IF(A10&lt;'Données projet'!$A$140,$CQ$205^A10,IF(A10='Données projet'!$A$140,'Données projet'!$B$140,CT9+CS10-DB9)))</f>
        <v>22</v>
      </c>
      <c r="CU10" s="17">
        <f>CT10*VLOOKUP('Données projet'!$B$13,Paramètres!$A$1:$I$89,3,0)*VLOOKUP('Données projet'!$B$13,Paramètres!$A$1:$I$89,5,0)</f>
        <v>22.308000000000003</v>
      </c>
      <c r="CV10" s="13">
        <f t="shared" si="41"/>
        <v>7.1622896888373244</v>
      </c>
      <c r="CW10" s="20">
        <f t="shared" si="13"/>
        <v>51.327421208058347</v>
      </c>
      <c r="CX10" s="59">
        <f t="shared" si="14"/>
        <v>344.66075454139167</v>
      </c>
      <c r="CY10" s="59">
        <f ca="1">AVERAGE(OFFSET($CX$3,0,0,'Données projet'!$E$13+1,1))-AVERAGE(OFFSET($H$3,0,0,'Données projet'!$E$13+1,1))</f>
        <v>261.75887764015459</v>
      </c>
      <c r="CZ10" s="59">
        <f t="shared" si="42"/>
        <v>209.74127356028544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2.4666666666666668</v>
      </c>
      <c r="DO10" s="12">
        <f>IF('Données projet'!$A$166&gt;35,DO9+DN10-DW9,IF(A10&lt;'Données projet'!$A$166,$DL$205^A10,IF(A10='Données projet'!$A$166,'Données projet'!$B$166,DO9+DN10-DW9)))</f>
        <v>5.3929633792034757</v>
      </c>
      <c r="DP10" s="17">
        <f>DO10*VLOOKUP('Données projet'!$B$14,Paramètres!$A$1:$I$89,3,0)*VLOOKUP('Données projet'!$B$14,Paramètres!$A$1:$I$89,5,0)</f>
        <v>4.2906416644942853</v>
      </c>
      <c r="DQ10" s="13">
        <f t="shared" si="43"/>
        <v>1.6689707336887791</v>
      </c>
      <c r="DR10" s="20">
        <f t="shared" si="16"/>
        <v>10.379658260168837</v>
      </c>
      <c r="DS10" s="59">
        <f t="shared" si="17"/>
        <v>303.71299159350212</v>
      </c>
      <c r="DT10" s="59">
        <f ca="1">AVERAGE(OFFSET($DS$3,0,0,'Données projet'!$E$14+1,1))-AVERAGE(OFFSET($H$3,0,0,'Données projet'!$E$14+1,1))</f>
        <v>215.37468832969444</v>
      </c>
      <c r="DU10" s="59">
        <f t="shared" si="44"/>
        <v>208.60212063136419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2.4666666666666668</v>
      </c>
      <c r="EJ10" s="12">
        <f>IF('Données projet'!$A$192&gt;35,EJ9+EI10-ER9,IF(A10&lt;'Données projet'!$A$192,$EG$205^A10,IF(A10='Données projet'!$A$192,'Données projet'!$B$192,EJ9+EI10-ER9)))</f>
        <v>5.3929633792034757</v>
      </c>
      <c r="EK10" s="17">
        <f>EJ10*VLOOKUP('Données projet'!$B$15,Paramètres!$A$1:$I$89,3,0)*VLOOKUP('Données projet'!$B$15,Paramètres!$A$1:$I$89,5,0)</f>
        <v>4.2906416644942853</v>
      </c>
      <c r="EL10" s="13">
        <f t="shared" si="45"/>
        <v>1.6689707336887791</v>
      </c>
      <c r="EM10" s="20">
        <f t="shared" si="19"/>
        <v>10.379658260168837</v>
      </c>
      <c r="EN10" s="59">
        <f t="shared" si="20"/>
        <v>303.71299159350212</v>
      </c>
      <c r="EO10" s="59">
        <f ca="1">AVERAGE(OFFSET($EN$3,0,0,'Données projet'!$E$15+1,1))-AVERAGE(OFFSET($H$3,0,0,'Données projet'!$E$15+1,1))</f>
        <v>215.37468832969444</v>
      </c>
      <c r="EP10" s="59">
        <f t="shared" si="46"/>
        <v>208.60212063136419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2.4666666666666668</v>
      </c>
      <c r="FE10" s="12">
        <f>IF('Données projet'!$A$218&gt;35,FE9+FD10-FM9,IF(A10&lt;'Données projet'!$A$218,$FB$205^A10,IF(A10='Données projet'!$A$218,'Données projet'!$B$218,FE9+FD10-FM9)))</f>
        <v>5.3929633792034757</v>
      </c>
      <c r="FF10" s="17">
        <f>FE10*VLOOKUP('Données projet'!$B$16,Paramètres!$A$1:$I$89,3,0)*VLOOKUP('Données projet'!$B$16,Paramètres!$A$1:$I$89,5,0)</f>
        <v>4.3747718932098598</v>
      </c>
      <c r="FG10" s="13">
        <f t="shared" si="47"/>
        <v>1.6978537101246285</v>
      </c>
      <c r="FH10" s="20">
        <f t="shared" si="22"/>
        <v>10.576489592474234</v>
      </c>
      <c r="FI10" s="59">
        <f t="shared" si="23"/>
        <v>303.90982292580753</v>
      </c>
      <c r="FJ10" s="59">
        <f ca="1">AVERAGE(OFFSET($FI$3,0,0,'Données projet'!$E$16+1,1))-AVERAGE(OFFSET($H$3,0,0,'Données projet'!$E$16+1,1))</f>
        <v>220.90439367987847</v>
      </c>
      <c r="FK10" s="59">
        <f t="shared" si="48"/>
        <v>213.66046131354858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1">
        <f t="shared" si="32"/>
        <v>2.4056244376575933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67">
        <f t="shared" si="1"/>
        <v>308.82584922892028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1.7</v>
      </c>
      <c r="N11" s="13">
        <f>IF('Données projet'!$A$36&gt;35,N10+M11-V10,IF(A11&lt;'Données projet'!$A$36,$K$205^A11,IF(A11='Données projet'!$A$36,'Données projet'!$B$36,N10+M11-V10)))</f>
        <v>13.099999999999998</v>
      </c>
      <c r="O11" s="13">
        <f>N11*VLOOKUP('Données projet'!$B$9,Paramètres!$A$1:$I$89,3,0)*VLOOKUP('Données projet'!$B$9,Paramètres!$A$1:$I$89,5,0)</f>
        <v>6.1307999999999989</v>
      </c>
      <c r="P11" s="13">
        <f t="shared" si="33"/>
        <v>2.2877165683511822</v>
      </c>
      <c r="Q11" s="20">
        <f t="shared" si="2"/>
        <v>14.662249689878307</v>
      </c>
      <c r="R11" s="59">
        <f t="shared" si="0"/>
        <v>307.99558302321162</v>
      </c>
      <c r="S11" s="59">
        <f ca="1">AVERAGE(OFFSET($R$3,0,0,'Données projet'!$E$9+1,1))-AVERAGE(OFFSET($H$3,0,0,'Données projet'!$E$9+1,1))</f>
        <v>196.72624686715807</v>
      </c>
      <c r="T11" s="59">
        <f t="shared" si="34"/>
        <v>37.315661698104691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</v>
      </c>
      <c r="AI11" s="13">
        <f>IF('Données projet'!$A$62&gt;35,AI10+AH11-AQ10,IF(A11&lt;'Données projet'!$A$62,$AF$205^A11,IF(A11='Données projet'!$A$62,'Données projet'!$B$62,AI10+AH11-AQ10)))</f>
        <v>25</v>
      </c>
      <c r="AJ11" s="13">
        <f>AI11*VLOOKUP('Données projet'!$B$10,Paramètres!$A$1:$I$89,3,0)*VLOOKUP('Données projet'!$B$10,Paramètres!$A$1:$I$89,5,0)</f>
        <v>13.975</v>
      </c>
      <c r="AK11" s="13">
        <f t="shared" si="35"/>
        <v>4.7378895257597513</v>
      </c>
      <c r="AL11" s="20">
        <f t="shared" si="4"/>
        <v>32.591615924031565</v>
      </c>
      <c r="AM11" s="59">
        <f t="shared" si="5"/>
        <v>325.92494925736486</v>
      </c>
      <c r="AN11" s="59">
        <f ca="1">AVERAGE(OFFSET($AM$3,0,0,'Données projet'!$E$10+1,1))-AVERAGE(OFFSET($H$3,0,0,'Données projet'!$E$10+1,1))</f>
        <v>325.42940802362739</v>
      </c>
      <c r="AO11" s="59">
        <f t="shared" si="36"/>
        <v>388.87198417542277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6.4</v>
      </c>
      <c r="BD11" s="12">
        <f>IF('Données projet'!$A$88&gt;35,BD10+BC11-BL10,IF(A11&lt;'Données projet'!$A$88,$BA$205^A11,IF(A11='Données projet'!$A$88,'Données projet'!$B$88,BD10+BC11-BL10)))</f>
        <v>24.200000000000003</v>
      </c>
      <c r="BE11" s="13">
        <f>BD11*VLOOKUP('Données projet'!$B$11,Paramètres!$A$1:$I$89,3,0)*VLOOKUP('Données projet'!$B$11,Paramètres!$A$1:$I$89,5,0)</f>
        <v>15.100800000000003</v>
      </c>
      <c r="BF11" s="13">
        <f t="shared" si="37"/>
        <v>5.0736023482816694</v>
      </c>
      <c r="BG11" s="20">
        <f t="shared" si="7"/>
        <v>35.13708408992391</v>
      </c>
      <c r="BH11" s="59">
        <f t="shared" si="8"/>
        <v>328.47041742325723</v>
      </c>
      <c r="BI11" s="59">
        <f ca="1">AVERAGE(OFFSET($BH$3,0,0,'Données projet'!$E$11+1,1))-AVERAGE(OFFSET($H$3,0,0,'Données projet'!$E$11+1,1))</f>
        <v>162.87524915738271</v>
      </c>
      <c r="BJ11" s="59">
        <f t="shared" si="38"/>
        <v>249.37880137966658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2.4666666666666668</v>
      </c>
      <c r="BY11" s="12">
        <f>IF('Données projet'!$A$114&gt;35,BY10+BX11-CG10,IF(A11&lt;'Données projet'!$A$114,$BV$205^A11,IF(A11='Données projet'!$A$114,'Données projet'!$B$114,BY10+BX11-CG10)))</f>
        <v>6.8607919984549888</v>
      </c>
      <c r="BZ11" s="13">
        <f>BY11*VLOOKUP('Données projet'!$B$12,Paramètres!$A$1:$I$89,3,0)*VLOOKUP('Données projet'!$B$12,Paramètres!$A$1:$I$89,5,0)</f>
        <v>4.4951909173877089</v>
      </c>
      <c r="CA11" s="13">
        <f t="shared" si="39"/>
        <v>1.7390830520969034</v>
      </c>
      <c r="CB11" s="20">
        <f t="shared" si="10"/>
        <v>10.858027163519033</v>
      </c>
      <c r="CC11" s="59">
        <f t="shared" si="11"/>
        <v>304.19136049685233</v>
      </c>
      <c r="CD11" s="59">
        <f ca="1">AVERAGE(OFFSET($CC$3,0,0,'Données projet'!$E$12+1,1))-AVERAGE(OFFSET($H$3,0,0,'Données projet'!$E$12+1,1))</f>
        <v>119.88584888779422</v>
      </c>
      <c r="CE11" s="59">
        <f t="shared" si="40"/>
        <v>162.97244314258774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</v>
      </c>
      <c r="CT11" s="12">
        <f>IF('Données projet'!$A$140&gt;35,CT10+CS11-DB10,IF(A11&lt;'Données projet'!$A$140,$CQ$205^A11,IF(A11='Données projet'!$A$140,'Données projet'!$B$140,CT10+CS11-DB10)))</f>
        <v>26</v>
      </c>
      <c r="CU11" s="17">
        <f>CT11*VLOOKUP('Données projet'!$B$13,Paramètres!$A$1:$I$89,3,0)*VLOOKUP('Données projet'!$B$13,Paramètres!$A$1:$I$89,5,0)</f>
        <v>26.364000000000004</v>
      </c>
      <c r="CV11" s="13">
        <f t="shared" si="41"/>
        <v>8.3015206428460289</v>
      </c>
      <c r="CW11" s="20">
        <f t="shared" si="13"/>
        <v>60.375781786290162</v>
      </c>
      <c r="CX11" s="59">
        <f t="shared" si="14"/>
        <v>353.70911511962345</v>
      </c>
      <c r="CY11" s="59">
        <f ca="1">AVERAGE(OFFSET($CX$3,0,0,'Données projet'!$E$13+1,1))-AVERAGE(OFFSET($H$3,0,0,'Données projet'!$E$13+1,1))</f>
        <v>261.75887764015459</v>
      </c>
      <c r="CZ11" s="59">
        <f t="shared" si="42"/>
        <v>209.74127356028544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2.4666666666666668</v>
      </c>
      <c r="DO11" s="12">
        <f>IF('Données projet'!$A$166&gt;35,DO10+DN11-DW10,IF(A11&lt;'Données projet'!$A$166,$DL$205^A11,IF(A11='Données projet'!$A$166,'Données projet'!$B$166,DO10+DN11-DW10)))</f>
        <v>6.8607919984549888</v>
      </c>
      <c r="DP11" s="17">
        <f>DO11*VLOOKUP('Données projet'!$B$14,Paramètres!$A$1:$I$89,3,0)*VLOOKUP('Données projet'!$B$14,Paramètres!$A$1:$I$89,5,0)</f>
        <v>5.4584461139707896</v>
      </c>
      <c r="DQ11" s="13">
        <f t="shared" si="43"/>
        <v>2.0645540509389519</v>
      </c>
      <c r="DR11" s="20">
        <f t="shared" si="16"/>
        <v>13.102558620551131</v>
      </c>
      <c r="DS11" s="59">
        <f t="shared" si="17"/>
        <v>306.43589195388444</v>
      </c>
      <c r="DT11" s="59">
        <f ca="1">AVERAGE(OFFSET($DS$3,0,0,'Données projet'!$E$14+1,1))-AVERAGE(OFFSET($H$3,0,0,'Données projet'!$E$14+1,1))</f>
        <v>215.37468832969444</v>
      </c>
      <c r="DU11" s="59">
        <f t="shared" si="44"/>
        <v>208.60212063136419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2.4666666666666668</v>
      </c>
      <c r="EJ11" s="12">
        <f>IF('Données projet'!$A$192&gt;35,EJ10+EI11-ER10,IF(A11&lt;'Données projet'!$A$192,$EG$205^A11,IF(A11='Données projet'!$A$192,'Données projet'!$B$192,EJ10+EI11-ER10)))</f>
        <v>6.8607919984549888</v>
      </c>
      <c r="EK11" s="17">
        <f>EJ11*VLOOKUP('Données projet'!$B$15,Paramètres!$A$1:$I$89,3,0)*VLOOKUP('Données projet'!$B$15,Paramètres!$A$1:$I$89,5,0)</f>
        <v>5.4584461139707896</v>
      </c>
      <c r="EL11" s="13">
        <f t="shared" si="45"/>
        <v>2.0645540509389519</v>
      </c>
      <c r="EM11" s="20">
        <f t="shared" si="19"/>
        <v>13.102558620551131</v>
      </c>
      <c r="EN11" s="59">
        <f t="shared" si="20"/>
        <v>306.43589195388444</v>
      </c>
      <c r="EO11" s="59">
        <f ca="1">AVERAGE(OFFSET($EN$3,0,0,'Données projet'!$E$15+1,1))-AVERAGE(OFFSET($H$3,0,0,'Données projet'!$E$15+1,1))</f>
        <v>215.37468832969444</v>
      </c>
      <c r="EP11" s="59">
        <f t="shared" si="46"/>
        <v>208.60212063136419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2.4666666666666668</v>
      </c>
      <c r="FE11" s="12">
        <f>IF('Données projet'!$A$218&gt;35,FE10+FD11-FM10,IF(A11&lt;'Données projet'!$A$218,$FB$205^A11,IF(A11='Données projet'!$A$218,'Données projet'!$B$218,FE10+FD11-FM10)))</f>
        <v>6.8607919984549888</v>
      </c>
      <c r="FF11" s="17">
        <f>FE11*VLOOKUP('Données projet'!$B$16,Paramètres!$A$1:$I$89,3,0)*VLOOKUP('Données projet'!$B$16,Paramètres!$A$1:$I$89,5,0)</f>
        <v>5.5654744691466869</v>
      </c>
      <c r="FG11" s="13">
        <f t="shared" si="47"/>
        <v>2.10028293749169</v>
      </c>
      <c r="FH11" s="20">
        <f t="shared" si="22"/>
        <v>13.351194149895173</v>
      </c>
      <c r="FI11" s="59">
        <f t="shared" si="23"/>
        <v>306.68452748322846</v>
      </c>
      <c r="FJ11" s="59">
        <f ca="1">AVERAGE(OFFSET($FI$3,0,0,'Données projet'!$E$16+1,1))-AVERAGE(OFFSET($H$3,0,0,'Données projet'!$E$16+1,1))</f>
        <v>220.90439367987847</v>
      </c>
      <c r="FK11" s="59">
        <f t="shared" si="48"/>
        <v>213.66046131354858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1">
        <f t="shared" si="32"/>
        <v>2.6694770761469542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67">
        <f t="shared" si="1"/>
        <v>310.69823257428925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1.7</v>
      </c>
      <c r="N12" s="13">
        <f>IF('Données projet'!$A$36&gt;35,N11+M12-V11,IF(A12&lt;'Données projet'!$A$36,$K$205^A12,IF(A12='Données projet'!$A$36,'Données projet'!$B$36,N11+M12-V11)))</f>
        <v>14.799999999999997</v>
      </c>
      <c r="O12" s="13">
        <f>N12*VLOOKUP('Données projet'!$B$9,Paramètres!$A$1:$I$89,3,0)*VLOOKUP('Données projet'!$B$9,Paramètres!$A$1:$I$89,5,0)</f>
        <v>6.9263999999999983</v>
      </c>
      <c r="P12" s="13">
        <f t="shared" si="33"/>
        <v>2.5481474340493011</v>
      </c>
      <c r="Q12" s="20">
        <f t="shared" si="2"/>
        <v>16.501503447635862</v>
      </c>
      <c r="R12" s="59">
        <f t="shared" si="0"/>
        <v>309.83483678096917</v>
      </c>
      <c r="S12" s="59">
        <f ca="1">AVERAGE(OFFSET($R$3,0,0,'Données projet'!$E$9+1,1))-AVERAGE(OFFSET($H$3,0,0,'Données projet'!$E$9+1,1))</f>
        <v>196.72624686715807</v>
      </c>
      <c r="T12" s="59">
        <f t="shared" si="34"/>
        <v>37.315661698104691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</v>
      </c>
      <c r="AI12" s="13">
        <f>IF('Données projet'!$A$62&gt;35,AI11+AH12-AQ11,IF(A12&lt;'Données projet'!$A$62,$AF$205^A12,IF(A12='Données projet'!$A$62,'Données projet'!$B$62,AI11+AH12-AQ11)))</f>
        <v>28</v>
      </c>
      <c r="AJ12" s="13">
        <f>AI12*VLOOKUP('Données projet'!$B$10,Paramètres!$A$1:$I$89,3,0)*VLOOKUP('Données projet'!$B$10,Paramètres!$A$1:$I$89,5,0)</f>
        <v>15.651999999999999</v>
      </c>
      <c r="AK12" s="13">
        <f t="shared" si="35"/>
        <v>5.2368963077179416</v>
      </c>
      <c r="AL12" s="20">
        <f t="shared" si="4"/>
        <v>36.381494402608745</v>
      </c>
      <c r="AM12" s="59">
        <f t="shared" si="5"/>
        <v>329.71482773594204</v>
      </c>
      <c r="AN12" s="59">
        <f ca="1">AVERAGE(OFFSET($AM$3,0,0,'Données projet'!$E$10+1,1))-AVERAGE(OFFSET($H$3,0,0,'Données projet'!$E$10+1,1))</f>
        <v>325.42940802362739</v>
      </c>
      <c r="AO12" s="59">
        <f t="shared" si="36"/>
        <v>388.87198417542277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6.4</v>
      </c>
      <c r="BD12" s="12">
        <f>IF('Données projet'!$A$88&gt;35,BD11+BC12-BL11,IF(A12&lt;'Données projet'!$A$88,$BA$205^A12,IF(A12='Données projet'!$A$88,'Données projet'!$B$88,BD11+BC12-BL11)))</f>
        <v>30.6</v>
      </c>
      <c r="BE12" s="13">
        <f>BD12*VLOOKUP('Données projet'!$B$11,Paramètres!$A$1:$I$89,3,0)*VLOOKUP('Données projet'!$B$11,Paramètres!$A$1:$I$89,5,0)</f>
        <v>19.0944</v>
      </c>
      <c r="BF12" s="13">
        <f t="shared" si="37"/>
        <v>6.2425297501179688</v>
      </c>
      <c r="BG12" s="20">
        <f t="shared" si="7"/>
        <v>44.128485981455462</v>
      </c>
      <c r="BH12" s="59">
        <f t="shared" si="8"/>
        <v>337.46181931478878</v>
      </c>
      <c r="BI12" s="59">
        <f ca="1">AVERAGE(OFFSET($BH$3,0,0,'Données projet'!$E$11+1,1))-AVERAGE(OFFSET($H$3,0,0,'Données projet'!$E$11+1,1))</f>
        <v>162.87524915738271</v>
      </c>
      <c r="BJ12" s="59">
        <f t="shared" si="38"/>
        <v>249.37880137966658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2.4666666666666668</v>
      </c>
      <c r="BY12" s="12">
        <f>IF('Données projet'!$A$114&gt;35,BY11+BX12-CG11,IF(A12&lt;'Données projet'!$A$114,$BV$205^A12,IF(A12='Données projet'!$A$114,'Données projet'!$B$114,BY11+BX12-CG11)))</f>
        <v>8.7281265486761299</v>
      </c>
      <c r="BZ12" s="13">
        <f>BY12*VLOOKUP('Données projet'!$B$12,Paramètres!$A$1:$I$89,3,0)*VLOOKUP('Données projet'!$B$12,Paramètres!$A$1:$I$89,5,0)</f>
        <v>5.7186685146926006</v>
      </c>
      <c r="CA12" s="13">
        <f t="shared" si="39"/>
        <v>2.1512845537982104</v>
      </c>
      <c r="CB12" s="20">
        <f t="shared" si="10"/>
        <v>13.706834927621495</v>
      </c>
      <c r="CC12" s="59">
        <f t="shared" si="11"/>
        <v>307.04016826095483</v>
      </c>
      <c r="CD12" s="59">
        <f ca="1">AVERAGE(OFFSET($CC$3,0,0,'Données projet'!$E$12+1,1))-AVERAGE(OFFSET($H$3,0,0,'Données projet'!$E$12+1,1))</f>
        <v>119.88584888779422</v>
      </c>
      <c r="CE12" s="59">
        <f t="shared" si="40"/>
        <v>162.97244314258774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</v>
      </c>
      <c r="CT12" s="12">
        <f>IF('Données projet'!$A$140&gt;35,CT11+CS12-DB11,IF(A12&lt;'Données projet'!$A$140,$CQ$205^A12,IF(A12='Données projet'!$A$140,'Données projet'!$B$140,CT11+CS12-DB11)))</f>
        <v>30</v>
      </c>
      <c r="CU12" s="17">
        <f>CT12*VLOOKUP('Données projet'!$B$13,Paramètres!$A$1:$I$89,3,0)*VLOOKUP('Données projet'!$B$13,Paramètres!$A$1:$I$89,5,0)</f>
        <v>30.42</v>
      </c>
      <c r="CV12" s="13">
        <f t="shared" si="41"/>
        <v>9.4204476947792024</v>
      </c>
      <c r="CW12" s="20">
        <f t="shared" si="13"/>
        <v>69.388779735073783</v>
      </c>
      <c r="CX12" s="59">
        <f t="shared" si="14"/>
        <v>362.72211306840711</v>
      </c>
      <c r="CY12" s="59">
        <f ca="1">AVERAGE(OFFSET($CX$3,0,0,'Données projet'!$E$13+1,1))-AVERAGE(OFFSET($H$3,0,0,'Données projet'!$E$13+1,1))</f>
        <v>261.75887764015459</v>
      </c>
      <c r="CZ12" s="59">
        <f t="shared" si="42"/>
        <v>209.74127356028544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2.4666666666666668</v>
      </c>
      <c r="DO12" s="12">
        <f>IF('Données projet'!$A$166&gt;35,DO11+DN12-DW11,IF(A12&lt;'Données projet'!$A$166,$DL$205^A12,IF(A12='Données projet'!$A$166,'Données projet'!$B$166,DO11+DN12-DW11)))</f>
        <v>8.7281265486761299</v>
      </c>
      <c r="DP12" s="17">
        <f>DO12*VLOOKUP('Données projet'!$B$14,Paramètres!$A$1:$I$89,3,0)*VLOOKUP('Données projet'!$B$14,Paramètres!$A$1:$I$89,5,0)</f>
        <v>6.9440974821267289</v>
      </c>
      <c r="DQ12" s="13">
        <f t="shared" si="43"/>
        <v>2.5538994442566798</v>
      </c>
      <c r="DR12" s="20">
        <f t="shared" si="16"/>
        <v>16.542344646784436</v>
      </c>
      <c r="DS12" s="59">
        <f t="shared" si="17"/>
        <v>309.87567798011776</v>
      </c>
      <c r="DT12" s="59">
        <f ca="1">AVERAGE(OFFSET($DS$3,0,0,'Données projet'!$E$14+1,1))-AVERAGE(OFFSET($H$3,0,0,'Données projet'!$E$14+1,1))</f>
        <v>215.37468832969444</v>
      </c>
      <c r="DU12" s="59">
        <f t="shared" si="44"/>
        <v>208.60212063136419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2.4666666666666668</v>
      </c>
      <c r="EJ12" s="12">
        <f>IF('Données projet'!$A$192&gt;35,EJ11+EI12-ER11,IF(A12&lt;'Données projet'!$A$192,$EG$205^A12,IF(A12='Données projet'!$A$192,'Données projet'!$B$192,EJ11+EI12-ER11)))</f>
        <v>8.7281265486761299</v>
      </c>
      <c r="EK12" s="17">
        <f>EJ12*VLOOKUP('Données projet'!$B$15,Paramètres!$A$1:$I$89,3,0)*VLOOKUP('Données projet'!$B$15,Paramètres!$A$1:$I$89,5,0)</f>
        <v>6.9440974821267289</v>
      </c>
      <c r="EL12" s="13">
        <f t="shared" si="45"/>
        <v>2.5538994442566798</v>
      </c>
      <c r="EM12" s="20">
        <f t="shared" si="19"/>
        <v>16.542344646784436</v>
      </c>
      <c r="EN12" s="59">
        <f t="shared" si="20"/>
        <v>309.87567798011776</v>
      </c>
      <c r="EO12" s="59">
        <f ca="1">AVERAGE(OFFSET($EN$3,0,0,'Données projet'!$E$15+1,1))-AVERAGE(OFFSET($H$3,0,0,'Données projet'!$E$15+1,1))</f>
        <v>215.37468832969444</v>
      </c>
      <c r="EP12" s="59">
        <f t="shared" si="46"/>
        <v>208.60212063136419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2.4666666666666668</v>
      </c>
      <c r="FE12" s="12">
        <f>IF('Données projet'!$A$218&gt;35,FE11+FD12-FM11,IF(A12&lt;'Données projet'!$A$218,$FB$205^A12,IF(A12='Données projet'!$A$218,'Données projet'!$B$218,FE11+FD12-FM11)))</f>
        <v>8.7281265486761299</v>
      </c>
      <c r="FF12" s="17">
        <f>FE12*VLOOKUP('Données projet'!$B$16,Paramètres!$A$1:$I$89,3,0)*VLOOKUP('Données projet'!$B$16,Paramètres!$A$1:$I$89,5,0)</f>
        <v>7.0802562562860771</v>
      </c>
      <c r="FG12" s="13">
        <f t="shared" si="47"/>
        <v>2.5980968744326778</v>
      </c>
      <c r="FH12" s="20">
        <f t="shared" si="22"/>
        <v>16.856465036001829</v>
      </c>
      <c r="FI12" s="59">
        <f t="shared" si="23"/>
        <v>310.18979836933516</v>
      </c>
      <c r="FJ12" s="59">
        <f ca="1">AVERAGE(OFFSET($FI$3,0,0,'Données projet'!$E$16+1,1))-AVERAGE(OFFSET($H$3,0,0,'Données projet'!$E$16+1,1))</f>
        <v>220.90439367987847</v>
      </c>
      <c r="FK12" s="59">
        <f t="shared" si="48"/>
        <v>213.66046131354858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1">
        <f t="shared" si="32"/>
        <v>2.9299318202987461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67">
        <f t="shared" si="1"/>
        <v>312.56469792035364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1.7</v>
      </c>
      <c r="N13" s="13">
        <f>IF('Données projet'!$A$36&gt;35,N12+M13-V12,IF(A13&lt;'Données projet'!$A$36,$K$205^A13,IF(A13='Données projet'!$A$36,'Données projet'!$B$36,N12+M13-V12)))</f>
        <v>16.499999999999996</v>
      </c>
      <c r="O13" s="13">
        <f>N13*VLOOKUP('Données projet'!$B$9,Paramètres!$A$1:$I$89,3,0)*VLOOKUP('Données projet'!$B$9,Paramètres!$A$1:$I$89,5,0)</f>
        <v>7.7219999999999986</v>
      </c>
      <c r="P13" s="13">
        <f t="shared" si="33"/>
        <v>2.8051114037929969</v>
      </c>
      <c r="Q13" s="20">
        <f t="shared" si="2"/>
        <v>18.334719028272797</v>
      </c>
      <c r="R13" s="59">
        <f t="shared" si="0"/>
        <v>311.6680523616061</v>
      </c>
      <c r="S13" s="59">
        <f ca="1">AVERAGE(OFFSET($R$3,0,0,'Données projet'!$E$9+1,1))-AVERAGE(OFFSET($H$3,0,0,'Données projet'!$E$9+1,1))</f>
        <v>196.72624686715807</v>
      </c>
      <c r="T13" s="59">
        <f t="shared" si="34"/>
        <v>37.315661698104691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32</v>
      </c>
      <c r="AG13" s="12">
        <f>VLOOKUP(A13,'Données projet'!$A$61:$I$81,9,0)</f>
        <v>3</v>
      </c>
      <c r="AH13" s="12">
        <f t="array" ref="AH13">INDEX(AG:AG,MIN(IF(ISNUMBER(AG13:AG209),ROW(AG13:AG209),"")))</f>
        <v>3</v>
      </c>
      <c r="AI13" s="13">
        <f>IF('Données projet'!$A$62&gt;35,AI12+AH13-AQ12,IF(A13&lt;'Données projet'!$A$62,$AF$205^A13,IF(A13='Données projet'!$A$62,'Données projet'!$B$62,AI12+AH13-AQ12)))</f>
        <v>31</v>
      </c>
      <c r="AJ13" s="13">
        <f>AI13*VLOOKUP('Données projet'!$B$10,Paramètres!$A$1:$I$89,3,0)*VLOOKUP('Données projet'!$B$10,Paramètres!$A$1:$I$89,5,0)</f>
        <v>17.329000000000001</v>
      </c>
      <c r="AK13" s="13">
        <f t="shared" si="35"/>
        <v>5.7297059045690366</v>
      </c>
      <c r="AL13" s="20">
        <f t="shared" si="4"/>
        <v>40.160579450457739</v>
      </c>
      <c r="AM13" s="59">
        <f t="shared" si="5"/>
        <v>333.49391278379107</v>
      </c>
      <c r="AN13" s="59">
        <f ca="1">AVERAGE(OFFSET($AM$3,0,0,'Données projet'!$E$10+1,1))-AVERAGE(OFFSET($H$3,0,0,'Données projet'!$E$10+1,1))</f>
        <v>325.42940802362739</v>
      </c>
      <c r="AO13" s="59">
        <f t="shared" si="36"/>
        <v>388.87198417542277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38</v>
      </c>
      <c r="BB13" s="12">
        <f>VLOOKUP(A13,'Données projet'!$A$87:$I$107,9,0)</f>
        <v>6.4</v>
      </c>
      <c r="BC13" s="12">
        <f t="array" ref="BC13">INDEX(BB:BB,MIN(IF(ISNUMBER(BB13:BB209),ROW(BB13:BB209),"")))</f>
        <v>6.4</v>
      </c>
      <c r="BD13" s="12">
        <f>IF('Données projet'!$A$88&gt;35,BD12+BC13-BL12,IF(A13&lt;'Données projet'!$A$88,$BA$205^A13,IF(A13='Données projet'!$A$88,'Données projet'!$B$88,BD12+BC13-BL12)))</f>
        <v>37</v>
      </c>
      <c r="BE13" s="13">
        <f>BD13*VLOOKUP('Données projet'!$B$11,Paramètres!$A$1:$I$89,3,0)*VLOOKUP('Données projet'!$B$11,Paramètres!$A$1:$I$89,5,0)</f>
        <v>23.087999999999997</v>
      </c>
      <c r="BF13" s="13">
        <f t="shared" si="37"/>
        <v>7.3831248366439288</v>
      </c>
      <c r="BG13" s="20">
        <f t="shared" si="7"/>
        <v>53.070542423821507</v>
      </c>
      <c r="BH13" s="59">
        <f t="shared" si="8"/>
        <v>346.40387575715482</v>
      </c>
      <c r="BI13" s="59">
        <f ca="1">AVERAGE(OFFSET($BH$3,0,0,'Données projet'!$E$11+1,1))-AVERAGE(OFFSET($H$3,0,0,'Données projet'!$E$11+1,1))</f>
        <v>162.87524915738271</v>
      </c>
      <c r="BJ13" s="59">
        <f t="shared" si="38"/>
        <v>249.37880137966658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2.4666666666666668</v>
      </c>
      <c r="BY13" s="12">
        <f>IF('Données projet'!$A$114&gt;35,BY12+BX13-CG12,IF(A13&lt;'Données projet'!$A$114,$BV$205^A13,IF(A13='Données projet'!$A$114,'Données projet'!$B$114,BY12+BX13-CG12)))</f>
        <v>11.103702468586782</v>
      </c>
      <c r="BZ13" s="13">
        <f>BY13*VLOOKUP('Données projet'!$B$12,Paramètres!$A$1:$I$89,3,0)*VLOOKUP('Données projet'!$B$12,Paramètres!$A$1:$I$89,5,0)</f>
        <v>7.2751458574180594</v>
      </c>
      <c r="CA13" s="13">
        <f t="shared" si="39"/>
        <v>2.6611870122191768</v>
      </c>
      <c r="CB13" s="20">
        <f t="shared" si="10"/>
        <v>17.305779747951522</v>
      </c>
      <c r="CC13" s="59">
        <f t="shared" si="11"/>
        <v>310.63911308128485</v>
      </c>
      <c r="CD13" s="59">
        <f ca="1">AVERAGE(OFFSET($CC$3,0,0,'Données projet'!$E$12+1,1))-AVERAGE(OFFSET($H$3,0,0,'Données projet'!$E$12+1,1))</f>
        <v>119.88584888779422</v>
      </c>
      <c r="CE13" s="59">
        <f t="shared" si="40"/>
        <v>162.97244314258774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</v>
      </c>
      <c r="CT13" s="12">
        <f>IF('Données projet'!$A$140&gt;35,CT12+CS13-DB12,IF(A13&lt;'Données projet'!$A$140,$CQ$205^A13,IF(A13='Données projet'!$A$140,'Données projet'!$B$140,CT12+CS13-DB12)))</f>
        <v>34</v>
      </c>
      <c r="CU13" s="17">
        <f>CT13*VLOOKUP('Données projet'!$B$13,Paramètres!$A$1:$I$89,3,0)*VLOOKUP('Données projet'!$B$13,Paramètres!$A$1:$I$89,5,0)</f>
        <v>34.476000000000006</v>
      </c>
      <c r="CV13" s="13">
        <f t="shared" si="41"/>
        <v>10.522089050688551</v>
      </c>
      <c r="CW13" s="20">
        <f t="shared" si="13"/>
        <v>78.371671763282563</v>
      </c>
      <c r="CX13" s="59">
        <f t="shared" si="14"/>
        <v>371.70500509661588</v>
      </c>
      <c r="CY13" s="59">
        <f ca="1">AVERAGE(OFFSET($CX$3,0,0,'Données projet'!$E$13+1,1))-AVERAGE(OFFSET($H$3,0,0,'Données projet'!$E$13+1,1))</f>
        <v>261.75887764015459</v>
      </c>
      <c r="CZ13" s="59">
        <f t="shared" si="42"/>
        <v>209.74127356028544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2.4666666666666668</v>
      </c>
      <c r="DO13" s="12">
        <f>IF('Données projet'!$A$166&gt;35,DO12+DN13-DW12,IF(A13&lt;'Données projet'!$A$166,$DL$205^A13,IF(A13='Données projet'!$A$166,'Données projet'!$B$166,DO12+DN13-DW12)))</f>
        <v>11.103702468586782</v>
      </c>
      <c r="DP13" s="17">
        <f>DO13*VLOOKUP('Données projet'!$B$14,Paramètres!$A$1:$I$89,3,0)*VLOOKUP('Données projet'!$B$14,Paramètres!$A$1:$I$89,5,0)</f>
        <v>8.8341056840076444</v>
      </c>
      <c r="DQ13" s="13">
        <f t="shared" si="43"/>
        <v>3.1592306185484516</v>
      </c>
      <c r="DR13" s="20">
        <f t="shared" si="16"/>
        <v>20.888394060285197</v>
      </c>
      <c r="DS13" s="59">
        <f t="shared" si="17"/>
        <v>314.22172739361849</v>
      </c>
      <c r="DT13" s="59">
        <f ca="1">AVERAGE(OFFSET($DS$3,0,0,'Données projet'!$E$14+1,1))-AVERAGE(OFFSET($H$3,0,0,'Données projet'!$E$14+1,1))</f>
        <v>215.37468832969444</v>
      </c>
      <c r="DU13" s="59">
        <f t="shared" si="44"/>
        <v>208.60212063136419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2.4666666666666668</v>
      </c>
      <c r="EJ13" s="12">
        <f>IF('Données projet'!$A$192&gt;35,EJ12+EI13-ER12,IF(A13&lt;'Données projet'!$A$192,$EG$205^A13,IF(A13='Données projet'!$A$192,'Données projet'!$B$192,EJ12+EI13-ER12)))</f>
        <v>11.103702468586782</v>
      </c>
      <c r="EK13" s="17">
        <f>EJ13*VLOOKUP('Données projet'!$B$15,Paramètres!$A$1:$I$89,3,0)*VLOOKUP('Données projet'!$B$15,Paramètres!$A$1:$I$89,5,0)</f>
        <v>8.8341056840076444</v>
      </c>
      <c r="EL13" s="13">
        <f t="shared" si="45"/>
        <v>3.1592306185484516</v>
      </c>
      <c r="EM13" s="20">
        <f t="shared" si="19"/>
        <v>20.888394060285197</v>
      </c>
      <c r="EN13" s="59">
        <f t="shared" si="20"/>
        <v>314.22172739361849</v>
      </c>
      <c r="EO13" s="59">
        <f ca="1">AVERAGE(OFFSET($EN$3,0,0,'Données projet'!$E$15+1,1))-AVERAGE(OFFSET($H$3,0,0,'Données projet'!$E$15+1,1))</f>
        <v>215.37468832969444</v>
      </c>
      <c r="EP13" s="59">
        <f t="shared" si="46"/>
        <v>208.60212063136419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2.4666666666666668</v>
      </c>
      <c r="FE13" s="12">
        <f>IF('Données projet'!$A$218&gt;35,FE12+FD13-FM12,IF(A13&lt;'Données projet'!$A$218,$FB$205^A13,IF(A13='Données projet'!$A$218,'Données projet'!$B$218,FE12+FD13-FM12)))</f>
        <v>11.103702468586782</v>
      </c>
      <c r="FF13" s="17">
        <f>FE13*VLOOKUP('Données projet'!$B$16,Paramètres!$A$1:$I$89,3,0)*VLOOKUP('Données projet'!$B$16,Paramètres!$A$1:$I$89,5,0)</f>
        <v>9.007323442517599</v>
      </c>
      <c r="FG13" s="13">
        <f t="shared" si="47"/>
        <v>3.2139038262141559</v>
      </c>
      <c r="FH13" s="20">
        <f t="shared" si="22"/>
        <v>21.285304159707806</v>
      </c>
      <c r="FI13" s="59">
        <f t="shared" si="23"/>
        <v>314.61863749304109</v>
      </c>
      <c r="FJ13" s="59">
        <f ca="1">AVERAGE(OFFSET($FI$3,0,0,'Données projet'!$E$16+1,1))-AVERAGE(OFFSET($H$3,0,0,'Données projet'!$E$16+1,1))</f>
        <v>220.90439367987847</v>
      </c>
      <c r="FK13" s="59">
        <f t="shared" si="48"/>
        <v>213.66046131354858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1">
        <f t="shared" si="32"/>
        <v>3.187367140202428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67">
        <f t="shared" si="1"/>
        <v>314.42590443585254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1.7</v>
      </c>
      <c r="N14" s="13">
        <f>IF('Données projet'!$A$36&gt;35,N13+M14-V13,IF(A14&lt;'Données projet'!$A$36,$K$205^A14,IF(A14='Données projet'!$A$36,'Données projet'!$B$36,N13+M14-V13)))</f>
        <v>18.199999999999996</v>
      </c>
      <c r="O14" s="13">
        <f>N14*VLOOKUP('Données projet'!$B$9,Paramètres!$A$1:$I$89,3,0)*VLOOKUP('Données projet'!$B$9,Paramètres!$A$1:$I$89,5,0)</f>
        <v>8.5175999999999981</v>
      </c>
      <c r="P14" s="13">
        <f t="shared" si="33"/>
        <v>3.0590063539379924</v>
      </c>
      <c r="Q14" s="20">
        <f t="shared" si="2"/>
        <v>20.162589399775332</v>
      </c>
      <c r="R14" s="59">
        <f t="shared" si="0"/>
        <v>313.49592273310867</v>
      </c>
      <c r="S14" s="59">
        <f ca="1">AVERAGE(OFFSET($R$3,0,0,'Données projet'!$E$9+1,1))-AVERAGE(OFFSET($H$3,0,0,'Données projet'!$E$9+1,1))</f>
        <v>196.72624686715807</v>
      </c>
      <c r="T14" s="59">
        <f t="shared" si="34"/>
        <v>37.315661698104691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14</v>
      </c>
      <c r="AI14" s="13">
        <f>IF('Données projet'!$A$62&gt;35,AI13+AH14-AQ13,IF(A14&lt;'Données projet'!$A$62,$AF$205^A14,IF(A14='Données projet'!$A$62,'Données projet'!$B$62,AI13+AH14-AQ13)))</f>
        <v>45</v>
      </c>
      <c r="AJ14" s="13">
        <f>AI14*VLOOKUP('Données projet'!$B$10,Paramètres!$A$1:$I$89,3,0)*VLOOKUP('Données projet'!$B$10,Paramètres!$A$1:$I$89,5,0)</f>
        <v>25.155000000000001</v>
      </c>
      <c r="AK14" s="13">
        <f t="shared" si="35"/>
        <v>7.9642285679322837</v>
      </c>
      <c r="AL14" s="20">
        <f t="shared" si="4"/>
        <v>57.682656422482061</v>
      </c>
      <c r="AM14" s="59">
        <f t="shared" si="5"/>
        <v>351.01598975581538</v>
      </c>
      <c r="AN14" s="59">
        <f ca="1">AVERAGE(OFFSET($AM$3,0,0,'Données projet'!$E$10+1,1))-AVERAGE(OFFSET($H$3,0,0,'Données projet'!$E$10+1,1))</f>
        <v>325.42940802362739</v>
      </c>
      <c r="AO14" s="59">
        <f t="shared" si="36"/>
        <v>388.87198417542277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9.25</v>
      </c>
      <c r="BD14" s="12">
        <f>IF('Données projet'!$A$88&gt;35,BD13+BC14-BL13,IF(A14&lt;'Données projet'!$A$88,$BA$205^A14,IF(A14='Données projet'!$A$88,'Données projet'!$B$88,BD13+BC14-BL13)))</f>
        <v>46.25</v>
      </c>
      <c r="BE14" s="13">
        <f>BD14*VLOOKUP('Données projet'!$B$11,Paramètres!$A$1:$I$89,3,0)*VLOOKUP('Données projet'!$B$11,Paramètres!$A$1:$I$89,5,0)</f>
        <v>28.86</v>
      </c>
      <c r="BF14" s="13">
        <f t="shared" si="37"/>
        <v>8.9922816103350698</v>
      </c>
      <c r="BG14" s="20">
        <f t="shared" si="7"/>
        <v>65.926057138000246</v>
      </c>
      <c r="BH14" s="59">
        <f t="shared" si="8"/>
        <v>359.25939047133357</v>
      </c>
      <c r="BI14" s="59">
        <f ca="1">AVERAGE(OFFSET($BH$3,0,0,'Données projet'!$E$11+1,1))-AVERAGE(OFFSET($H$3,0,0,'Données projet'!$E$11+1,1))</f>
        <v>162.87524915738271</v>
      </c>
      <c r="BJ14" s="59">
        <f t="shared" si="38"/>
        <v>249.37880137966658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2.4666666666666668</v>
      </c>
      <c r="BY14" s="12">
        <f>IF('Données projet'!$A$114&gt;35,BY13+BX14-CG13,IF(A14&lt;'Données projet'!$A$114,$BV$205^A14,IF(A14='Données projet'!$A$114,'Données projet'!$B$114,BY13+BX14-CG13)))</f>
        <v>14.125850240977657</v>
      </c>
      <c r="BZ14" s="13">
        <f>BY14*VLOOKUP('Données projet'!$B$12,Paramètres!$A$1:$I$89,3,0)*VLOOKUP('Données projet'!$B$12,Paramètres!$A$1:$I$89,5,0)</f>
        <v>9.2552570778885617</v>
      </c>
      <c r="CA14" s="13">
        <f t="shared" si="39"/>
        <v>3.2919477349012349</v>
      </c>
      <c r="CB14" s="20">
        <f t="shared" si="10"/>
        <v>21.853048382275563</v>
      </c>
      <c r="CC14" s="59">
        <f t="shared" si="11"/>
        <v>315.18638171560889</v>
      </c>
      <c r="CD14" s="59">
        <f ca="1">AVERAGE(OFFSET($CC$3,0,0,'Données projet'!$E$12+1,1))-AVERAGE(OFFSET($H$3,0,0,'Données projet'!$E$12+1,1))</f>
        <v>119.88584888779422</v>
      </c>
      <c r="CE14" s="59">
        <f t="shared" si="40"/>
        <v>162.97244314258774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</v>
      </c>
      <c r="CT14" s="12">
        <f>IF('Données projet'!$A$140&gt;35,CT13+CS14-DB13,IF(A14&lt;'Données projet'!$A$140,$CQ$205^A14,IF(A14='Données projet'!$A$140,'Données projet'!$B$140,CT13+CS14-DB13)))</f>
        <v>38</v>
      </c>
      <c r="CU14" s="17">
        <f>CT14*VLOOKUP('Données projet'!$B$13,Paramètres!$A$1:$I$89,3,0)*VLOOKUP('Données projet'!$B$13,Paramètres!$A$1:$I$89,5,0)</f>
        <v>38.532000000000004</v>
      </c>
      <c r="CV14" s="13">
        <f t="shared" si="41"/>
        <v>11.608710688584155</v>
      </c>
      <c r="CW14" s="20">
        <f t="shared" si="13"/>
        <v>87.328404449284065</v>
      </c>
      <c r="CX14" s="59">
        <f t="shared" si="14"/>
        <v>380.66173778261737</v>
      </c>
      <c r="CY14" s="59">
        <f ca="1">AVERAGE(OFFSET($CX$3,0,0,'Données projet'!$E$13+1,1))-AVERAGE(OFFSET($H$3,0,0,'Données projet'!$E$13+1,1))</f>
        <v>261.75887764015459</v>
      </c>
      <c r="CZ14" s="59">
        <f t="shared" si="42"/>
        <v>209.74127356028544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2.4666666666666668</v>
      </c>
      <c r="DO14" s="12">
        <f>IF('Données projet'!$A$166&gt;35,DO13+DN14-DW13,IF(A14&lt;'Données projet'!$A$166,$DL$205^A14,IF(A14='Données projet'!$A$166,'Données projet'!$B$166,DO13+DN14-DW13)))</f>
        <v>14.125850240977657</v>
      </c>
      <c r="DP14" s="17">
        <f>DO14*VLOOKUP('Données projet'!$B$14,Paramètres!$A$1:$I$89,3,0)*VLOOKUP('Données projet'!$B$14,Paramètres!$A$1:$I$89,5,0)</f>
        <v>11.238526451721825</v>
      </c>
      <c r="DQ14" s="13">
        <f t="shared" si="43"/>
        <v>3.9080387928425129</v>
      </c>
      <c r="DR14" s="20">
        <f t="shared" si="16"/>
        <v>26.380267800949554</v>
      </c>
      <c r="DS14" s="59">
        <f t="shared" si="17"/>
        <v>319.71360113428284</v>
      </c>
      <c r="DT14" s="59">
        <f ca="1">AVERAGE(OFFSET($DS$3,0,0,'Données projet'!$E$14+1,1))-AVERAGE(OFFSET($H$3,0,0,'Données projet'!$E$14+1,1))</f>
        <v>215.37468832969444</v>
      </c>
      <c r="DU14" s="59">
        <f t="shared" si="44"/>
        <v>208.60212063136419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2.4666666666666668</v>
      </c>
      <c r="EJ14" s="12">
        <f>IF('Données projet'!$A$192&gt;35,EJ13+EI14-ER13,IF(A14&lt;'Données projet'!$A$192,$EG$205^A14,IF(A14='Données projet'!$A$192,'Données projet'!$B$192,EJ13+EI14-ER13)))</f>
        <v>14.125850240977657</v>
      </c>
      <c r="EK14" s="17">
        <f>EJ14*VLOOKUP('Données projet'!$B$15,Paramètres!$A$1:$I$89,3,0)*VLOOKUP('Données projet'!$B$15,Paramètres!$A$1:$I$89,5,0)</f>
        <v>11.238526451721825</v>
      </c>
      <c r="EL14" s="13">
        <f t="shared" si="45"/>
        <v>3.9080387928425129</v>
      </c>
      <c r="EM14" s="20">
        <f t="shared" si="19"/>
        <v>26.380267800949554</v>
      </c>
      <c r="EN14" s="59">
        <f t="shared" si="20"/>
        <v>319.71360113428284</v>
      </c>
      <c r="EO14" s="59">
        <f ca="1">AVERAGE(OFFSET($EN$3,0,0,'Données projet'!$E$15+1,1))-AVERAGE(OFFSET($H$3,0,0,'Données projet'!$E$15+1,1))</f>
        <v>215.37468832969444</v>
      </c>
      <c r="EP14" s="59">
        <f t="shared" si="46"/>
        <v>208.60212063136419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2.4666666666666668</v>
      </c>
      <c r="FE14" s="12">
        <f>IF('Données projet'!$A$218&gt;35,FE13+FD14-FM13,IF(A14&lt;'Données projet'!$A$218,$FB$205^A14,IF(A14='Données projet'!$A$218,'Données projet'!$B$218,FE13+FD14-FM13)))</f>
        <v>14.125850240977657</v>
      </c>
      <c r="FF14" s="17">
        <f>FE14*VLOOKUP('Données projet'!$B$16,Paramètres!$A$1:$I$89,3,0)*VLOOKUP('Données projet'!$B$16,Paramètres!$A$1:$I$89,5,0)</f>
        <v>11.458889715481076</v>
      </c>
      <c r="FG14" s="13">
        <f t="shared" si="47"/>
        <v>3.9756707710945065</v>
      </c>
      <c r="FH14" s="20">
        <f t="shared" si="22"/>
        <v>26.881859514119139</v>
      </c>
      <c r="FI14" s="59">
        <f t="shared" si="23"/>
        <v>320.21519284745244</v>
      </c>
      <c r="FJ14" s="59">
        <f ca="1">AVERAGE(OFFSET($FI$3,0,0,'Données projet'!$E$16+1,1))-AVERAGE(OFFSET($H$3,0,0,'Données projet'!$E$16+1,1))</f>
        <v>220.90439367987847</v>
      </c>
      <c r="FK14" s="59">
        <f t="shared" si="48"/>
        <v>213.66046131354858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1">
        <f t="shared" si="32"/>
        <v>3.442088746331315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67">
        <f t="shared" si="1"/>
        <v>316.28238456652701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1.7</v>
      </c>
      <c r="N15" s="13">
        <f>IF('Données projet'!$A$36&gt;35,N14+M15-V14,IF(A15&lt;'Données projet'!$A$36,$K$205^A15,IF(A15='Données projet'!$A$36,'Données projet'!$B$36,N14+M15-V14)))</f>
        <v>19.899999999999995</v>
      </c>
      <c r="O15" s="13">
        <f>N15*VLOOKUP('Données projet'!$B$9,Paramètres!$A$1:$I$89,3,0)*VLOOKUP('Données projet'!$B$9,Paramètres!$A$1:$I$89,5,0)</f>
        <v>9.3131999999999984</v>
      </c>
      <c r="P15" s="13">
        <f t="shared" si="33"/>
        <v>3.3101515595395323</v>
      </c>
      <c r="Q15" s="20">
        <f t="shared" si="2"/>
        <v>21.985670632864682</v>
      </c>
      <c r="R15" s="59">
        <f t="shared" si="0"/>
        <v>315.31900396619801</v>
      </c>
      <c r="S15" s="59">
        <f ca="1">AVERAGE(OFFSET($R$3,0,0,'Données projet'!$E$9+1,1))-AVERAGE(OFFSET($H$3,0,0,'Données projet'!$E$9+1,1))</f>
        <v>196.72624686715807</v>
      </c>
      <c r="T15" s="59">
        <f t="shared" si="34"/>
        <v>37.315661698104691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14</v>
      </c>
      <c r="AI15" s="13">
        <f>IF('Données projet'!$A$62&gt;35,AI14+AH15-AQ14,IF(A15&lt;'Données projet'!$A$62,$AF$205^A15,IF(A15='Données projet'!$A$62,'Données projet'!$B$62,AI14+AH15-AQ14)))</f>
        <v>59</v>
      </c>
      <c r="AJ15" s="13">
        <f>AI15*VLOOKUP('Données projet'!$B$10,Paramètres!$A$1:$I$89,3,0)*VLOOKUP('Données projet'!$B$10,Paramètres!$A$1:$I$89,5,0)</f>
        <v>32.981000000000002</v>
      </c>
      <c r="AK15" s="13">
        <f t="shared" si="35"/>
        <v>10.117890519143423</v>
      </c>
      <c r="AL15" s="20">
        <f t="shared" si="4"/>
        <v>75.063900987508134</v>
      </c>
      <c r="AM15" s="59">
        <f t="shared" si="5"/>
        <v>368.39723432084145</v>
      </c>
      <c r="AN15" s="59">
        <f ca="1">AVERAGE(OFFSET($AM$3,0,0,'Données projet'!$E$10+1,1))-AVERAGE(OFFSET($H$3,0,0,'Données projet'!$E$10+1,1))</f>
        <v>325.42940802362739</v>
      </c>
      <c r="AO15" s="59">
        <f t="shared" si="36"/>
        <v>388.87198417542277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9.25</v>
      </c>
      <c r="BD15" s="12">
        <f>IF('Données projet'!$A$88&gt;35,BD14+BC15-BL14,IF(A15&lt;'Données projet'!$A$88,$BA$205^A15,IF(A15='Données projet'!$A$88,'Données projet'!$B$88,BD14+BC15-BL14)))</f>
        <v>55.5</v>
      </c>
      <c r="BE15" s="13">
        <f>BD15*VLOOKUP('Données projet'!$B$11,Paramètres!$A$1:$I$89,3,0)*VLOOKUP('Données projet'!$B$11,Paramètres!$A$1:$I$89,5,0)</f>
        <v>34.632000000000005</v>
      </c>
      <c r="BF15" s="13">
        <f t="shared" si="37"/>
        <v>10.564147302110392</v>
      </c>
      <c r="BG15" s="20">
        <f t="shared" si="7"/>
        <v>78.716623217842269</v>
      </c>
      <c r="BH15" s="59">
        <f t="shared" si="8"/>
        <v>372.04995655117557</v>
      </c>
      <c r="BI15" s="59">
        <f ca="1">AVERAGE(OFFSET($BH$3,0,0,'Données projet'!$E$11+1,1))-AVERAGE(OFFSET($H$3,0,0,'Données projet'!$E$11+1,1))</f>
        <v>162.87524915738271</v>
      </c>
      <c r="BJ15" s="59">
        <f t="shared" si="38"/>
        <v>249.37880137966658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2.4666666666666668</v>
      </c>
      <c r="BY15" s="12">
        <f>IF('Données projet'!$A$114&gt;35,BY14+BX15-CG14,IF(A15&lt;'Données projet'!$A$114,$BV$205^A15,IF(A15='Données projet'!$A$114,'Données projet'!$B$114,BY14+BX15-CG14)))</f>
        <v>17.970550417308221</v>
      </c>
      <c r="BZ15" s="13">
        <f>BY15*VLOOKUP('Données projet'!$B$12,Paramètres!$A$1:$I$89,3,0)*VLOOKUP('Données projet'!$B$12,Paramètres!$A$1:$I$89,5,0)</f>
        <v>11.774304633420346</v>
      </c>
      <c r="CA15" s="13">
        <f t="shared" si="39"/>
        <v>4.0722128281711418</v>
      </c>
      <c r="CB15" s="20">
        <f t="shared" si="10"/>
        <v>27.599351245605177</v>
      </c>
      <c r="CC15" s="59">
        <f t="shared" si="11"/>
        <v>320.93268457893851</v>
      </c>
      <c r="CD15" s="59">
        <f ca="1">AVERAGE(OFFSET($CC$3,0,0,'Données projet'!$E$12+1,1))-AVERAGE(OFFSET($H$3,0,0,'Données projet'!$E$12+1,1))</f>
        <v>119.88584888779422</v>
      </c>
      <c r="CE15" s="59">
        <f t="shared" si="40"/>
        <v>162.97244314258774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</v>
      </c>
      <c r="CT15" s="12">
        <f>IF('Données projet'!$A$140&gt;35,CT14+CS15-DB14,IF(A15&lt;'Données projet'!$A$140,$CQ$205^A15,IF(A15='Données projet'!$A$140,'Données projet'!$B$140,CT14+CS15-DB14)))</f>
        <v>42</v>
      </c>
      <c r="CU15" s="17">
        <f>CT15*VLOOKUP('Données projet'!$B$13,Paramètres!$A$1:$I$89,3,0)*VLOOKUP('Données projet'!$B$13,Paramètres!$A$1:$I$89,5,0)</f>
        <v>42.588000000000001</v>
      </c>
      <c r="CV15" s="13">
        <f t="shared" si="41"/>
        <v>12.682073764365764</v>
      </c>
      <c r="CW15" s="20">
        <f t="shared" si="13"/>
        <v>96.262045139603686</v>
      </c>
      <c r="CX15" s="59">
        <f t="shared" si="14"/>
        <v>389.595378472937</v>
      </c>
      <c r="CY15" s="59">
        <f ca="1">AVERAGE(OFFSET($CX$3,0,0,'Données projet'!$E$13+1,1))-AVERAGE(OFFSET($H$3,0,0,'Données projet'!$E$13+1,1))</f>
        <v>261.75887764015459</v>
      </c>
      <c r="CZ15" s="59">
        <f t="shared" si="42"/>
        <v>209.74127356028544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2.4666666666666668</v>
      </c>
      <c r="DO15" s="12">
        <f>IF('Données projet'!$A$166&gt;35,DO14+DN15-DW14,IF(A15&lt;'Données projet'!$A$166,$DL$205^A15,IF(A15='Données projet'!$A$166,'Données projet'!$B$166,DO14+DN15-DW14)))</f>
        <v>17.970550417308221</v>
      </c>
      <c r="DP15" s="17">
        <f>DO15*VLOOKUP('Données projet'!$B$14,Paramètres!$A$1:$I$89,3,0)*VLOOKUP('Données projet'!$B$14,Paramètres!$A$1:$I$89,5,0)</f>
        <v>14.297369912010421</v>
      </c>
      <c r="DQ15" s="13">
        <f t="shared" si="43"/>
        <v>4.8343312187127445</v>
      </c>
      <c r="DR15" s="20">
        <f t="shared" si="16"/>
        <v>33.321046136009507</v>
      </c>
      <c r="DS15" s="59">
        <f t="shared" si="17"/>
        <v>326.65437946934281</v>
      </c>
      <c r="DT15" s="59">
        <f ca="1">AVERAGE(OFFSET($DS$3,0,0,'Données projet'!$E$14+1,1))-AVERAGE(OFFSET($H$3,0,0,'Données projet'!$E$14+1,1))</f>
        <v>215.37468832969444</v>
      </c>
      <c r="DU15" s="59">
        <f t="shared" si="44"/>
        <v>208.60212063136419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2.4666666666666668</v>
      </c>
      <c r="EJ15" s="12">
        <f>IF('Données projet'!$A$192&gt;35,EJ14+EI15-ER14,IF(A15&lt;'Données projet'!$A$192,$EG$205^A15,IF(A15='Données projet'!$A$192,'Données projet'!$B$192,EJ14+EI15-ER14)))</f>
        <v>17.970550417308221</v>
      </c>
      <c r="EK15" s="17">
        <f>EJ15*VLOOKUP('Données projet'!$B$15,Paramètres!$A$1:$I$89,3,0)*VLOOKUP('Données projet'!$B$15,Paramètres!$A$1:$I$89,5,0)</f>
        <v>14.297369912010421</v>
      </c>
      <c r="EL15" s="13">
        <f t="shared" si="45"/>
        <v>4.8343312187127445</v>
      </c>
      <c r="EM15" s="20">
        <f t="shared" si="19"/>
        <v>33.321046136009507</v>
      </c>
      <c r="EN15" s="59">
        <f t="shared" si="20"/>
        <v>326.65437946934281</v>
      </c>
      <c r="EO15" s="59">
        <f ca="1">AVERAGE(OFFSET($EN$3,0,0,'Données projet'!$E$15+1,1))-AVERAGE(OFFSET($H$3,0,0,'Données projet'!$E$15+1,1))</f>
        <v>215.37468832969444</v>
      </c>
      <c r="EP15" s="59">
        <f t="shared" si="46"/>
        <v>208.60212063136419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2.4666666666666668</v>
      </c>
      <c r="FE15" s="12">
        <f>IF('Données projet'!$A$218&gt;35,FE14+FD15-FM14,IF(A15&lt;'Données projet'!$A$218,$FB$205^A15,IF(A15='Données projet'!$A$218,'Données projet'!$B$218,FE14+FD15-FM14)))</f>
        <v>17.970550417308221</v>
      </c>
      <c r="FF15" s="17">
        <f>FE15*VLOOKUP('Données projet'!$B$16,Paramètres!$A$1:$I$89,3,0)*VLOOKUP('Données projet'!$B$16,Paramètres!$A$1:$I$89,5,0)</f>
        <v>14.57771049852043</v>
      </c>
      <c r="FG15" s="13">
        <f t="shared" si="47"/>
        <v>4.9179934854347964</v>
      </c>
      <c r="FH15" s="20">
        <f t="shared" si="22"/>
        <v>33.955017772055356</v>
      </c>
      <c r="FI15" s="59">
        <f t="shared" si="23"/>
        <v>327.28835110538864</v>
      </c>
      <c r="FJ15" s="59">
        <f ca="1">AVERAGE(OFFSET($FI$3,0,0,'Données projet'!$E$16+1,1))-AVERAGE(OFFSET($H$3,0,0,'Données projet'!$E$16+1,1))</f>
        <v>220.90439367987847</v>
      </c>
      <c r="FK15" s="59">
        <f t="shared" si="48"/>
        <v>213.66046131354858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1">
        <f t="shared" si="32"/>
        <v>3.6943484919296665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67">
        <f t="shared" si="1"/>
        <v>318.13457695677749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1.7</v>
      </c>
      <c r="N16" s="13">
        <f>IF('Données projet'!$A$36&gt;35,N15+M16-V15,IF(A16&lt;'Données projet'!$A$36,$K$205^A16,IF(A16='Données projet'!$A$36,'Données projet'!$B$36,N15+M16-V15)))</f>
        <v>21.599999999999994</v>
      </c>
      <c r="O16" s="13">
        <f>N16*VLOOKUP('Données projet'!$B$9,Paramètres!$A$1:$I$89,3,0)*VLOOKUP('Données projet'!$B$9,Paramètres!$A$1:$I$89,5,0)</f>
        <v>10.108799999999997</v>
      </c>
      <c r="P16" s="13">
        <f t="shared" si="33"/>
        <v>3.5588086309400957</v>
      </c>
      <c r="Q16" s="20">
        <f t="shared" si="2"/>
        <v>23.804418365553989</v>
      </c>
      <c r="R16" s="59">
        <f t="shared" si="0"/>
        <v>317.13775169888731</v>
      </c>
      <c r="S16" s="59">
        <f ca="1">AVERAGE(OFFSET($R$3,0,0,'Données projet'!$E$9+1,1))-AVERAGE(OFFSET($H$3,0,0,'Données projet'!$E$9+1,1))</f>
        <v>196.72624686715807</v>
      </c>
      <c r="T16" s="59">
        <f t="shared" si="34"/>
        <v>37.315661698104691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14</v>
      </c>
      <c r="AI16" s="13">
        <f>IF('Données projet'!$A$62&gt;35,AI15+AH16-AQ15,IF(A16&lt;'Données projet'!$A$62,$AF$205^A16,IF(A16='Données projet'!$A$62,'Données projet'!$B$62,AI15+AH16-AQ15)))</f>
        <v>73</v>
      </c>
      <c r="AJ16" s="13">
        <f>AI16*VLOOKUP('Données projet'!$B$10,Paramètres!$A$1:$I$89,3,0)*VLOOKUP('Données projet'!$B$10,Paramètres!$A$1:$I$89,5,0)</f>
        <v>40.807000000000002</v>
      </c>
      <c r="AK16" s="13">
        <f t="shared" si="35"/>
        <v>12.21229305851112</v>
      </c>
      <c r="AL16" s="20">
        <f t="shared" si="4"/>
        <v>92.341935410240197</v>
      </c>
      <c r="AM16" s="59">
        <f t="shared" si="5"/>
        <v>385.6752687435735</v>
      </c>
      <c r="AN16" s="59">
        <f ca="1">AVERAGE(OFFSET($AM$3,0,0,'Données projet'!$E$10+1,1))-AVERAGE(OFFSET($H$3,0,0,'Données projet'!$E$10+1,1))</f>
        <v>325.42940802362739</v>
      </c>
      <c r="AO16" s="59">
        <f t="shared" si="36"/>
        <v>388.87198417542277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9.25</v>
      </c>
      <c r="BD16" s="12">
        <f>IF('Données projet'!$A$88&gt;35,BD15+BC16-BL15,IF(A16&lt;'Données projet'!$A$88,$BA$205^A16,IF(A16='Données projet'!$A$88,'Données projet'!$B$88,BD15+BC16-BL15)))</f>
        <v>64.75</v>
      </c>
      <c r="BE16" s="13">
        <f>BD16*VLOOKUP('Données projet'!$B$11,Paramètres!$A$1:$I$89,3,0)*VLOOKUP('Données projet'!$B$11,Paramètres!$A$1:$I$89,5,0)</f>
        <v>40.403999999999996</v>
      </c>
      <c r="BF16" s="13">
        <f t="shared" si="37"/>
        <v>12.105664442616712</v>
      </c>
      <c r="BG16" s="20">
        <f t="shared" si="7"/>
        <v>91.454332237557423</v>
      </c>
      <c r="BH16" s="59">
        <f t="shared" si="8"/>
        <v>384.78766557089074</v>
      </c>
      <c r="BI16" s="59">
        <f ca="1">AVERAGE(OFFSET($BH$3,0,0,'Données projet'!$E$11+1,1))-AVERAGE(OFFSET($H$3,0,0,'Données projet'!$E$11+1,1))</f>
        <v>162.87524915738271</v>
      </c>
      <c r="BJ16" s="59">
        <f t="shared" si="38"/>
        <v>249.37880137966658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2.4666666666666668</v>
      </c>
      <c r="BY16" s="12">
        <f>IF('Données projet'!$A$114&gt;35,BY15+BX16-CG15,IF(A16&lt;'Données projet'!$A$114,$BV$205^A16,IF(A16='Données projet'!$A$114,'Données projet'!$B$114,BY15+BX16-CG15)))</f>
        <v>22.86168101684942</v>
      </c>
      <c r="BZ16" s="13">
        <f>BY16*VLOOKUP('Données projet'!$B$12,Paramètres!$A$1:$I$89,3,0)*VLOOKUP('Données projet'!$B$12,Paramètres!$A$1:$I$89,5,0)</f>
        <v>14.97897340223974</v>
      </c>
      <c r="CA16" s="13">
        <f t="shared" si="39"/>
        <v>5.0374181649694805</v>
      </c>
      <c r="CB16" s="20">
        <f t="shared" si="10"/>
        <v>34.861881979556053</v>
      </c>
      <c r="CC16" s="59">
        <f t="shared" si="11"/>
        <v>328.19521531288939</v>
      </c>
      <c r="CD16" s="59">
        <f ca="1">AVERAGE(OFFSET($CC$3,0,0,'Données projet'!$E$12+1,1))-AVERAGE(OFFSET($H$3,0,0,'Données projet'!$E$12+1,1))</f>
        <v>119.88584888779422</v>
      </c>
      <c r="CE16" s="59">
        <f t="shared" si="40"/>
        <v>162.97244314258774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</v>
      </c>
      <c r="CT16" s="12">
        <f>IF('Données projet'!$A$140&gt;35,CT15+CS16-DB15,IF(A16&lt;'Données projet'!$A$140,$CQ$205^A16,IF(A16='Données projet'!$A$140,'Données projet'!$B$140,CT15+CS16-DB15)))</f>
        <v>46</v>
      </c>
      <c r="CU16" s="17">
        <f>CT16*VLOOKUP('Données projet'!$B$13,Paramètres!$A$1:$I$89,3,0)*VLOOKUP('Données projet'!$B$13,Paramètres!$A$1:$I$89,5,0)</f>
        <v>46.644000000000005</v>
      </c>
      <c r="CV16" s="13">
        <f t="shared" si="41"/>
        <v>13.74358465851649</v>
      </c>
      <c r="CW16" s="20">
        <f t="shared" si="13"/>
        <v>105.17504328024955</v>
      </c>
      <c r="CX16" s="59">
        <f t="shared" si="14"/>
        <v>398.50837661358287</v>
      </c>
      <c r="CY16" s="59">
        <f ca="1">AVERAGE(OFFSET($CX$3,0,0,'Données projet'!$E$13+1,1))-AVERAGE(OFFSET($H$3,0,0,'Données projet'!$E$13+1,1))</f>
        <v>261.75887764015459</v>
      </c>
      <c r="CZ16" s="59">
        <f t="shared" si="42"/>
        <v>209.74127356028544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2.4666666666666668</v>
      </c>
      <c r="DO16" s="12">
        <f>IF('Données projet'!$A$166&gt;35,DO15+DN16-DW15,IF(A16&lt;'Données projet'!$A$166,$DL$205^A16,IF(A16='Données projet'!$A$166,'Données projet'!$B$166,DO15+DN16-DW15)))</f>
        <v>22.86168101684942</v>
      </c>
      <c r="DP16" s="17">
        <f>DO16*VLOOKUP('Données projet'!$B$14,Paramètres!$A$1:$I$89,3,0)*VLOOKUP('Données projet'!$B$14,Paramètres!$A$1:$I$89,5,0)</f>
        <v>18.188753417005401</v>
      </c>
      <c r="DQ16" s="13">
        <f t="shared" si="43"/>
        <v>5.9801756254374139</v>
      </c>
      <c r="DR16" s="20">
        <f t="shared" si="16"/>
        <v>42.094218082254564</v>
      </c>
      <c r="DS16" s="59">
        <f t="shared" si="17"/>
        <v>335.42755141558786</v>
      </c>
      <c r="DT16" s="59">
        <f ca="1">AVERAGE(OFFSET($DS$3,0,0,'Données projet'!$E$14+1,1))-AVERAGE(OFFSET($H$3,0,0,'Données projet'!$E$14+1,1))</f>
        <v>215.37468832969444</v>
      </c>
      <c r="DU16" s="59">
        <f t="shared" si="44"/>
        <v>208.60212063136419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2.4666666666666668</v>
      </c>
      <c r="EJ16" s="12">
        <f>IF('Données projet'!$A$192&gt;35,EJ15+EI16-ER15,IF(A16&lt;'Données projet'!$A$192,$EG$205^A16,IF(A16='Données projet'!$A$192,'Données projet'!$B$192,EJ15+EI16-ER15)))</f>
        <v>22.86168101684942</v>
      </c>
      <c r="EK16" s="17">
        <f>EJ16*VLOOKUP('Données projet'!$B$15,Paramètres!$A$1:$I$89,3,0)*VLOOKUP('Données projet'!$B$15,Paramètres!$A$1:$I$89,5,0)</f>
        <v>18.188753417005401</v>
      </c>
      <c r="EL16" s="13">
        <f t="shared" si="45"/>
        <v>5.9801756254374139</v>
      </c>
      <c r="EM16" s="20">
        <f t="shared" si="19"/>
        <v>42.094218082254564</v>
      </c>
      <c r="EN16" s="59">
        <f t="shared" si="20"/>
        <v>335.42755141558786</v>
      </c>
      <c r="EO16" s="59">
        <f ca="1">AVERAGE(OFFSET($EN$3,0,0,'Données projet'!$E$15+1,1))-AVERAGE(OFFSET($H$3,0,0,'Données projet'!$E$15+1,1))</f>
        <v>215.37468832969444</v>
      </c>
      <c r="EP16" s="59">
        <f t="shared" si="46"/>
        <v>208.60212063136419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2.4666666666666668</v>
      </c>
      <c r="FE16" s="12">
        <f>IF('Données projet'!$A$218&gt;35,FE15+FD16-FM15,IF(A16&lt;'Données projet'!$A$218,$FB$205^A16,IF(A16='Données projet'!$A$218,'Données projet'!$B$218,FE15+FD16-FM15)))</f>
        <v>22.86168101684942</v>
      </c>
      <c r="FF16" s="17">
        <f>FE16*VLOOKUP('Données projet'!$B$16,Paramètres!$A$1:$I$89,3,0)*VLOOKUP('Données projet'!$B$16,Paramètres!$A$1:$I$89,5,0)</f>
        <v>18.545395640868254</v>
      </c>
      <c r="FG16" s="13">
        <f t="shared" si="47"/>
        <v>6.0836677168115934</v>
      </c>
      <c r="FH16" s="20">
        <f t="shared" si="22"/>
        <v>42.895618681292397</v>
      </c>
      <c r="FI16" s="59">
        <f t="shared" si="23"/>
        <v>336.22895201462569</v>
      </c>
      <c r="FJ16" s="59">
        <f ca="1">AVERAGE(OFFSET($FI$3,0,0,'Données projet'!$E$16+1,1))-AVERAGE(OFFSET($H$3,0,0,'Données projet'!$E$16+1,1))</f>
        <v>220.90439367987847</v>
      </c>
      <c r="FK16" s="59">
        <f t="shared" si="48"/>
        <v>213.66046131354858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1">
        <f t="shared" si="32"/>
        <v>3.9443572825295607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67">
        <f t="shared" si="1"/>
        <v>319.98284893373898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1.7</v>
      </c>
      <c r="N17" s="13">
        <f>IF('Données projet'!$A$36&gt;35,N16+M17-V16,IF(A17&lt;'Données projet'!$A$36,$K$205^A17,IF(A17='Données projet'!$A$36,'Données projet'!$B$36,N16+M17-V16)))</f>
        <v>23.299999999999994</v>
      </c>
      <c r="O17" s="13">
        <f>N17*VLOOKUP('Données projet'!$B$9,Paramètres!$A$1:$I$89,3,0)*VLOOKUP('Données projet'!$B$9,Paramètres!$A$1:$I$89,5,0)</f>
        <v>10.904399999999997</v>
      </c>
      <c r="P17" s="13">
        <f t="shared" si="33"/>
        <v>3.805195657565946</v>
      </c>
      <c r="Q17" s="20">
        <f t="shared" si="2"/>
        <v>25.619212436927352</v>
      </c>
      <c r="R17" s="59">
        <f t="shared" si="0"/>
        <v>318.95254577026066</v>
      </c>
      <c r="S17" s="59">
        <f ca="1">AVERAGE(OFFSET($R$3,0,0,'Données projet'!$E$9+1,1))-AVERAGE(OFFSET($H$3,0,0,'Données projet'!$E$9+1,1))</f>
        <v>196.72624686715807</v>
      </c>
      <c r="T17" s="59">
        <f t="shared" si="34"/>
        <v>37.315661698104691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14</v>
      </c>
      <c r="AI17" s="13">
        <f>IF('Données projet'!$A$62&gt;35,AI16+AH17-AQ16,IF(A17&lt;'Données projet'!$A$62,$AF$205^A17,IF(A17='Données projet'!$A$62,'Données projet'!$B$62,AI16+AH17-AQ16)))</f>
        <v>87</v>
      </c>
      <c r="AJ17" s="13">
        <f>AI17*VLOOKUP('Données projet'!$B$10,Paramètres!$A$1:$I$89,3,0)*VLOOKUP('Données projet'!$B$10,Paramètres!$A$1:$I$89,5,0)</f>
        <v>48.632999999999996</v>
      </c>
      <c r="AK17" s="13">
        <f t="shared" si="35"/>
        <v>14.260158409918978</v>
      </c>
      <c r="AL17" s="20">
        <f t="shared" si="4"/>
        <v>109.53891756394221</v>
      </c>
      <c r="AM17" s="59">
        <f t="shared" si="5"/>
        <v>402.87225089727553</v>
      </c>
      <c r="AN17" s="59">
        <f ca="1">AVERAGE(OFFSET($AM$3,0,0,'Données projet'!$E$10+1,1))-AVERAGE(OFFSET($H$3,0,0,'Données projet'!$E$10+1,1))</f>
        <v>325.42940802362739</v>
      </c>
      <c r="AO17" s="59">
        <f t="shared" si="36"/>
        <v>388.87198417542277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9.25</v>
      </c>
      <c r="BD17" s="12">
        <f>IF('Données projet'!$A$88&gt;35,BD16+BC17-BL16,IF(A17&lt;'Données projet'!$A$88,$BA$205^A17,IF(A17='Données projet'!$A$88,'Données projet'!$B$88,BD16+BC17-BL16)))</f>
        <v>74</v>
      </c>
      <c r="BE17" s="13">
        <f>BD17*VLOOKUP('Données projet'!$B$11,Paramètres!$A$1:$I$89,3,0)*VLOOKUP('Données projet'!$B$11,Paramètres!$A$1:$I$89,5,0)</f>
        <v>46.175999999999995</v>
      </c>
      <c r="BF17" s="13">
        <f t="shared" si="37"/>
        <v>13.621668778540489</v>
      </c>
      <c r="BG17" s="20">
        <f t="shared" si="7"/>
        <v>104.14760645595801</v>
      </c>
      <c r="BH17" s="59">
        <f t="shared" si="8"/>
        <v>397.48093978929131</v>
      </c>
      <c r="BI17" s="59">
        <f ca="1">AVERAGE(OFFSET($BH$3,0,0,'Données projet'!$E$11+1,1))-AVERAGE(OFFSET($H$3,0,0,'Données projet'!$E$11+1,1))</f>
        <v>162.87524915738271</v>
      </c>
      <c r="BJ17" s="59">
        <f t="shared" si="38"/>
        <v>249.37880137966658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2.4666666666666668</v>
      </c>
      <c r="BY17" s="12">
        <f>IF('Données projet'!$A$114&gt;35,BY16+BX17-CG16,IF(A17&lt;'Données projet'!$A$114,$BV$205^A17,IF(A17='Données projet'!$A$114,'Données projet'!$B$114,BY16+BX17-CG16)))</f>
        <v>29.084054009429774</v>
      </c>
      <c r="BZ17" s="13">
        <f>BY17*VLOOKUP('Données projet'!$B$12,Paramètres!$A$1:$I$89,3,0)*VLOOKUP('Données projet'!$B$12,Paramètres!$A$1:$I$89,5,0)</f>
        <v>19.055872186978391</v>
      </c>
      <c r="CA17" s="13">
        <f t="shared" si="39"/>
        <v>6.231398711093604</v>
      </c>
      <c r="CB17" s="20">
        <f t="shared" si="10"/>
        <v>44.041996814142045</v>
      </c>
      <c r="CC17" s="59">
        <f t="shared" si="11"/>
        <v>337.37533014747538</v>
      </c>
      <c r="CD17" s="59">
        <f ca="1">AVERAGE(OFFSET($CC$3,0,0,'Données projet'!$E$12+1,1))-AVERAGE(OFFSET($H$3,0,0,'Données projet'!$E$12+1,1))</f>
        <v>119.88584888779422</v>
      </c>
      <c r="CE17" s="59">
        <f t="shared" si="40"/>
        <v>162.97244314258774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</v>
      </c>
      <c r="CT17" s="12">
        <f>IF('Données projet'!$A$140&gt;35,CT16+CS17-DB16,IF(A17&lt;'Données projet'!$A$140,$CQ$205^A17,IF(A17='Données projet'!$A$140,'Données projet'!$B$140,CT16+CS17-DB16)))</f>
        <v>50</v>
      </c>
      <c r="CU17" s="17">
        <f>CT17*VLOOKUP('Données projet'!$B$13,Paramètres!$A$1:$I$89,3,0)*VLOOKUP('Données projet'!$B$13,Paramètres!$A$1:$I$89,5,0)</f>
        <v>50.7</v>
      </c>
      <c r="CV17" s="13">
        <f t="shared" si="41"/>
        <v>14.79439117980476</v>
      </c>
      <c r="CW17" s="20">
        <f t="shared" si="13"/>
        <v>114.06939797149329</v>
      </c>
      <c r="CX17" s="59">
        <f t="shared" si="14"/>
        <v>407.4027313048266</v>
      </c>
      <c r="CY17" s="59">
        <f ca="1">AVERAGE(OFFSET($CX$3,0,0,'Données projet'!$E$13+1,1))-AVERAGE(OFFSET($H$3,0,0,'Données projet'!$E$13+1,1))</f>
        <v>261.75887764015459</v>
      </c>
      <c r="CZ17" s="59">
        <f t="shared" si="42"/>
        <v>209.74127356028544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2.4666666666666668</v>
      </c>
      <c r="DO17" s="12">
        <f>IF('Données projet'!$A$166&gt;35,DO16+DN17-DW16,IF(A17&lt;'Données projet'!$A$166,$DL$205^A17,IF(A17='Données projet'!$A$166,'Données projet'!$B$166,DO16+DN17-DW16)))</f>
        <v>29.084054009429774</v>
      </c>
      <c r="DP17" s="17">
        <f>DO17*VLOOKUP('Données projet'!$B$14,Paramètres!$A$1:$I$89,3,0)*VLOOKUP('Données projet'!$B$14,Paramètres!$A$1:$I$89,5,0)</f>
        <v>23.13927336990233</v>
      </c>
      <c r="DQ17" s="13">
        <f t="shared" si="43"/>
        <v>7.3976107331343286</v>
      </c>
      <c r="DR17" s="20">
        <f t="shared" si="16"/>
        <v>53.185073146122171</v>
      </c>
      <c r="DS17" s="59">
        <f t="shared" si="17"/>
        <v>346.51840647945551</v>
      </c>
      <c r="DT17" s="59">
        <f ca="1">AVERAGE(OFFSET($DS$3,0,0,'Données projet'!$E$14+1,1))-AVERAGE(OFFSET($H$3,0,0,'Données projet'!$E$14+1,1))</f>
        <v>215.37468832969444</v>
      </c>
      <c r="DU17" s="59">
        <f t="shared" si="44"/>
        <v>208.60212063136419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2.4666666666666668</v>
      </c>
      <c r="EJ17" s="12">
        <f>IF('Données projet'!$A$192&gt;35,EJ16+EI17-ER16,IF(A17&lt;'Données projet'!$A$192,$EG$205^A17,IF(A17='Données projet'!$A$192,'Données projet'!$B$192,EJ16+EI17-ER16)))</f>
        <v>29.084054009429774</v>
      </c>
      <c r="EK17" s="17">
        <f>EJ17*VLOOKUP('Données projet'!$B$15,Paramètres!$A$1:$I$89,3,0)*VLOOKUP('Données projet'!$B$15,Paramètres!$A$1:$I$89,5,0)</f>
        <v>23.13927336990233</v>
      </c>
      <c r="EL17" s="13">
        <f t="shared" si="45"/>
        <v>7.3976107331343286</v>
      </c>
      <c r="EM17" s="20">
        <f t="shared" si="19"/>
        <v>53.185073146122171</v>
      </c>
      <c r="EN17" s="59">
        <f t="shared" si="20"/>
        <v>346.51840647945551</v>
      </c>
      <c r="EO17" s="59">
        <f ca="1">AVERAGE(OFFSET($EN$3,0,0,'Données projet'!$E$15+1,1))-AVERAGE(OFFSET($H$3,0,0,'Données projet'!$E$15+1,1))</f>
        <v>215.37468832969444</v>
      </c>
      <c r="EP17" s="59">
        <f t="shared" si="46"/>
        <v>208.60212063136419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2.4666666666666668</v>
      </c>
      <c r="FE17" s="12">
        <f>IF('Données projet'!$A$218&gt;35,FE16+FD17-FM16,IF(A17&lt;'Données projet'!$A$218,$FB$205^A17,IF(A17='Données projet'!$A$218,'Données projet'!$B$218,FE16+FD17-FM16)))</f>
        <v>29.084054009429774</v>
      </c>
      <c r="FF17" s="17">
        <f>FE17*VLOOKUP('Données projet'!$B$16,Paramètres!$A$1:$I$89,3,0)*VLOOKUP('Données projet'!$B$16,Paramètres!$A$1:$I$89,5,0)</f>
        <v>23.592984612449435</v>
      </c>
      <c r="FG17" s="13">
        <f t="shared" si="47"/>
        <v>7.5256327602279143</v>
      </c>
      <c r="FH17" s="20">
        <f t="shared" si="22"/>
        <v>54.198258590746377</v>
      </c>
      <c r="FI17" s="59">
        <f t="shared" si="23"/>
        <v>347.53159192407969</v>
      </c>
      <c r="FJ17" s="59">
        <f ca="1">AVERAGE(OFFSET($FI$3,0,0,'Données projet'!$E$16+1,1))-AVERAGE(OFFSET($H$3,0,0,'Données projet'!$E$16+1,1))</f>
        <v>220.90439367987847</v>
      </c>
      <c r="FK17" s="59">
        <f t="shared" si="48"/>
        <v>213.66046131354858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1">
        <f t="shared" si="32"/>
        <v>4.1922941870296242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67">
        <f t="shared" si="1"/>
        <v>321.82751237574325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1.7</v>
      </c>
      <c r="N18" s="13">
        <f>IF('Données projet'!$A$36&gt;35,N17+M18-V17,IF(A18&lt;'Données projet'!$A$36,$K$205^A18,IF(A18='Données projet'!$A$36,'Données projet'!$B$36,N17+M18-V17)))</f>
        <v>24.999999999999993</v>
      </c>
      <c r="O18" s="13">
        <f>N18*VLOOKUP('Données projet'!$B$9,Paramètres!$A$1:$I$89,3,0)*VLOOKUP('Données projet'!$B$9,Paramètres!$A$1:$I$89,5,0)</f>
        <v>11.699999999999996</v>
      </c>
      <c r="P18" s="13">
        <f t="shared" si="33"/>
        <v>4.0494971001980273</v>
      </c>
      <c r="Q18" s="20">
        <f t="shared" si="2"/>
        <v>27.430374116178225</v>
      </c>
      <c r="R18" s="59">
        <f t="shared" si="0"/>
        <v>320.76370744951151</v>
      </c>
      <c r="S18" s="59">
        <f ca="1">AVERAGE(OFFSET($R$3,0,0,'Données projet'!$E$9+1,1))-AVERAGE(OFFSET($H$3,0,0,'Données projet'!$E$9+1,1))</f>
        <v>196.72624686715807</v>
      </c>
      <c r="T18" s="59">
        <f t="shared" si="34"/>
        <v>37.315661698104691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102</v>
      </c>
      <c r="AG18" s="12">
        <f>VLOOKUP(A18,'Données projet'!$A$61:$I$81,9,0)</f>
        <v>14</v>
      </c>
      <c r="AH18" s="12">
        <f t="array" ref="AH18">INDEX(AG:AG,MIN(IF(ISNUMBER(AG18:AG214),ROW(AG18:AG214),"")))</f>
        <v>14</v>
      </c>
      <c r="AI18" s="13">
        <f>IF('Données projet'!$A$62&gt;35,AI17+AH18-AQ17,IF(A18&lt;'Données projet'!$A$62,$AF$205^A18,IF(A18='Données projet'!$A$62,'Données projet'!$B$62,AI17+AH18-AQ17)))</f>
        <v>101</v>
      </c>
      <c r="AJ18" s="13">
        <f>AI18*VLOOKUP('Données projet'!$B$10,Paramètres!$A$1:$I$89,3,0)*VLOOKUP('Données projet'!$B$10,Paramètres!$A$1:$I$89,5,0)</f>
        <v>56.459000000000003</v>
      </c>
      <c r="AK18" s="13">
        <f t="shared" si="35"/>
        <v>16.269848322350263</v>
      </c>
      <c r="AL18" s="20">
        <f t="shared" si="4"/>
        <v>126.66941082809338</v>
      </c>
      <c r="AM18" s="59">
        <f t="shared" si="5"/>
        <v>420.00274416142668</v>
      </c>
      <c r="AN18" s="59">
        <f ca="1">AVERAGE(OFFSET($AM$3,0,0,'Données projet'!$E$10+1,1))-AVERAGE(OFFSET($H$3,0,0,'Données projet'!$E$10+1,1))</f>
        <v>325.42940802362739</v>
      </c>
      <c r="AO18" s="59">
        <f t="shared" si="36"/>
        <v>388.87198417542277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9.25</v>
      </c>
      <c r="BD18" s="12">
        <f>IF('Données projet'!$A$88&gt;35,BD17+BC18-BL17,IF(A18&lt;'Données projet'!$A$88,$BA$205^A18,IF(A18='Données projet'!$A$88,'Données projet'!$B$88,BD17+BC18-BL17)))</f>
        <v>83.25</v>
      </c>
      <c r="BE18" s="13">
        <f>BD18*VLOOKUP('Données projet'!$B$11,Paramètres!$A$1:$I$89,3,0)*VLOOKUP('Données projet'!$B$11,Paramètres!$A$1:$I$89,5,0)</f>
        <v>51.948</v>
      </c>
      <c r="BF18" s="13">
        <f t="shared" si="37"/>
        <v>15.115714645211892</v>
      </c>
      <c r="BG18" s="20">
        <f t="shared" si="7"/>
        <v>116.8026363404107</v>
      </c>
      <c r="BH18" s="59">
        <f t="shared" si="8"/>
        <v>410.135969673744</v>
      </c>
      <c r="BI18" s="59">
        <f ca="1">AVERAGE(OFFSET($BH$3,0,0,'Données projet'!$E$11+1,1))-AVERAGE(OFFSET($H$3,0,0,'Données projet'!$E$11+1,1))</f>
        <v>162.87524915738271</v>
      </c>
      <c r="BJ18" s="59">
        <f t="shared" si="38"/>
        <v>249.37880137966658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37</v>
      </c>
      <c r="BW18" s="12">
        <f>VLOOKUP(A18,'Données projet'!$A$113:$I$133,9,0)</f>
        <v>2.4666666666666668</v>
      </c>
      <c r="BX18" s="12">
        <f t="array" ref="BX18">INDEX(BW:BW,MIN(IF(ISNUMBER(BW18:BW214),ROW(BW18:BW214),"")))</f>
        <v>2.4666666666666668</v>
      </c>
      <c r="BY18" s="12">
        <f>IF('Données projet'!$A$114&gt;35,BY17+BX18-CG17,IF(A18&lt;'Données projet'!$A$114,$BV$205^A18,IF(A18='Données projet'!$A$114,'Données projet'!$B$114,BY17+BX18-CG17)))</f>
        <v>37</v>
      </c>
      <c r="BZ18" s="13">
        <f>BY18*VLOOKUP('Données projet'!$B$12,Paramètres!$A$1:$I$89,3,0)*VLOOKUP('Données projet'!$B$12,Paramètres!$A$1:$I$89,5,0)</f>
        <v>24.2424</v>
      </c>
      <c r="CA18" s="13">
        <f t="shared" si="39"/>
        <v>7.7083792976822032</v>
      </c>
      <c r="CB18" s="20">
        <f t="shared" si="10"/>
        <v>55.647607276796499</v>
      </c>
      <c r="CC18" s="59">
        <f t="shared" si="11"/>
        <v>348.98094061012984</v>
      </c>
      <c r="CD18" s="59">
        <f ca="1">AVERAGE(OFFSET($CC$3,0,0,'Données projet'!$E$12+1,1))-AVERAGE(OFFSET($H$3,0,0,'Données projet'!$E$12+1,1))</f>
        <v>119.88584888779422</v>
      </c>
      <c r="CE18" s="59">
        <f t="shared" si="40"/>
        <v>162.97244314258774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</v>
      </c>
      <c r="CT18" s="12">
        <f>IF('Données projet'!$A$140&gt;35,CT17+CS18-DB17,IF(A18&lt;'Données projet'!$A$140,$CQ$205^A18,IF(A18='Données projet'!$A$140,'Données projet'!$B$140,CT17+CS18-DB17)))</f>
        <v>54</v>
      </c>
      <c r="CU18" s="17">
        <f>CT18*VLOOKUP('Données projet'!$B$13,Paramètres!$A$1:$I$89,3,0)*VLOOKUP('Données projet'!$B$13,Paramètres!$A$1:$I$89,5,0)</f>
        <v>54.756000000000007</v>
      </c>
      <c r="CV18" s="13">
        <f t="shared" si="41"/>
        <v>15.835447037242044</v>
      </c>
      <c r="CW18" s="20">
        <f t="shared" si="13"/>
        <v>122.94677025652992</v>
      </c>
      <c r="CX18" s="59">
        <f t="shared" si="14"/>
        <v>416.28010358986324</v>
      </c>
      <c r="CY18" s="59">
        <f ca="1">AVERAGE(OFFSET($CX$3,0,0,'Données projet'!$E$13+1,1))-AVERAGE(OFFSET($H$3,0,0,'Données projet'!$E$13+1,1))</f>
        <v>261.75887764015459</v>
      </c>
      <c r="CZ18" s="59">
        <f t="shared" si="42"/>
        <v>209.74127356028544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37</v>
      </c>
      <c r="DM18" s="12">
        <f>VLOOKUP(A18,'Données projet'!$A$165:$I$185,9,0)</f>
        <v>2.4666666666666668</v>
      </c>
      <c r="DN18" s="12">
        <f t="array" ref="DN18">INDEX(DM:DM,MIN(IF(ISNUMBER(DM18:DM214),ROW(DM18:DM214),"")))</f>
        <v>2.4666666666666668</v>
      </c>
      <c r="DO18" s="12">
        <f>IF('Données projet'!$A$166&gt;35,DO17+DN18-DW17,IF(A18&lt;'Données projet'!$A$166,$DL$205^A18,IF(A18='Données projet'!$A$166,'Données projet'!$B$166,DO17+DN18-DW17)))</f>
        <v>37</v>
      </c>
      <c r="DP18" s="17">
        <f>DO18*VLOOKUP('Données projet'!$B$14,Paramètres!$A$1:$I$89,3,0)*VLOOKUP('Données projet'!$B$14,Paramètres!$A$1:$I$89,5,0)</f>
        <v>29.437200000000004</v>
      </c>
      <c r="DQ18" s="13">
        <f t="shared" si="43"/>
        <v>9.1510096001539196</v>
      </c>
      <c r="DR18" s="20">
        <f t="shared" si="16"/>
        <v>67.207798386934755</v>
      </c>
      <c r="DS18" s="59">
        <f t="shared" si="17"/>
        <v>360.54113172026808</v>
      </c>
      <c r="DT18" s="59">
        <f ca="1">AVERAGE(OFFSET($DS$3,0,0,'Données projet'!$E$14+1,1))-AVERAGE(OFFSET($H$3,0,0,'Données projet'!$E$14+1,1))</f>
        <v>215.37468832969444</v>
      </c>
      <c r="DU18" s="59">
        <f t="shared" si="44"/>
        <v>208.60212063136419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>
        <f>VLOOKUP(A18,'Données projet'!$A$191:$I$211,2,0)</f>
        <v>37</v>
      </c>
      <c r="EH18" s="12">
        <f>VLOOKUP(A18,'Données projet'!$A$191:$I$211,9,0)</f>
        <v>2.4666666666666668</v>
      </c>
      <c r="EI18" s="12">
        <f t="array" ref="EI18">INDEX(EH:EH,MIN(IF(ISNUMBER(EH18:EH214),ROW(EH18:EH214),"")))</f>
        <v>2.4666666666666668</v>
      </c>
      <c r="EJ18" s="12">
        <f>IF('Données projet'!$A$192&gt;35,EJ17+EI18-ER17,IF(A18&lt;'Données projet'!$A$192,$EG$205^A18,IF(A18='Données projet'!$A$192,'Données projet'!$B$192,EJ17+EI18-ER17)))</f>
        <v>37</v>
      </c>
      <c r="EK18" s="17">
        <f>EJ18*VLOOKUP('Données projet'!$B$15,Paramètres!$A$1:$I$89,3,0)*VLOOKUP('Données projet'!$B$15,Paramètres!$A$1:$I$89,5,0)</f>
        <v>29.437200000000004</v>
      </c>
      <c r="EL18" s="13">
        <f t="shared" si="45"/>
        <v>9.1510096001539196</v>
      </c>
      <c r="EM18" s="20">
        <f t="shared" si="19"/>
        <v>67.207798386934755</v>
      </c>
      <c r="EN18" s="59">
        <f t="shared" si="20"/>
        <v>360.54113172026808</v>
      </c>
      <c r="EO18" s="59">
        <f ca="1">AVERAGE(OFFSET($EN$3,0,0,'Données projet'!$E$15+1,1))-AVERAGE(OFFSET($H$3,0,0,'Données projet'!$E$15+1,1))</f>
        <v>215.37468832969444</v>
      </c>
      <c r="EP18" s="59">
        <f t="shared" si="46"/>
        <v>208.60212063136419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37</v>
      </c>
      <c r="FC18" s="12">
        <f>VLOOKUP(A18,'Données projet'!$A$217:$I$237,9,0)</f>
        <v>2.4666666666666668</v>
      </c>
      <c r="FD18" s="12">
        <f t="array" ref="FD18">INDEX(FC:FC,MIN(IF(ISNUMBER(FC18:FC214),ROW(FC18:FC214),"")))</f>
        <v>2.4666666666666668</v>
      </c>
      <c r="FE18" s="12">
        <f>IF('Données projet'!$A$218&gt;35,FE17+FD18-FM17,IF(A18&lt;'Données projet'!$A$218,$FB$205^A18,IF(A18='Données projet'!$A$218,'Données projet'!$B$218,FE17+FD18-FM17)))</f>
        <v>37</v>
      </c>
      <c r="FF18" s="17">
        <f>FE18*VLOOKUP('Données projet'!$B$16,Paramètres!$A$1:$I$89,3,0)*VLOOKUP('Données projet'!$B$16,Paramètres!$A$1:$I$89,5,0)</f>
        <v>30.014400000000006</v>
      </c>
      <c r="FG18" s="13">
        <f t="shared" si="47"/>
        <v>9.309375705269078</v>
      </c>
      <c r="FH18" s="20">
        <f t="shared" si="22"/>
        <v>68.488909353343658</v>
      </c>
      <c r="FI18" s="59">
        <f t="shared" si="23"/>
        <v>361.82224268667699</v>
      </c>
      <c r="FJ18" s="59">
        <f ca="1">AVERAGE(OFFSET($FI$3,0,0,'Données projet'!$E$16+1,1))-AVERAGE(OFFSET($H$3,0,0,'Données projet'!$E$16+1,1))</f>
        <v>220.90439367987847</v>
      </c>
      <c r="FK18" s="59">
        <f t="shared" si="48"/>
        <v>213.66046131354858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1">
        <f t="shared" si="32"/>
        <v>4.4383130477080952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67">
        <f t="shared" si="1"/>
        <v>323.66883522475825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1.7</v>
      </c>
      <c r="N19" s="13">
        <f>IF('Données projet'!$A$36&gt;35,N18+M19-V18,IF(A19&lt;'Données projet'!$A$36,$K$205^A19,IF(A19='Données projet'!$A$36,'Données projet'!$B$36,N18+M19-V18)))</f>
        <v>26.699999999999992</v>
      </c>
      <c r="O19" s="13">
        <f>N19*VLOOKUP('Données projet'!$B$9,Paramètres!$A$1:$I$89,3,0)*VLOOKUP('Données projet'!$B$9,Paramètres!$A$1:$I$89,5,0)</f>
        <v>12.495599999999996</v>
      </c>
      <c r="P19" s="13">
        <f t="shared" si="33"/>
        <v>4.2918709131254973</v>
      </c>
      <c r="Q19" s="20">
        <f t="shared" si="2"/>
        <v>29.238178507026898</v>
      </c>
      <c r="R19" s="59">
        <f t="shared" si="0"/>
        <v>322.57151184036019</v>
      </c>
      <c r="S19" s="59">
        <f ca="1">AVERAGE(OFFSET($R$3,0,0,'Données projet'!$E$9+1,1))-AVERAGE(OFFSET($H$3,0,0,'Données projet'!$E$9+1,1))</f>
        <v>196.72624686715807</v>
      </c>
      <c r="T19" s="59">
        <f t="shared" si="34"/>
        <v>37.315661698104691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</v>
      </c>
      <c r="AI19" s="13">
        <f>IF('Données projet'!$A$62&gt;35,AI18+AH19-AQ18,IF(A19&lt;'Données projet'!$A$62,$AF$205^A19,IF(A19='Données projet'!$A$62,'Données projet'!$B$62,AI18+AH19-AQ18)))</f>
        <v>113</v>
      </c>
      <c r="AJ19" s="13">
        <f>AI19*VLOOKUP('Données projet'!$B$10,Paramètres!$A$1:$I$89,3,0)*VLOOKUP('Données projet'!$B$10,Paramètres!$A$1:$I$89,5,0)</f>
        <v>63.166999999999994</v>
      </c>
      <c r="AK19" s="13">
        <f t="shared" si="35"/>
        <v>17.966573192426878</v>
      </c>
      <c r="AL19" s="20">
        <f t="shared" si="4"/>
        <v>141.30763997681012</v>
      </c>
      <c r="AM19" s="59">
        <f t="shared" si="5"/>
        <v>434.64097331014341</v>
      </c>
      <c r="AN19" s="59">
        <f ca="1">AVERAGE(OFFSET($AM$3,0,0,'Données projet'!$E$10+1,1))-AVERAGE(OFFSET($H$3,0,0,'Données projet'!$E$10+1,1))</f>
        <v>325.42940802362739</v>
      </c>
      <c r="AO19" s="59">
        <f t="shared" si="36"/>
        <v>388.87198417542277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9.25</v>
      </c>
      <c r="BD19" s="12">
        <f>IF('Données projet'!$A$88&gt;35,BD18+BC19-BL18,IF(A19&lt;'Données projet'!$A$88,$BA$205^A19,IF(A19='Données projet'!$A$88,'Données projet'!$B$88,BD18+BC19-BL18)))</f>
        <v>92.5</v>
      </c>
      <c r="BE19" s="13">
        <f>BD19*VLOOKUP('Données projet'!$B$11,Paramètres!$A$1:$I$89,3,0)*VLOOKUP('Données projet'!$B$11,Paramètres!$A$1:$I$89,5,0)</f>
        <v>57.72</v>
      </c>
      <c r="BF19" s="13">
        <f t="shared" si="37"/>
        <v>16.59052018887764</v>
      </c>
      <c r="BG19" s="20">
        <f t="shared" si="7"/>
        <v>129.42415599562852</v>
      </c>
      <c r="BH19" s="59">
        <f t="shared" si="8"/>
        <v>422.75748932896181</v>
      </c>
      <c r="BI19" s="59">
        <f ca="1">AVERAGE(OFFSET($BH$3,0,0,'Données projet'!$E$11+1,1))-AVERAGE(OFFSET($H$3,0,0,'Données projet'!$E$11+1,1))</f>
        <v>162.87524915738271</v>
      </c>
      <c r="BJ19" s="59">
        <f t="shared" si="38"/>
        <v>249.37880137966658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11.6</v>
      </c>
      <c r="BY19" s="12">
        <f>IF('Données projet'!$A$114&gt;35,BY18+BX19-CG18,IF(A19&lt;'Données projet'!$A$114,$BV$205^A19,IF(A19='Données projet'!$A$114,'Données projet'!$B$114,BY18+BX19-CG18)))</f>
        <v>48.6</v>
      </c>
      <c r="BZ19" s="13">
        <f>BY19*VLOOKUP('Données projet'!$B$12,Paramètres!$A$1:$I$89,3,0)*VLOOKUP('Données projet'!$B$12,Paramètres!$A$1:$I$89,5,0)</f>
        <v>31.84272</v>
      </c>
      <c r="CA19" s="13">
        <f t="shared" si="39"/>
        <v>9.8087087787373655</v>
      </c>
      <c r="CB19" s="20">
        <f t="shared" si="10"/>
        <v>72.542905122967582</v>
      </c>
      <c r="CC19" s="59">
        <f t="shared" si="11"/>
        <v>365.87623845630088</v>
      </c>
      <c r="CD19" s="59">
        <f ca="1">AVERAGE(OFFSET($CC$3,0,0,'Données projet'!$E$12+1,1))-AVERAGE(OFFSET($H$3,0,0,'Données projet'!$E$12+1,1))</f>
        <v>119.88584888779422</v>
      </c>
      <c r="CE19" s="59">
        <f t="shared" si="40"/>
        <v>162.97244314258774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</v>
      </c>
      <c r="CT19" s="12">
        <f>IF('Données projet'!$A$140&gt;35,CT18+CS19-DB18,IF(A19&lt;'Données projet'!$A$140,$CQ$205^A19,IF(A19='Données projet'!$A$140,'Données projet'!$B$140,CT18+CS19-DB18)))</f>
        <v>58</v>
      </c>
      <c r="CU19" s="17">
        <f>CT19*VLOOKUP('Données projet'!$B$13,Paramètres!$A$1:$I$89,3,0)*VLOOKUP('Données projet'!$B$13,Paramètres!$A$1:$I$89,5,0)</f>
        <v>58.812000000000005</v>
      </c>
      <c r="CV19" s="13">
        <f t="shared" si="41"/>
        <v>16.86755663452599</v>
      </c>
      <c r="CW19" s="20">
        <f t="shared" si="13"/>
        <v>131.8085611384661</v>
      </c>
      <c r="CX19" s="59">
        <f t="shared" si="14"/>
        <v>425.14189447179945</v>
      </c>
      <c r="CY19" s="59">
        <f ca="1">AVERAGE(OFFSET($CX$3,0,0,'Données projet'!$E$13+1,1))-AVERAGE(OFFSET($H$3,0,0,'Données projet'!$E$13+1,1))</f>
        <v>261.75887764015459</v>
      </c>
      <c r="CZ19" s="59">
        <f t="shared" si="42"/>
        <v>209.74127356028544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11.6</v>
      </c>
      <c r="DO19" s="12">
        <f>IF('Données projet'!$A$166&gt;35,DO18+DN19-DW18,IF(A19&lt;'Données projet'!$A$166,$DL$205^A19,IF(A19='Données projet'!$A$166,'Données projet'!$B$166,DO18+DN19-DW18)))</f>
        <v>48.6</v>
      </c>
      <c r="DP19" s="17">
        <f>DO19*VLOOKUP('Données projet'!$B$14,Paramètres!$A$1:$I$89,3,0)*VLOOKUP('Données projet'!$B$14,Paramètres!$A$1:$I$89,5,0)</f>
        <v>38.666160000000005</v>
      </c>
      <c r="DQ19" s="13">
        <f t="shared" si="43"/>
        <v>11.644417682758437</v>
      </c>
      <c r="DR19" s="20">
        <f t="shared" si="16"/>
        <v>87.624256130804284</v>
      </c>
      <c r="DS19" s="59">
        <f t="shared" si="17"/>
        <v>380.95758946413758</v>
      </c>
      <c r="DT19" s="59">
        <f ca="1">AVERAGE(OFFSET($DS$3,0,0,'Données projet'!$E$14+1,1))-AVERAGE(OFFSET($H$3,0,0,'Données projet'!$E$14+1,1))</f>
        <v>215.37468832969444</v>
      </c>
      <c r="DU19" s="59">
        <f t="shared" si="44"/>
        <v>208.60212063136419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11.6</v>
      </c>
      <c r="EJ19" s="12">
        <f>IF('Données projet'!$A$192&gt;35,EJ18+EI19-ER18,IF(A19&lt;'Données projet'!$A$192,$EG$205^A19,IF(A19='Données projet'!$A$192,'Données projet'!$B$192,EJ18+EI19-ER18)))</f>
        <v>48.6</v>
      </c>
      <c r="EK19" s="17">
        <f>EJ19*VLOOKUP('Données projet'!$B$15,Paramètres!$A$1:$I$89,3,0)*VLOOKUP('Données projet'!$B$15,Paramètres!$A$1:$I$89,5,0)</f>
        <v>38.666160000000005</v>
      </c>
      <c r="EL19" s="13">
        <f t="shared" si="45"/>
        <v>11.644417682758437</v>
      </c>
      <c r="EM19" s="20">
        <f t="shared" si="19"/>
        <v>87.624256130804284</v>
      </c>
      <c r="EN19" s="59">
        <f t="shared" si="20"/>
        <v>380.95758946413758</v>
      </c>
      <c r="EO19" s="59">
        <f ca="1">AVERAGE(OFFSET($EN$3,0,0,'Données projet'!$E$15+1,1))-AVERAGE(OFFSET($H$3,0,0,'Données projet'!$E$15+1,1))</f>
        <v>215.37468832969444</v>
      </c>
      <c r="EP19" s="59">
        <f t="shared" si="46"/>
        <v>208.60212063136419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11.6</v>
      </c>
      <c r="FE19" s="12">
        <f>IF('Données projet'!$A$218&gt;35,FE18+FD19-FM18,IF(A19&lt;'Données projet'!$A$218,$FB$205^A19,IF(A19='Données projet'!$A$218,'Données projet'!$B$218,FE18+FD19-FM18)))</f>
        <v>48.6</v>
      </c>
      <c r="FF19" s="17">
        <f>FE19*VLOOKUP('Données projet'!$B$16,Paramètres!$A$1:$I$89,3,0)*VLOOKUP('Données projet'!$B$16,Paramètres!$A$1:$I$89,5,0)</f>
        <v>39.424320000000002</v>
      </c>
      <c r="FG19" s="13">
        <f t="shared" si="47"/>
        <v>11.845934362920314</v>
      </c>
      <c r="FH19" s="20">
        <f t="shared" si="22"/>
        <v>89.295693015419545</v>
      </c>
      <c r="FI19" s="59">
        <f t="shared" si="23"/>
        <v>382.62902634875286</v>
      </c>
      <c r="FJ19" s="59">
        <f ca="1">AVERAGE(OFFSET($FI$3,0,0,'Données projet'!$E$16+1,1))-AVERAGE(OFFSET($H$3,0,0,'Données projet'!$E$16+1,1))</f>
        <v>220.90439367987847</v>
      </c>
      <c r="FK19" s="59">
        <f t="shared" si="48"/>
        <v>213.66046131354858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1">
        <f t="shared" si="32"/>
        <v>4.6825473896592289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67">
        <f t="shared" si="1"/>
        <v>325.50705003698982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1.7</v>
      </c>
      <c r="N20" s="13">
        <f>IF('Données projet'!$A$36&gt;35,N19+M20-V19,IF(A20&lt;'Données projet'!$A$36,$K$205^A20,IF(A20='Données projet'!$A$36,'Données projet'!$B$36,N19+M20-V19)))</f>
        <v>28.399999999999991</v>
      </c>
      <c r="O20" s="13">
        <f>N20*VLOOKUP('Données projet'!$B$9,Paramètres!$A$1:$I$89,3,0)*VLOOKUP('Données projet'!$B$9,Paramètres!$A$1:$I$89,5,0)</f>
        <v>13.291199999999996</v>
      </c>
      <c r="P20" s="13">
        <f t="shared" si="33"/>
        <v>4.5324537994977705</v>
      </c>
      <c r="Q20" s="20">
        <f t="shared" si="2"/>
        <v>31.042863700791941</v>
      </c>
      <c r="R20" s="59">
        <f t="shared" si="0"/>
        <v>324.37619703412525</v>
      </c>
      <c r="S20" s="59">
        <f ca="1">AVERAGE(OFFSET($R$3,0,0,'Données projet'!$E$9+1,1))-AVERAGE(OFFSET($H$3,0,0,'Données projet'!$E$9+1,1))</f>
        <v>196.72624686715807</v>
      </c>
      <c r="T20" s="59">
        <f t="shared" si="34"/>
        <v>37.315661698104691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</v>
      </c>
      <c r="AI20" s="13">
        <f>IF('Données projet'!$A$62&gt;35,AI19+AH20-AQ19,IF(A20&lt;'Données projet'!$A$62,$AF$205^A20,IF(A20='Données projet'!$A$62,'Données projet'!$B$62,AI19+AH20-AQ19)))</f>
        <v>125</v>
      </c>
      <c r="AJ20" s="13">
        <f>AI20*VLOOKUP('Données projet'!$B$10,Paramètres!$A$1:$I$89,3,0)*VLOOKUP('Données projet'!$B$10,Paramètres!$A$1:$I$89,5,0)</f>
        <v>69.875</v>
      </c>
      <c r="AK20" s="13">
        <f t="shared" si="35"/>
        <v>19.64241243753855</v>
      </c>
      <c r="AL20" s="20">
        <f t="shared" si="4"/>
        <v>155.90949332871295</v>
      </c>
      <c r="AM20" s="59">
        <f t="shared" si="5"/>
        <v>449.24282666204624</v>
      </c>
      <c r="AN20" s="59">
        <f ca="1">AVERAGE(OFFSET($AM$3,0,0,'Données projet'!$E$10+1,1))-AVERAGE(OFFSET($H$3,0,0,'Données projet'!$E$10+1,1))</f>
        <v>325.42940802362739</v>
      </c>
      <c r="AO20" s="59">
        <f t="shared" si="36"/>
        <v>388.87198417542277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9.25</v>
      </c>
      <c r="BD20" s="12">
        <f>IF('Données projet'!$A$88&gt;35,BD19+BC20-BL19,IF(A20&lt;'Données projet'!$A$88,$BA$205^A20,IF(A20='Données projet'!$A$88,'Données projet'!$B$88,BD19+BC20-BL19)))</f>
        <v>101.75</v>
      </c>
      <c r="BE20" s="13">
        <f>BD20*VLOOKUP('Données projet'!$B$11,Paramètres!$A$1:$I$89,3,0)*VLOOKUP('Données projet'!$B$11,Paramètres!$A$1:$I$89,5,0)</f>
        <v>63.491999999999997</v>
      </c>
      <c r="BF20" s="13">
        <f t="shared" si="37"/>
        <v>18.048228468163369</v>
      </c>
      <c r="BG20" s="20">
        <f t="shared" si="7"/>
        <v>142.01589791538453</v>
      </c>
      <c r="BH20" s="59">
        <f t="shared" si="8"/>
        <v>435.34923124871784</v>
      </c>
      <c r="BI20" s="59">
        <f ca="1">AVERAGE(OFFSET($BH$3,0,0,'Données projet'!$E$11+1,1))-AVERAGE(OFFSET($H$3,0,0,'Données projet'!$E$11+1,1))</f>
        <v>162.87524915738271</v>
      </c>
      <c r="BJ20" s="59">
        <f t="shared" si="38"/>
        <v>249.37880137966658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11.6</v>
      </c>
      <c r="BY20" s="12">
        <f>IF('Données projet'!$A$114&gt;35,BY19+BX20-CG19,IF(A20&lt;'Données projet'!$A$114,$BV$205^A20,IF(A20='Données projet'!$A$114,'Données projet'!$B$114,BY19+BX20-CG19)))</f>
        <v>60.2</v>
      </c>
      <c r="BZ20" s="13">
        <f>BY20*VLOOKUP('Données projet'!$B$12,Paramètres!$A$1:$I$89,3,0)*VLOOKUP('Données projet'!$B$12,Paramètres!$A$1:$I$89,5,0)</f>
        <v>39.443039999999996</v>
      </c>
      <c r="CA20" s="13">
        <f t="shared" si="39"/>
        <v>11.850904343164059</v>
      </c>
      <c r="CB20" s="20">
        <f t="shared" si="10"/>
        <v>89.336953064344058</v>
      </c>
      <c r="CC20" s="59">
        <f t="shared" si="11"/>
        <v>382.67028639767739</v>
      </c>
      <c r="CD20" s="59">
        <f ca="1">AVERAGE(OFFSET($CC$3,0,0,'Données projet'!$E$12+1,1))-AVERAGE(OFFSET($H$3,0,0,'Données projet'!$E$12+1,1))</f>
        <v>119.88584888779422</v>
      </c>
      <c r="CE20" s="59">
        <f t="shared" si="40"/>
        <v>162.97244314258774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</v>
      </c>
      <c r="CT20" s="12">
        <f>IF('Données projet'!$A$140&gt;35,CT19+CS20-DB19,IF(A20&lt;'Données projet'!$A$140,$CQ$205^A20,IF(A20='Données projet'!$A$140,'Données projet'!$B$140,CT19+CS20-DB19)))</f>
        <v>62</v>
      </c>
      <c r="CU20" s="17">
        <f>CT20*VLOOKUP('Données projet'!$B$13,Paramètres!$A$1:$I$89,3,0)*VLOOKUP('Données projet'!$B$13,Paramètres!$A$1:$I$89,5,0)</f>
        <v>62.868000000000009</v>
      </c>
      <c r="CV20" s="13">
        <f t="shared" si="41"/>
        <v>17.891407141629873</v>
      </c>
      <c r="CW20" s="20">
        <f t="shared" si="13"/>
        <v>140.65596743833871</v>
      </c>
      <c r="CX20" s="59">
        <f t="shared" si="14"/>
        <v>433.98930077167199</v>
      </c>
      <c r="CY20" s="59">
        <f ca="1">AVERAGE(OFFSET($CX$3,0,0,'Données projet'!$E$13+1,1))-AVERAGE(OFFSET($H$3,0,0,'Données projet'!$E$13+1,1))</f>
        <v>261.75887764015459</v>
      </c>
      <c r="CZ20" s="59">
        <f t="shared" si="42"/>
        <v>209.74127356028544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11.6</v>
      </c>
      <c r="DO20" s="12">
        <f>IF('Données projet'!$A$166&gt;35,DO19+DN20-DW19,IF(A20&lt;'Données projet'!$A$166,$DL$205^A20,IF(A20='Données projet'!$A$166,'Données projet'!$B$166,DO19+DN20-DW19)))</f>
        <v>60.2</v>
      </c>
      <c r="DP20" s="17">
        <f>DO20*VLOOKUP('Données projet'!$B$14,Paramètres!$A$1:$I$89,3,0)*VLOOKUP('Données projet'!$B$14,Paramètres!$A$1:$I$89,5,0)</f>
        <v>47.895120000000006</v>
      </c>
      <c r="DQ20" s="13">
        <f t="shared" si="43"/>
        <v>14.068812032564205</v>
      </c>
      <c r="DR20" s="20">
        <f t="shared" si="16"/>
        <v>107.92051495671599</v>
      </c>
      <c r="DS20" s="59">
        <f t="shared" si="17"/>
        <v>401.25384829004929</v>
      </c>
      <c r="DT20" s="59">
        <f ca="1">AVERAGE(OFFSET($DS$3,0,0,'Données projet'!$E$14+1,1))-AVERAGE(OFFSET($H$3,0,0,'Données projet'!$E$14+1,1))</f>
        <v>215.37468832969444</v>
      </c>
      <c r="DU20" s="59">
        <f t="shared" si="44"/>
        <v>208.60212063136419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11.6</v>
      </c>
      <c r="EJ20" s="12">
        <f>IF('Données projet'!$A$192&gt;35,EJ19+EI20-ER19,IF(A20&lt;'Données projet'!$A$192,$EG$205^A20,IF(A20='Données projet'!$A$192,'Données projet'!$B$192,EJ19+EI20-ER19)))</f>
        <v>60.2</v>
      </c>
      <c r="EK20" s="17">
        <f>EJ20*VLOOKUP('Données projet'!$B$15,Paramètres!$A$1:$I$89,3,0)*VLOOKUP('Données projet'!$B$15,Paramètres!$A$1:$I$89,5,0)</f>
        <v>47.895120000000006</v>
      </c>
      <c r="EL20" s="13">
        <f t="shared" si="45"/>
        <v>14.068812032564205</v>
      </c>
      <c r="EM20" s="20">
        <f t="shared" si="19"/>
        <v>107.92051495671599</v>
      </c>
      <c r="EN20" s="59">
        <f t="shared" si="20"/>
        <v>401.25384829004929</v>
      </c>
      <c r="EO20" s="59">
        <f ca="1">AVERAGE(OFFSET($EN$3,0,0,'Données projet'!$E$15+1,1))-AVERAGE(OFFSET($H$3,0,0,'Données projet'!$E$15+1,1))</f>
        <v>215.37468832969444</v>
      </c>
      <c r="EP20" s="59">
        <f t="shared" si="46"/>
        <v>208.60212063136419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11.6</v>
      </c>
      <c r="FE20" s="12">
        <f>IF('Données projet'!$A$218&gt;35,FE19+FD20-FM19,IF(A20&lt;'Données projet'!$A$218,$FB$205^A20,IF(A20='Données projet'!$A$218,'Données projet'!$B$218,FE19+FD20-FM19)))</f>
        <v>60.2</v>
      </c>
      <c r="FF20" s="17">
        <f>FE20*VLOOKUP('Données projet'!$B$16,Paramètres!$A$1:$I$89,3,0)*VLOOKUP('Données projet'!$B$16,Paramètres!$A$1:$I$89,5,0)</f>
        <v>48.834240000000008</v>
      </c>
      <c r="FG20" s="13">
        <f t="shared" si="47"/>
        <v>14.312284945668457</v>
      </c>
      <c r="FH20" s="20">
        <f t="shared" si="22"/>
        <v>109.98019761370591</v>
      </c>
      <c r="FI20" s="59">
        <f t="shared" si="23"/>
        <v>403.31353094703923</v>
      </c>
      <c r="FJ20" s="59">
        <f ca="1">AVERAGE(OFFSET($FI$3,0,0,'Données projet'!$E$16+1,1))-AVERAGE(OFFSET($H$3,0,0,'Données projet'!$E$16+1,1))</f>
        <v>220.90439367987847</v>
      </c>
      <c r="FK20" s="59">
        <f t="shared" si="48"/>
        <v>213.66046131354858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1">
        <f t="shared" si="32"/>
        <v>4.9251141417391402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67">
        <f t="shared" si="1"/>
        <v>327.34236046352896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1.7</v>
      </c>
      <c r="N21" s="13">
        <f>IF('Données projet'!$A$36&gt;35,N20+M21-V20,IF(A21&lt;'Données projet'!$A$36,$K$205^A21,IF(A21='Données projet'!$A$36,'Données projet'!$B$36,N20+M21-V20)))</f>
        <v>30.099999999999991</v>
      </c>
      <c r="O21" s="13">
        <f>N21*VLOOKUP('Données projet'!$B$9,Paramètres!$A$1:$I$89,3,0)*VLOOKUP('Données projet'!$B$9,Paramètres!$A$1:$I$89,5,0)</f>
        <v>14.086799999999997</v>
      </c>
      <c r="P21" s="13">
        <f t="shared" si="33"/>
        <v>4.77136517196712</v>
      </c>
      <c r="Q21" s="20">
        <f t="shared" si="2"/>
        <v>32.844637674509393</v>
      </c>
      <c r="R21" s="59">
        <f t="shared" si="0"/>
        <v>326.1779710078427</v>
      </c>
      <c r="S21" s="59">
        <f ca="1">AVERAGE(OFFSET($R$3,0,0,'Données projet'!$E$9+1,1))-AVERAGE(OFFSET($H$3,0,0,'Données projet'!$E$9+1,1))</f>
        <v>196.72624686715807</v>
      </c>
      <c r="T21" s="59">
        <f t="shared" si="34"/>
        <v>37.315661698104691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</v>
      </c>
      <c r="AI21" s="13">
        <f>IF('Données projet'!$A$62&gt;35,AI20+AH21-AQ20,IF(A21&lt;'Données projet'!$A$62,$AF$205^A21,IF(A21='Données projet'!$A$62,'Données projet'!$B$62,AI20+AH21-AQ20)))</f>
        <v>137</v>
      </c>
      <c r="AJ21" s="13">
        <f>AI21*VLOOKUP('Données projet'!$B$10,Paramètres!$A$1:$I$89,3,0)*VLOOKUP('Données projet'!$B$10,Paramètres!$A$1:$I$89,5,0)</f>
        <v>76.582999999999998</v>
      </c>
      <c r="AK21" s="13">
        <f t="shared" si="35"/>
        <v>21.299599208435275</v>
      </c>
      <c r="AL21" s="20">
        <f t="shared" si="4"/>
        <v>170.47886028802475</v>
      </c>
      <c r="AM21" s="59">
        <f t="shared" si="5"/>
        <v>463.81219362135806</v>
      </c>
      <c r="AN21" s="59">
        <f ca="1">AVERAGE(OFFSET($AM$3,0,0,'Données projet'!$E$10+1,1))-AVERAGE(OFFSET($H$3,0,0,'Données projet'!$E$10+1,1))</f>
        <v>325.42940802362739</v>
      </c>
      <c r="AO21" s="59">
        <f t="shared" si="36"/>
        <v>388.87198417542277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112</v>
      </c>
      <c r="BB21" s="12">
        <f>VLOOKUP(A21,'Données projet'!$A$87:$I$107,9,0)</f>
        <v>9.25</v>
      </c>
      <c r="BC21" s="12">
        <f t="array" ref="BC21">INDEX(BB:BB,MIN(IF(ISNUMBER(BB21:BB217),ROW(BB21:BB217),"")))</f>
        <v>9.25</v>
      </c>
      <c r="BD21" s="12">
        <f>IF('Données projet'!$A$88&gt;35,BD20+BC21-BL20,IF(A21&lt;'Données projet'!$A$88,$BA$205^A21,IF(A21='Données projet'!$A$88,'Données projet'!$B$88,BD20+BC21-BL20)))</f>
        <v>111</v>
      </c>
      <c r="BE21" s="13">
        <f>BD21*VLOOKUP('Données projet'!$B$11,Paramètres!$A$1:$I$89,3,0)*VLOOKUP('Données projet'!$B$11,Paramètres!$A$1:$I$89,5,0)</f>
        <v>69.26400000000001</v>
      </c>
      <c r="BF21" s="13">
        <f t="shared" si="37"/>
        <v>19.490570545800445</v>
      </c>
      <c r="BG21" s="20">
        <f t="shared" si="7"/>
        <v>154.58087703393579</v>
      </c>
      <c r="BH21" s="59">
        <f t="shared" si="8"/>
        <v>447.91421036726911</v>
      </c>
      <c r="BI21" s="59">
        <f ca="1">AVERAGE(OFFSET($BH$3,0,0,'Données projet'!$E$11+1,1))-AVERAGE(OFFSET($H$3,0,0,'Données projet'!$E$11+1,1))</f>
        <v>162.87524915738271</v>
      </c>
      <c r="BJ21" s="59">
        <f t="shared" si="38"/>
        <v>249.37880137966658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0.36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5.9365220386168849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5.9365220386168849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11.6</v>
      </c>
      <c r="BY21" s="12">
        <f>IF('Données projet'!$A$114&gt;35,BY20+BX21-CG20,IF(A21&lt;'Données projet'!$A$114,$BV$205^A21,IF(A21='Données projet'!$A$114,'Données projet'!$B$114,BY20+BX21-CG20)))</f>
        <v>71.8</v>
      </c>
      <c r="BZ21" s="13">
        <f>BY21*VLOOKUP('Données projet'!$B$12,Paramètres!$A$1:$I$89,3,0)*VLOOKUP('Données projet'!$B$12,Paramètres!$A$1:$I$89,5,0)</f>
        <v>47.04336</v>
      </c>
      <c r="CA21" s="13">
        <f t="shared" si="39"/>
        <v>13.847506953649479</v>
      </c>
      <c r="CB21" s="20">
        <f t="shared" si="10"/>
        <v>106.05159327760617</v>
      </c>
      <c r="CC21" s="59">
        <f t="shared" si="11"/>
        <v>399.38492661093949</v>
      </c>
      <c r="CD21" s="59">
        <f ca="1">AVERAGE(OFFSET($CC$3,0,0,'Données projet'!$E$12+1,1))-AVERAGE(OFFSET($H$3,0,0,'Données projet'!$E$12+1,1))</f>
        <v>119.88584888779422</v>
      </c>
      <c r="CE21" s="59">
        <f t="shared" si="40"/>
        <v>162.97244314258774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</v>
      </c>
      <c r="CT21" s="12">
        <f>IF('Données projet'!$A$140&gt;35,CT20+CS21-DB20,IF(A21&lt;'Données projet'!$A$140,$CQ$205^A21,IF(A21='Données projet'!$A$140,'Données projet'!$B$140,CT20+CS21-DB20)))</f>
        <v>66</v>
      </c>
      <c r="CU21" s="17">
        <f>CT21*VLOOKUP('Données projet'!$B$13,Paramètres!$A$1:$I$89,3,0)*VLOOKUP('Données projet'!$B$13,Paramètres!$A$1:$I$89,5,0)</f>
        <v>66.924000000000007</v>
      </c>
      <c r="CV21" s="13">
        <f t="shared" si="41"/>
        <v>18.90759204786767</v>
      </c>
      <c r="CW21" s="20">
        <f t="shared" si="13"/>
        <v>149.49002281670286</v>
      </c>
      <c r="CX21" s="59">
        <f t="shared" si="14"/>
        <v>442.82335615003615</v>
      </c>
      <c r="CY21" s="59">
        <f ca="1">AVERAGE(OFFSET($CX$3,0,0,'Données projet'!$E$13+1,1))-AVERAGE(OFFSET($H$3,0,0,'Données projet'!$E$13+1,1))</f>
        <v>261.75887764015459</v>
      </c>
      <c r="CZ21" s="59">
        <f t="shared" si="42"/>
        <v>209.74127356028544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11.6</v>
      </c>
      <c r="DO21" s="12">
        <f>IF('Données projet'!$A$166&gt;35,DO20+DN21-DW20,IF(A21&lt;'Données projet'!$A$166,$DL$205^A21,IF(A21='Données projet'!$A$166,'Données projet'!$B$166,DO20+DN21-DW20)))</f>
        <v>71.8</v>
      </c>
      <c r="DP21" s="17">
        <f>DO21*VLOOKUP('Données projet'!$B$14,Paramètres!$A$1:$I$89,3,0)*VLOOKUP('Données projet'!$B$14,Paramètres!$A$1:$I$89,5,0)</f>
        <v>57.124080000000006</v>
      </c>
      <c r="DQ21" s="13">
        <f t="shared" si="43"/>
        <v>16.439080665003988</v>
      </c>
      <c r="DR21" s="20">
        <f t="shared" si="16"/>
        <v>128.12250482488196</v>
      </c>
      <c r="DS21" s="59">
        <f t="shared" si="17"/>
        <v>421.45583815821527</v>
      </c>
      <c r="DT21" s="59">
        <f ca="1">AVERAGE(OFFSET($DS$3,0,0,'Données projet'!$E$14+1,1))-AVERAGE(OFFSET($H$3,0,0,'Données projet'!$E$14+1,1))</f>
        <v>215.37468832969444</v>
      </c>
      <c r="DU21" s="59">
        <f t="shared" si="44"/>
        <v>208.60212063136419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11.6</v>
      </c>
      <c r="EJ21" s="12">
        <f>IF('Données projet'!$A$192&gt;35,EJ20+EI21-ER20,IF(A21&lt;'Données projet'!$A$192,$EG$205^A21,IF(A21='Données projet'!$A$192,'Données projet'!$B$192,EJ20+EI21-ER20)))</f>
        <v>71.8</v>
      </c>
      <c r="EK21" s="17">
        <f>EJ21*VLOOKUP('Données projet'!$B$15,Paramètres!$A$1:$I$89,3,0)*VLOOKUP('Données projet'!$B$15,Paramètres!$A$1:$I$89,5,0)</f>
        <v>57.124080000000006</v>
      </c>
      <c r="EL21" s="13">
        <f t="shared" si="45"/>
        <v>16.439080665003988</v>
      </c>
      <c r="EM21" s="20">
        <f t="shared" si="19"/>
        <v>128.12250482488196</v>
      </c>
      <c r="EN21" s="59">
        <f t="shared" si="20"/>
        <v>421.45583815821527</v>
      </c>
      <c r="EO21" s="59">
        <f ca="1">AVERAGE(OFFSET($EN$3,0,0,'Données projet'!$E$15+1,1))-AVERAGE(OFFSET($H$3,0,0,'Données projet'!$E$15+1,1))</f>
        <v>215.37468832969444</v>
      </c>
      <c r="EP21" s="59">
        <f t="shared" si="46"/>
        <v>208.60212063136419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11.6</v>
      </c>
      <c r="FE21" s="12">
        <f>IF('Données projet'!$A$218&gt;35,FE20+FD21-FM20,IF(A21&lt;'Données projet'!$A$218,$FB$205^A21,IF(A21='Données projet'!$A$218,'Données projet'!$B$218,FE20+FD21-FM20)))</f>
        <v>71.8</v>
      </c>
      <c r="FF21" s="17">
        <f>FE21*VLOOKUP('Données projet'!$B$16,Paramètres!$A$1:$I$89,3,0)*VLOOKUP('Données projet'!$B$16,Paramètres!$A$1:$I$89,5,0)</f>
        <v>58.244160000000001</v>
      </c>
      <c r="FG21" s="13">
        <f t="shared" si="47"/>
        <v>16.723573118879983</v>
      </c>
      <c r="FH21" s="20">
        <f t="shared" si="22"/>
        <v>130.56880184871594</v>
      </c>
      <c r="FI21" s="59">
        <f t="shared" si="23"/>
        <v>423.90213518204928</v>
      </c>
      <c r="FJ21" s="59">
        <f ca="1">AVERAGE(OFFSET($FI$3,0,0,'Données projet'!$E$16+1,1))-AVERAGE(OFFSET($H$3,0,0,'Données projet'!$E$16+1,1))</f>
        <v>220.90439367987847</v>
      </c>
      <c r="FK21" s="59">
        <f t="shared" si="48"/>
        <v>213.66046131354858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1">
        <f t="shared" si="32"/>
        <v>5.1661165069289936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67">
        <f t="shared" si="1"/>
        <v>329.17494624956799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1.7</v>
      </c>
      <c r="N22" s="13">
        <f>IF('Données projet'!$A$36&gt;35,N21+M22-V21,IF(A22&lt;'Données projet'!$A$36,$K$205^A22,IF(A22='Données projet'!$A$36,'Données projet'!$B$36,N21+M22-V21)))</f>
        <v>31.79999999999999</v>
      </c>
      <c r="O22" s="13">
        <f>N22*VLOOKUP('Données projet'!$B$9,Paramètres!$A$1:$I$89,3,0)*VLOOKUP('Données projet'!$B$9,Paramètres!$A$1:$I$89,5,0)</f>
        <v>14.882399999999997</v>
      </c>
      <c r="P22" s="13">
        <f t="shared" si="33"/>
        <v>5.0087101928722531</v>
      </c>
      <c r="Q22" s="20">
        <f t="shared" si="2"/>
        <v>34.64368358591917</v>
      </c>
      <c r="R22" s="59">
        <f t="shared" si="0"/>
        <v>327.97701691925249</v>
      </c>
      <c r="S22" s="59">
        <f ca="1">AVERAGE(OFFSET($R$3,0,0,'Données projet'!$E$9+1,1))-AVERAGE(OFFSET($H$3,0,0,'Données projet'!$E$9+1,1))</f>
        <v>196.72624686715807</v>
      </c>
      <c r="T22" s="59">
        <f t="shared" si="34"/>
        <v>37.315661698104691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</v>
      </c>
      <c r="AI22" s="13">
        <f>IF('Données projet'!$A$62&gt;35,AI21+AH22-AQ21,IF(A22&lt;'Données projet'!$A$62,$AF$205^A22,IF(A22='Données projet'!$A$62,'Données projet'!$B$62,AI21+AH22-AQ21)))</f>
        <v>149</v>
      </c>
      <c r="AJ22" s="13">
        <f>AI22*VLOOKUP('Données projet'!$B$10,Paramètres!$A$1:$I$89,3,0)*VLOOKUP('Données projet'!$B$10,Paramètres!$A$1:$I$89,5,0)</f>
        <v>83.290999999999997</v>
      </c>
      <c r="AK22" s="13">
        <f t="shared" si="35"/>
        <v>22.939953069474296</v>
      </c>
      <c r="AL22" s="20">
        <f t="shared" si="4"/>
        <v>185.0189099293344</v>
      </c>
      <c r="AM22" s="59">
        <f t="shared" si="5"/>
        <v>478.35224326266768</v>
      </c>
      <c r="AN22" s="59">
        <f ca="1">AVERAGE(OFFSET($AM$3,0,0,'Données projet'!$E$10+1,1))-AVERAGE(OFFSET($H$3,0,0,'Données projet'!$E$10+1,1))</f>
        <v>325.42940802362739</v>
      </c>
      <c r="AO22" s="59">
        <f t="shared" si="36"/>
        <v>388.87198417542277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109</v>
      </c>
      <c r="BE22" s="13">
        <f>BD22*VLOOKUP('Données projet'!$B$11,Paramètres!$A$1:$I$89,3,0)*VLOOKUP('Données projet'!$B$11,Paramètres!$A$1:$I$89,5,0)</f>
        <v>68.016000000000005</v>
      </c>
      <c r="BF22" s="13">
        <f t="shared" si="37"/>
        <v>19.17993901277946</v>
      </c>
      <c r="BG22" s="20">
        <f t="shared" si="7"/>
        <v>151.86626044725756</v>
      </c>
      <c r="BH22" s="59">
        <f t="shared" si="8"/>
        <v>445.19959378059087</v>
      </c>
      <c r="BI22" s="59">
        <f ca="1">AVERAGE(OFFSET($BH$3,0,0,'Données projet'!$E$11+1,1))-AVERAGE(OFFSET($H$3,0,0,'Données projet'!$E$11+1,1))</f>
        <v>162.87524915738271</v>
      </c>
      <c r="BJ22" s="59">
        <f t="shared" si="38"/>
        <v>249.37880137966658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5.77418753128278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5.77418753128278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11.6</v>
      </c>
      <c r="BY22" s="12">
        <f>IF('Données projet'!$A$114&gt;35,BY21+BX22-CG21,IF(A22&lt;'Données projet'!$A$114,$BV$205^A22,IF(A22='Données projet'!$A$114,'Données projet'!$B$114,BY21+BX22-CG21)))</f>
        <v>83.399999999999991</v>
      </c>
      <c r="BZ22" s="13">
        <f>BY22*VLOOKUP('Données projet'!$B$12,Paramètres!$A$1:$I$89,3,0)*VLOOKUP('Données projet'!$B$12,Paramètres!$A$1:$I$89,5,0)</f>
        <v>54.643679999999989</v>
      </c>
      <c r="CA22" s="13">
        <f t="shared" si="39"/>
        <v>15.806741657278613</v>
      </c>
      <c r="CB22" s="20">
        <f t="shared" si="10"/>
        <v>122.70115105309355</v>
      </c>
      <c r="CC22" s="59">
        <f t="shared" si="11"/>
        <v>416.03448438642687</v>
      </c>
      <c r="CD22" s="59">
        <f ca="1">AVERAGE(OFFSET($CC$3,0,0,'Données projet'!$E$12+1,1))-AVERAGE(OFFSET($H$3,0,0,'Données projet'!$E$12+1,1))</f>
        <v>119.88584888779422</v>
      </c>
      <c r="CE22" s="59">
        <f t="shared" si="40"/>
        <v>162.97244314258774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</v>
      </c>
      <c r="CT22" s="12">
        <f>IF('Données projet'!$A$140&gt;35,CT21+CS22-DB21,IF(A22&lt;'Données projet'!$A$140,$CQ$205^A22,IF(A22='Données projet'!$A$140,'Données projet'!$B$140,CT21+CS22-DB21)))</f>
        <v>70</v>
      </c>
      <c r="CU22" s="17">
        <f>CT22*VLOOKUP('Données projet'!$B$13,Paramètres!$A$1:$I$89,3,0)*VLOOKUP('Données projet'!$B$13,Paramètres!$A$1:$I$89,5,0)</f>
        <v>70.98</v>
      </c>
      <c r="CV22" s="13">
        <f t="shared" si="41"/>
        <v>19.916628839746853</v>
      </c>
      <c r="CW22" s="20">
        <f t="shared" si="13"/>
        <v>158.31162856255909</v>
      </c>
      <c r="CX22" s="59">
        <f t="shared" si="14"/>
        <v>451.64496189589238</v>
      </c>
      <c r="CY22" s="59">
        <f ca="1">AVERAGE(OFFSET($CX$3,0,0,'Données projet'!$E$13+1,1))-AVERAGE(OFFSET($H$3,0,0,'Données projet'!$E$13+1,1))</f>
        <v>261.75887764015459</v>
      </c>
      <c r="CZ22" s="59">
        <f t="shared" si="42"/>
        <v>209.74127356028544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11.6</v>
      </c>
      <c r="DO22" s="12">
        <f>IF('Données projet'!$A$166&gt;35,DO21+DN22-DW21,IF(A22&lt;'Données projet'!$A$166,$DL$205^A22,IF(A22='Données projet'!$A$166,'Données projet'!$B$166,DO21+DN22-DW21)))</f>
        <v>83.399999999999991</v>
      </c>
      <c r="DP22" s="17">
        <f>DO22*VLOOKUP('Données projet'!$B$14,Paramètres!$A$1:$I$89,3,0)*VLOOKUP('Données projet'!$B$14,Paramètres!$A$1:$I$89,5,0)</f>
        <v>66.353040000000007</v>
      </c>
      <c r="DQ22" s="13">
        <f t="shared" si="43"/>
        <v>18.76498795231873</v>
      </c>
      <c r="DR22" s="20">
        <f t="shared" si="16"/>
        <v>148.24723201695511</v>
      </c>
      <c r="DS22" s="59">
        <f t="shared" si="17"/>
        <v>441.58056535028845</v>
      </c>
      <c r="DT22" s="59">
        <f ca="1">AVERAGE(OFFSET($DS$3,0,0,'Données projet'!$E$14+1,1))-AVERAGE(OFFSET($H$3,0,0,'Données projet'!$E$14+1,1))</f>
        <v>215.37468832969444</v>
      </c>
      <c r="DU22" s="59">
        <f t="shared" si="44"/>
        <v>208.60212063136419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11.6</v>
      </c>
      <c r="EJ22" s="12">
        <f>IF('Données projet'!$A$192&gt;35,EJ21+EI22-ER21,IF(A22&lt;'Données projet'!$A$192,$EG$205^A22,IF(A22='Données projet'!$A$192,'Données projet'!$B$192,EJ21+EI22-ER21)))</f>
        <v>83.399999999999991</v>
      </c>
      <c r="EK22" s="17">
        <f>EJ22*VLOOKUP('Données projet'!$B$15,Paramètres!$A$1:$I$89,3,0)*VLOOKUP('Données projet'!$B$15,Paramètres!$A$1:$I$89,5,0)</f>
        <v>66.353040000000007</v>
      </c>
      <c r="EL22" s="13">
        <f t="shared" si="45"/>
        <v>18.76498795231873</v>
      </c>
      <c r="EM22" s="20">
        <f t="shared" si="19"/>
        <v>148.24723201695511</v>
      </c>
      <c r="EN22" s="59">
        <f t="shared" si="20"/>
        <v>441.58056535028845</v>
      </c>
      <c r="EO22" s="59">
        <f ca="1">AVERAGE(OFFSET($EN$3,0,0,'Données projet'!$E$15+1,1))-AVERAGE(OFFSET($H$3,0,0,'Données projet'!$E$15+1,1))</f>
        <v>215.37468832969444</v>
      </c>
      <c r="EP22" s="59">
        <f t="shared" si="46"/>
        <v>208.60212063136419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11.6</v>
      </c>
      <c r="FE22" s="12">
        <f>IF('Données projet'!$A$218&gt;35,FE21+FD22-FM21,IF(A22&lt;'Données projet'!$A$218,$FB$205^A22,IF(A22='Données projet'!$A$218,'Données projet'!$B$218,FE21+FD22-FM21)))</f>
        <v>83.399999999999991</v>
      </c>
      <c r="FF22" s="17">
        <f>FE22*VLOOKUP('Données projet'!$B$16,Paramètres!$A$1:$I$89,3,0)*VLOOKUP('Données projet'!$B$16,Paramètres!$A$1:$I$89,5,0)</f>
        <v>67.654079999999993</v>
      </c>
      <c r="FG22" s="13">
        <f t="shared" si="47"/>
        <v>19.089732235669874</v>
      </c>
      <c r="FH22" s="20">
        <f t="shared" si="22"/>
        <v>151.07880631045833</v>
      </c>
      <c r="FI22" s="59">
        <f t="shared" si="23"/>
        <v>444.41213964379165</v>
      </c>
      <c r="FJ22" s="59">
        <f ca="1">AVERAGE(OFFSET($FI$3,0,0,'Données projet'!$E$16+1,1))-AVERAGE(OFFSET($H$3,0,0,'Données projet'!$E$16+1,1))</f>
        <v>220.90439367987847</v>
      </c>
      <c r="FK22" s="59">
        <f t="shared" si="48"/>
        <v>213.66046131354858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1">
        <f t="shared" si="32"/>
        <v>5.4056462111722139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67">
        <f t="shared" si="1"/>
        <v>331.0049671511249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1.7</v>
      </c>
      <c r="N23" s="13">
        <f>IF('Données projet'!$A$36&gt;35,N22+M23-V22,IF(A23&lt;'Données projet'!$A$36,$K$205^A23,IF(A23='Données projet'!$A$36,'Données projet'!$B$36,N22+M23-V22)))</f>
        <v>33.499999999999993</v>
      </c>
      <c r="O23" s="13">
        <f>N23*VLOOKUP('Données projet'!$B$9,Paramètres!$A$1:$I$89,3,0)*VLOOKUP('Données projet'!$B$9,Paramètres!$A$1:$I$89,5,0)</f>
        <v>15.677999999999997</v>
      </c>
      <c r="P23" s="13">
        <f t="shared" si="33"/>
        <v>5.2445821457491695</v>
      </c>
      <c r="Q23" s="20">
        <f t="shared" si="2"/>
        <v>36.440163903846461</v>
      </c>
      <c r="R23" s="59">
        <f t="shared" si="0"/>
        <v>329.77349723717975</v>
      </c>
      <c r="S23" s="59">
        <f ca="1">AVERAGE(OFFSET($R$3,0,0,'Données projet'!$E$9+1,1))-AVERAGE(OFFSET($H$3,0,0,'Données projet'!$E$9+1,1))</f>
        <v>196.72624686715807</v>
      </c>
      <c r="T23" s="59">
        <f t="shared" si="34"/>
        <v>37.315661698104691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162</v>
      </c>
      <c r="AG23" s="12">
        <f>VLOOKUP(A23,'Données projet'!$A$61:$I$81,9,0)</f>
        <v>12</v>
      </c>
      <c r="AH23" s="12">
        <f t="array" ref="AH23">INDEX(AG:AG,MIN(IF(ISNUMBER(AG23:AG219),ROW(AG23:AG219),"")))</f>
        <v>12</v>
      </c>
      <c r="AI23" s="13">
        <f>IF('Données projet'!$A$62&gt;35,AI22+AH23-AQ22,IF(A23&lt;'Données projet'!$A$62,$AF$205^A23,IF(A23='Données projet'!$A$62,'Données projet'!$B$62,AI22+AH23-AQ22)))</f>
        <v>161</v>
      </c>
      <c r="AJ23" s="13">
        <f>AI23*VLOOKUP('Données projet'!$B$10,Paramètres!$A$1:$I$89,3,0)*VLOOKUP('Données projet'!$B$10,Paramètres!$A$1:$I$89,5,0)</f>
        <v>89.999000000000009</v>
      </c>
      <c r="AK23" s="13">
        <f t="shared" si="35"/>
        <v>24.564983817833436</v>
      </c>
      <c r="AL23" s="20">
        <f t="shared" si="4"/>
        <v>199.53227181605993</v>
      </c>
      <c r="AM23" s="59">
        <f t="shared" si="5"/>
        <v>492.86560514939322</v>
      </c>
      <c r="AN23" s="59">
        <f ca="1">AVERAGE(OFFSET($AM$3,0,0,'Données projet'!$E$10+1,1))-AVERAGE(OFFSET($H$3,0,0,'Données projet'!$E$10+1,1))</f>
        <v>325.42940802362739</v>
      </c>
      <c r="AO23" s="59">
        <f t="shared" si="36"/>
        <v>388.87198417542277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127</v>
      </c>
      <c r="BE23" s="13">
        <f>BD23*VLOOKUP('Données projet'!$B$11,Paramètres!$A$1:$I$89,3,0)*VLOOKUP('Données projet'!$B$11,Paramètres!$A$1:$I$89,5,0)</f>
        <v>79.248000000000005</v>
      </c>
      <c r="BF23" s="13">
        <f t="shared" si="37"/>
        <v>21.953215275151123</v>
      </c>
      <c r="BG23" s="20">
        <f t="shared" si="7"/>
        <v>176.25878327088822</v>
      </c>
      <c r="BH23" s="59">
        <f t="shared" si="8"/>
        <v>469.59211660422153</v>
      </c>
      <c r="BI23" s="59">
        <f ca="1">AVERAGE(OFFSET($BH$3,0,0,'Données projet'!$E$11+1,1))-AVERAGE(OFFSET($H$3,0,0,'Données projet'!$E$11+1,1))</f>
        <v>162.87524915738271</v>
      </c>
      <c r="BJ23" s="59">
        <f t="shared" si="38"/>
        <v>249.37880137966658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5.6162920695885274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5.6162920695885274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95</v>
      </c>
      <c r="BW23" s="12">
        <f>VLOOKUP(A23,'Données projet'!$A$113:$I$133,9,0)</f>
        <v>11.6</v>
      </c>
      <c r="BX23" s="12">
        <f t="array" ref="BX23">INDEX(BW:BW,MIN(IF(ISNUMBER(BW23:BW219),ROW(BW23:BW219),"")))</f>
        <v>11.6</v>
      </c>
      <c r="BY23" s="12">
        <f>IF('Données projet'!$A$114&gt;35,BY22+BX23-CG22,IF(A23&lt;'Données projet'!$A$114,$BV$205^A23,IF(A23='Données projet'!$A$114,'Données projet'!$B$114,BY22+BX23-CG22)))</f>
        <v>94.999999999999986</v>
      </c>
      <c r="BZ23" s="13">
        <f>BY23*VLOOKUP('Données projet'!$B$12,Paramètres!$A$1:$I$89,3,0)*VLOOKUP('Données projet'!$B$12,Paramètres!$A$1:$I$89,5,0)</f>
        <v>62.243999999999986</v>
      </c>
      <c r="CA23" s="13">
        <f t="shared" si="39"/>
        <v>17.734404526076432</v>
      </c>
      <c r="CB23" s="20">
        <f t="shared" si="10"/>
        <v>139.29572121624975</v>
      </c>
      <c r="CC23" s="59">
        <f t="shared" si="11"/>
        <v>432.62905454958309</v>
      </c>
      <c r="CD23" s="59">
        <f ca="1">AVERAGE(OFFSET($CC$3,0,0,'Données projet'!$E$12+1,1))-AVERAGE(OFFSET($H$3,0,0,'Données projet'!$E$12+1,1))</f>
        <v>119.88584888779422</v>
      </c>
      <c r="CE23" s="59">
        <f t="shared" si="40"/>
        <v>162.97244314258774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28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</v>
      </c>
      <c r="CT23" s="12">
        <f>IF('Données projet'!$A$140&gt;35,CT22+CS23-DB22,IF(A23&lt;'Données projet'!$A$140,$CQ$205^A23,IF(A23='Données projet'!$A$140,'Données projet'!$B$140,CT22+CS23-DB22)))</f>
        <v>74</v>
      </c>
      <c r="CU23" s="17">
        <f>CT23*VLOOKUP('Données projet'!$B$13,Paramètres!$A$1:$I$89,3,0)*VLOOKUP('Données projet'!$B$13,Paramètres!$A$1:$I$89,5,0)</f>
        <v>75.036000000000001</v>
      </c>
      <c r="CV23" s="13">
        <f t="shared" si="41"/>
        <v>20.918972521981534</v>
      </c>
      <c r="CW23" s="20">
        <f t="shared" si="13"/>
        <v>167.12157714245117</v>
      </c>
      <c r="CX23" s="59">
        <f t="shared" si="14"/>
        <v>460.45491047578446</v>
      </c>
      <c r="CY23" s="59">
        <f ca="1">AVERAGE(OFFSET($CX$3,0,0,'Données projet'!$E$13+1,1))-AVERAGE(OFFSET($H$3,0,0,'Données projet'!$E$13+1,1))</f>
        <v>261.75887764015459</v>
      </c>
      <c r="CZ23" s="59">
        <f t="shared" si="42"/>
        <v>209.74127356028544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95</v>
      </c>
      <c r="DM23" s="12">
        <f>VLOOKUP(A23,'Données projet'!$A$165:$I$185,9,0)</f>
        <v>11.6</v>
      </c>
      <c r="DN23" s="12">
        <f t="array" ref="DN23">INDEX(DM:DM,MIN(IF(ISNUMBER(DM23:DM219),ROW(DM23:DM219),"")))</f>
        <v>11.6</v>
      </c>
      <c r="DO23" s="12">
        <f>IF('Données projet'!$A$166&gt;35,DO22+DN23-DW22,IF(A23&lt;'Données projet'!$A$166,$DL$205^A23,IF(A23='Données projet'!$A$166,'Données projet'!$B$166,DO22+DN23-DW22)))</f>
        <v>94.999999999999986</v>
      </c>
      <c r="DP23" s="17">
        <f>DO23*VLOOKUP('Données projet'!$B$14,Paramètres!$A$1:$I$89,3,0)*VLOOKUP('Données projet'!$B$14,Paramètres!$A$1:$I$89,5,0)</f>
        <v>75.581999999999994</v>
      </c>
      <c r="DQ23" s="13">
        <f t="shared" si="43"/>
        <v>21.053414706764119</v>
      </c>
      <c r="DR23" s="20">
        <f t="shared" si="16"/>
        <v>168.30668061428082</v>
      </c>
      <c r="DS23" s="59">
        <f t="shared" si="17"/>
        <v>461.64001394761414</v>
      </c>
      <c r="DT23" s="59">
        <f ca="1">AVERAGE(OFFSET($DS$3,0,0,'Données projet'!$E$14+1,1))-AVERAGE(OFFSET($H$3,0,0,'Données projet'!$E$14+1,1))</f>
        <v>215.37468832969444</v>
      </c>
      <c r="DU23" s="59">
        <f t="shared" si="44"/>
        <v>208.60212063136419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28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95</v>
      </c>
      <c r="EH23" s="12">
        <f>VLOOKUP(A23,'Données projet'!$A$191:$I$211,9,0)</f>
        <v>11.6</v>
      </c>
      <c r="EI23" s="12">
        <f t="array" ref="EI23">INDEX(EH:EH,MIN(IF(ISNUMBER(EH23:EH219),ROW(EH23:EH219),"")))</f>
        <v>11.6</v>
      </c>
      <c r="EJ23" s="12">
        <f>IF('Données projet'!$A$192&gt;35,EJ22+EI23-ER22,IF(A23&lt;'Données projet'!$A$192,$EG$205^A23,IF(A23='Données projet'!$A$192,'Données projet'!$B$192,EJ22+EI23-ER22)))</f>
        <v>94.999999999999986</v>
      </c>
      <c r="EK23" s="17">
        <f>EJ23*VLOOKUP('Données projet'!$B$15,Paramètres!$A$1:$I$89,3,0)*VLOOKUP('Données projet'!$B$15,Paramètres!$A$1:$I$89,5,0)</f>
        <v>75.581999999999994</v>
      </c>
      <c r="EL23" s="13">
        <f t="shared" si="45"/>
        <v>21.053414706764119</v>
      </c>
      <c r="EM23" s="20">
        <f t="shared" si="19"/>
        <v>168.30668061428082</v>
      </c>
      <c r="EN23" s="59">
        <f t="shared" si="20"/>
        <v>461.64001394761414</v>
      </c>
      <c r="EO23" s="59">
        <f ca="1">AVERAGE(OFFSET($EN$3,0,0,'Données projet'!$E$15+1,1))-AVERAGE(OFFSET($H$3,0,0,'Données projet'!$E$15+1,1))</f>
        <v>215.37468832969444</v>
      </c>
      <c r="EP23" s="59">
        <f t="shared" si="46"/>
        <v>208.60212063136419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28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95</v>
      </c>
      <c r="FC23" s="12">
        <f>VLOOKUP(A23,'Données projet'!$A$217:$I$237,9,0)</f>
        <v>11.6</v>
      </c>
      <c r="FD23" s="12">
        <f t="array" ref="FD23">INDEX(FC:FC,MIN(IF(ISNUMBER(FC23:FC219),ROW(FC23:FC219),"")))</f>
        <v>11.6</v>
      </c>
      <c r="FE23" s="12">
        <f>IF('Données projet'!$A$218&gt;35,FE22+FD23-FM22,IF(A23&lt;'Données projet'!$A$218,$FB$205^A23,IF(A23='Données projet'!$A$218,'Données projet'!$B$218,FE22+FD23-FM22)))</f>
        <v>94.999999999999986</v>
      </c>
      <c r="FF23" s="17">
        <f>FE23*VLOOKUP('Données projet'!$B$16,Paramètres!$A$1:$I$89,3,0)*VLOOKUP('Données projet'!$B$16,Paramètres!$A$1:$I$89,5,0)</f>
        <v>77.063999999999993</v>
      </c>
      <c r="FG23" s="13">
        <f t="shared" si="47"/>
        <v>21.417762186678065</v>
      </c>
      <c r="FH23" s="20">
        <f t="shared" si="22"/>
        <v>171.52240247513092</v>
      </c>
      <c r="FI23" s="59">
        <f t="shared" si="23"/>
        <v>464.85573580846426</v>
      </c>
      <c r="FJ23" s="59">
        <f ca="1">AVERAGE(OFFSET($FI$3,0,0,'Données projet'!$E$16+1,1))-AVERAGE(OFFSET($H$3,0,0,'Données projet'!$E$16+1,1))</f>
        <v>220.90439367987847</v>
      </c>
      <c r="FK23" s="59">
        <f t="shared" si="48"/>
        <v>213.66046131354858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1">
        <f t="shared" si="32"/>
        <v>5.6437852896626746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67">
        <f t="shared" si="1"/>
        <v>332.83256604616247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1.7</v>
      </c>
      <c r="N24" s="13">
        <f>IF('Données projet'!$A$36&gt;35,N23+M24-V23,IF(A24&lt;'Données projet'!$A$36,$K$205^A24,IF(A24='Données projet'!$A$36,'Données projet'!$B$36,N23+M24-V23)))</f>
        <v>35.199999999999996</v>
      </c>
      <c r="O24" s="13">
        <f>N24*VLOOKUP('Données projet'!$B$9,Paramètres!$A$1:$I$89,3,0)*VLOOKUP('Données projet'!$B$9,Paramètres!$A$1:$I$89,5,0)</f>
        <v>16.473599999999998</v>
      </c>
      <c r="P24" s="13">
        <f t="shared" si="33"/>
        <v>5.479064311766531</v>
      </c>
      <c r="Q24" s="20">
        <f t="shared" si="2"/>
        <v>38.2342236763267</v>
      </c>
      <c r="R24" s="59">
        <f t="shared" si="0"/>
        <v>331.56755700965999</v>
      </c>
      <c r="S24" s="59">
        <f ca="1">AVERAGE(OFFSET($R$3,0,0,'Données projet'!$E$9+1,1))-AVERAGE(OFFSET($H$3,0,0,'Données projet'!$E$9+1,1))</f>
        <v>196.72624686715807</v>
      </c>
      <c r="T24" s="59">
        <f t="shared" si="34"/>
        <v>37.315661698104691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23.8</v>
      </c>
      <c r="AI24" s="13">
        <f>IF('Données projet'!$A$62&gt;35,AI23+AH24-AQ23,IF(A24&lt;'Données projet'!$A$62,$AF$205^A24,IF(A24='Données projet'!$A$62,'Données projet'!$B$62,AI23+AH24-AQ23)))</f>
        <v>184.8</v>
      </c>
      <c r="AJ24" s="13">
        <f>AI24*VLOOKUP('Données projet'!$B$10,Paramètres!$A$1:$I$89,3,0)*VLOOKUP('Données projet'!$B$10,Paramètres!$A$1:$I$89,5,0)</f>
        <v>103.3032</v>
      </c>
      <c r="AK24" s="13">
        <f t="shared" si="35"/>
        <v>27.747444810362108</v>
      </c>
      <c r="AL24" s="20">
        <f t="shared" si="4"/>
        <v>228.24653971138068</v>
      </c>
      <c r="AM24" s="59">
        <f t="shared" si="5"/>
        <v>521.57987304471396</v>
      </c>
      <c r="AN24" s="59">
        <f ca="1">AVERAGE(OFFSET($AM$3,0,0,'Données projet'!$E$10+1,1))-AVERAGE(OFFSET($H$3,0,0,'Données projet'!$E$10+1,1))</f>
        <v>325.42940802362739</v>
      </c>
      <c r="AO24" s="59">
        <f t="shared" si="36"/>
        <v>388.87198417542277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145</v>
      </c>
      <c r="BE24" s="13">
        <f>BD24*VLOOKUP('Données projet'!$B$11,Paramètres!$A$1:$I$89,3,0)*VLOOKUP('Données projet'!$B$11,Paramètres!$A$1:$I$89,5,0)</f>
        <v>90.47999999999999</v>
      </c>
      <c r="BF24" s="13">
        <f t="shared" si="37"/>
        <v>24.680953573367994</v>
      </c>
      <c r="BG24" s="20">
        <f t="shared" si="7"/>
        <v>200.57199414028256</v>
      </c>
      <c r="BH24" s="59">
        <f t="shared" si="8"/>
        <v>493.9053274736159</v>
      </c>
      <c r="BI24" s="59">
        <f ca="1">AVERAGE(OFFSET($BH$3,0,0,'Données projet'!$E$11+1,1))-AVERAGE(OFFSET($H$3,0,0,'Données projet'!$E$11+1,1))</f>
        <v>162.87524915738271</v>
      </c>
      <c r="BJ24" s="59">
        <f t="shared" si="38"/>
        <v>249.37880137966658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0.42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14.46643935949994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14.46643935949994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12.6</v>
      </c>
      <c r="BY24" s="12">
        <f>IF('Données projet'!$A$114&gt;35,BY23+BX24-CG23,IF(A24&lt;'Données projet'!$A$114,$BV$205^A24,IF(A24='Données projet'!$A$114,'Données projet'!$B$114,BY23+BX24-CG23)))</f>
        <v>79.59999999999998</v>
      </c>
      <c r="BZ24" s="13">
        <f>BY24*VLOOKUP('Données projet'!$B$12,Paramètres!$A$1:$I$89,3,0)*VLOOKUP('Données projet'!$B$12,Paramètres!$A$1:$I$89,5,0)</f>
        <v>52.153919999999985</v>
      </c>
      <c r="CA24" s="13">
        <f t="shared" si="39"/>
        <v>15.168646124641953</v>
      </c>
      <c r="CB24" s="20">
        <f t="shared" si="10"/>
        <v>117.25346933375137</v>
      </c>
      <c r="CC24" s="59">
        <f t="shared" si="11"/>
        <v>410.58680266708467</v>
      </c>
      <c r="CD24" s="59">
        <f ca="1">AVERAGE(OFFSET($CC$3,0,0,'Données projet'!$E$12+1,1))-AVERAGE(OFFSET($H$3,0,0,'Données projet'!$E$12+1,1))</f>
        <v>119.88584888779422</v>
      </c>
      <c r="CE24" s="59">
        <f t="shared" si="40"/>
        <v>162.97244314258774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</v>
      </c>
      <c r="CT24" s="12">
        <f>IF('Données projet'!$A$140&gt;35,CT23+CS24-DB23,IF(A24&lt;'Données projet'!$A$140,$CQ$205^A24,IF(A24='Données projet'!$A$140,'Données projet'!$B$140,CT23+CS24-DB23)))</f>
        <v>78</v>
      </c>
      <c r="CU24" s="17">
        <f>CT24*VLOOKUP('Données projet'!$B$13,Paramètres!$A$1:$I$89,3,0)*VLOOKUP('Données projet'!$B$13,Paramètres!$A$1:$I$89,5,0)</f>
        <v>79.092000000000013</v>
      </c>
      <c r="CV24" s="13">
        <f t="shared" si="41"/>
        <v>21.915026131450009</v>
      </c>
      <c r="CW24" s="20">
        <f t="shared" si="13"/>
        <v>175.92057051227542</v>
      </c>
      <c r="CX24" s="59">
        <f t="shared" si="14"/>
        <v>469.25390384560876</v>
      </c>
      <c r="CY24" s="59">
        <f ca="1">AVERAGE(OFFSET($CX$3,0,0,'Données projet'!$E$13+1,1))-AVERAGE(OFFSET($H$3,0,0,'Données projet'!$E$13+1,1))</f>
        <v>261.75887764015459</v>
      </c>
      <c r="CZ24" s="59">
        <f t="shared" si="42"/>
        <v>209.74127356028544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12.6</v>
      </c>
      <c r="DO24" s="12">
        <f>IF('Données projet'!$A$166&gt;35,DO23+DN24-DW23,IF(A24&lt;'Données projet'!$A$166,$DL$205^A24,IF(A24='Données projet'!$A$166,'Données projet'!$B$166,DO23+DN24-DW23)))</f>
        <v>79.59999999999998</v>
      </c>
      <c r="DP24" s="17">
        <f>DO24*VLOOKUP('Données projet'!$B$14,Paramètres!$A$1:$I$89,3,0)*VLOOKUP('Données projet'!$B$14,Paramètres!$A$1:$I$89,5,0)</f>
        <v>63.329759999999986</v>
      </c>
      <c r="DQ24" s="13">
        <f t="shared" si="43"/>
        <v>18.007472251615042</v>
      </c>
      <c r="DR24" s="20">
        <f t="shared" si="16"/>
        <v>141.66234617156286</v>
      </c>
      <c r="DS24" s="59">
        <f t="shared" si="17"/>
        <v>434.9956795048962</v>
      </c>
      <c r="DT24" s="59">
        <f ca="1">AVERAGE(OFFSET($DS$3,0,0,'Données projet'!$E$14+1,1))-AVERAGE(OFFSET($H$3,0,0,'Données projet'!$E$14+1,1))</f>
        <v>215.37468832969444</v>
      </c>
      <c r="DU24" s="59">
        <f t="shared" si="44"/>
        <v>208.60212063136419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12.6</v>
      </c>
      <c r="EJ24" s="12">
        <f>IF('Données projet'!$A$192&gt;35,EJ23+EI24-ER23,IF(A24&lt;'Données projet'!$A$192,$EG$205^A24,IF(A24='Données projet'!$A$192,'Données projet'!$B$192,EJ23+EI24-ER23)))</f>
        <v>79.59999999999998</v>
      </c>
      <c r="EK24" s="17">
        <f>EJ24*VLOOKUP('Données projet'!$B$15,Paramètres!$A$1:$I$89,3,0)*VLOOKUP('Données projet'!$B$15,Paramètres!$A$1:$I$89,5,0)</f>
        <v>63.329759999999986</v>
      </c>
      <c r="EL24" s="13">
        <f t="shared" si="45"/>
        <v>18.007472251615042</v>
      </c>
      <c r="EM24" s="20">
        <f t="shared" si="19"/>
        <v>141.66234617156286</v>
      </c>
      <c r="EN24" s="59">
        <f t="shared" si="20"/>
        <v>434.9956795048962</v>
      </c>
      <c r="EO24" s="59">
        <f ca="1">AVERAGE(OFFSET($EN$3,0,0,'Données projet'!$E$15+1,1))-AVERAGE(OFFSET($H$3,0,0,'Données projet'!$E$15+1,1))</f>
        <v>215.37468832969444</v>
      </c>
      <c r="EP24" s="59">
        <f t="shared" si="46"/>
        <v>208.60212063136419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79.59999999999998</v>
      </c>
      <c r="FF24" s="17">
        <f>FE24*VLOOKUP('Données projet'!$B$16,Paramètres!$A$1:$I$89,3,0)*VLOOKUP('Données projet'!$B$16,Paramètres!$A$1:$I$89,5,0)</f>
        <v>64.571519999999978</v>
      </c>
      <c r="FG24" s="13">
        <f t="shared" si="47"/>
        <v>18.319107073133488</v>
      </c>
      <c r="FH24" s="20">
        <f t="shared" si="22"/>
        <v>144.3678421523741</v>
      </c>
      <c r="FI24" s="59">
        <f t="shared" si="23"/>
        <v>437.70117548570738</v>
      </c>
      <c r="FJ24" s="59">
        <f ca="1">AVERAGE(OFFSET($FI$3,0,0,'Données projet'!$E$16+1,1))-AVERAGE(OFFSET($H$3,0,0,'Données projet'!$E$16+1,1))</f>
        <v>220.90439367987847</v>
      </c>
      <c r="FK24" s="59">
        <f t="shared" si="48"/>
        <v>213.66046131354858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1">
        <f t="shared" si="32"/>
        <v>5.8806075232471633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67">
        <f t="shared" si="1"/>
        <v>334.65787143632213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1.7</v>
      </c>
      <c r="N25" s="13">
        <f>IF('Données projet'!$A$36&gt;35,N24+M25-V24,IF(A25&lt;'Données projet'!$A$36,$K$205^A25,IF(A25='Données projet'!$A$36,'Données projet'!$B$36,N24+M25-V24)))</f>
        <v>36.9</v>
      </c>
      <c r="O25" s="13">
        <f>N25*VLOOKUP('Données projet'!$B$9,Paramètres!$A$1:$I$89,3,0)*VLOOKUP('Données projet'!$B$9,Paramètres!$A$1:$I$89,5,0)</f>
        <v>17.269199999999998</v>
      </c>
      <c r="P25" s="13">
        <f t="shared" si="33"/>
        <v>5.7122314733889157</v>
      </c>
      <c r="Q25" s="20">
        <f t="shared" si="2"/>
        <v>40.025993149485693</v>
      </c>
      <c r="R25" s="59">
        <f t="shared" si="0"/>
        <v>333.35932648281903</v>
      </c>
      <c r="S25" s="59">
        <f ca="1">AVERAGE(OFFSET($R$3,0,0,'Données projet'!$E$9+1,1))-AVERAGE(OFFSET($H$3,0,0,'Données projet'!$E$9+1,1))</f>
        <v>196.72624686715807</v>
      </c>
      <c r="T25" s="59">
        <f t="shared" si="34"/>
        <v>37.315661698104691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23.8</v>
      </c>
      <c r="AI25" s="13">
        <f>IF('Données projet'!$A$62&gt;35,AI24+AH25-AQ24,IF(A25&lt;'Données projet'!$A$62,$AF$205^A25,IF(A25='Données projet'!$A$62,'Données projet'!$B$62,AI24+AH25-AQ24)))</f>
        <v>208.60000000000002</v>
      </c>
      <c r="AJ25" s="13">
        <f>AI25*VLOOKUP('Données projet'!$B$10,Paramètres!$A$1:$I$89,3,0)*VLOOKUP('Données projet'!$B$10,Paramètres!$A$1:$I$89,5,0)</f>
        <v>116.60740000000001</v>
      </c>
      <c r="AK25" s="13">
        <f t="shared" si="35"/>
        <v>30.882415189183927</v>
      </c>
      <c r="AL25" s="20">
        <f t="shared" si="4"/>
        <v>256.87809478782867</v>
      </c>
      <c r="AM25" s="59">
        <f t="shared" si="5"/>
        <v>550.21142812116204</v>
      </c>
      <c r="AN25" s="59">
        <f ca="1">AVERAGE(OFFSET($AM$3,0,0,'Données projet'!$E$10+1,1))-AVERAGE(OFFSET($H$3,0,0,'Données projet'!$E$10+1,1))</f>
        <v>325.42940802362739</v>
      </c>
      <c r="AO25" s="59">
        <f t="shared" si="36"/>
        <v>388.87198417542277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135</v>
      </c>
      <c r="BE25" s="13">
        <f>BD25*VLOOKUP('Données projet'!$B$11,Paramètres!$A$1:$I$89,3,0)*VLOOKUP('Données projet'!$B$11,Paramètres!$A$1:$I$89,5,0)</f>
        <v>84.24</v>
      </c>
      <c r="BF25" s="13">
        <f t="shared" si="37"/>
        <v>23.170749718409468</v>
      </c>
      <c r="BG25" s="20">
        <f t="shared" si="7"/>
        <v>187.07372242622981</v>
      </c>
      <c r="BH25" s="59">
        <f t="shared" si="8"/>
        <v>480.40705575956315</v>
      </c>
      <c r="BI25" s="59">
        <f ca="1">AVERAGE(OFFSET($BH$3,0,0,'Données projet'!$E$11+1,1))-AVERAGE(OFFSET($H$3,0,0,'Données projet'!$E$11+1,1))</f>
        <v>162.87524915738271</v>
      </c>
      <c r="BJ25" s="59">
        <f t="shared" si="38"/>
        <v>249.37880137966658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14.070853814457433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14.070853814457433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12.6</v>
      </c>
      <c r="BY25" s="12">
        <f>IF('Données projet'!$A$114&gt;35,BY24+BX25-CG24,IF(A25&lt;'Données projet'!$A$114,$BV$205^A25,IF(A25='Données projet'!$A$114,'Données projet'!$B$114,BY24+BX25-CG24)))</f>
        <v>92.199999999999974</v>
      </c>
      <c r="BZ25" s="13">
        <f>BY25*VLOOKUP('Données projet'!$B$12,Paramètres!$A$1:$I$89,3,0)*VLOOKUP('Données projet'!$B$12,Paramètres!$A$1:$I$89,5,0)</f>
        <v>60.409439999999982</v>
      </c>
      <c r="CA25" s="13">
        <f t="shared" si="39"/>
        <v>17.271747281317765</v>
      </c>
      <c r="CB25" s="20">
        <f t="shared" si="10"/>
        <v>135.29473451496173</v>
      </c>
      <c r="CC25" s="59">
        <f t="shared" si="11"/>
        <v>428.62806784829502</v>
      </c>
      <c r="CD25" s="59">
        <f ca="1">AVERAGE(OFFSET($CC$3,0,0,'Données projet'!$E$12+1,1))-AVERAGE(OFFSET($H$3,0,0,'Données projet'!$E$12+1,1))</f>
        <v>119.88584888779422</v>
      </c>
      <c r="CE25" s="59">
        <f t="shared" si="40"/>
        <v>162.97244314258774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</v>
      </c>
      <c r="CT25" s="12">
        <f>IF('Données projet'!$A$140&gt;35,CT24+CS25-DB24,IF(A25&lt;'Données projet'!$A$140,$CQ$205^A25,IF(A25='Données projet'!$A$140,'Données projet'!$B$140,CT24+CS25-DB24)))</f>
        <v>82</v>
      </c>
      <c r="CU25" s="17">
        <f>CT25*VLOOKUP('Données projet'!$B$13,Paramètres!$A$1:$I$89,3,0)*VLOOKUP('Données projet'!$B$13,Paramètres!$A$1:$I$89,5,0)</f>
        <v>83.14800000000001</v>
      </c>
      <c r="CV25" s="13">
        <f t="shared" si="41"/>
        <v>22.905149033042591</v>
      </c>
      <c r="CW25" s="20">
        <f t="shared" si="13"/>
        <v>184.70923456588253</v>
      </c>
      <c r="CX25" s="59">
        <f t="shared" si="14"/>
        <v>478.04256789921584</v>
      </c>
      <c r="CY25" s="59">
        <f ca="1">AVERAGE(OFFSET($CX$3,0,0,'Données projet'!$E$13+1,1))-AVERAGE(OFFSET($H$3,0,0,'Données projet'!$E$13+1,1))</f>
        <v>261.75887764015459</v>
      </c>
      <c r="CZ25" s="59">
        <f t="shared" si="42"/>
        <v>209.74127356028544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12.6</v>
      </c>
      <c r="DO25" s="12">
        <f>IF('Données projet'!$A$166&gt;35,DO24+DN25-DW24,IF(A25&lt;'Données projet'!$A$166,$DL$205^A25,IF(A25='Données projet'!$A$166,'Données projet'!$B$166,DO24+DN25-DW24)))</f>
        <v>92.199999999999974</v>
      </c>
      <c r="DP25" s="17">
        <f>DO25*VLOOKUP('Données projet'!$B$14,Paramètres!$A$1:$I$89,3,0)*VLOOKUP('Données projet'!$B$14,Paramètres!$A$1:$I$89,5,0)</f>
        <v>73.354319999999973</v>
      </c>
      <c r="DQ25" s="13">
        <f t="shared" si="43"/>
        <v>20.504170731491605</v>
      </c>
      <c r="DR25" s="20">
        <f t="shared" si="16"/>
        <v>163.47020469068116</v>
      </c>
      <c r="DS25" s="59">
        <f t="shared" si="17"/>
        <v>456.80353802401447</v>
      </c>
      <c r="DT25" s="59">
        <f ca="1">AVERAGE(OFFSET($DS$3,0,0,'Données projet'!$E$14+1,1))-AVERAGE(OFFSET($H$3,0,0,'Données projet'!$E$14+1,1))</f>
        <v>215.37468832969444</v>
      </c>
      <c r="DU25" s="59">
        <f t="shared" si="44"/>
        <v>208.60212063136419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12.6</v>
      </c>
      <c r="EJ25" s="12">
        <f>IF('Données projet'!$A$192&gt;35,EJ24+EI25-ER24,IF(A25&lt;'Données projet'!$A$192,$EG$205^A25,IF(A25='Données projet'!$A$192,'Données projet'!$B$192,EJ24+EI25-ER24)))</f>
        <v>92.199999999999974</v>
      </c>
      <c r="EK25" s="17">
        <f>EJ25*VLOOKUP('Données projet'!$B$15,Paramètres!$A$1:$I$89,3,0)*VLOOKUP('Données projet'!$B$15,Paramètres!$A$1:$I$89,5,0)</f>
        <v>73.354319999999973</v>
      </c>
      <c r="EL25" s="13">
        <f t="shared" si="45"/>
        <v>20.504170731491605</v>
      </c>
      <c r="EM25" s="20">
        <f t="shared" si="19"/>
        <v>163.47020469068116</v>
      </c>
      <c r="EN25" s="59">
        <f t="shared" si="20"/>
        <v>456.80353802401447</v>
      </c>
      <c r="EO25" s="59">
        <f ca="1">AVERAGE(OFFSET($EN$3,0,0,'Données projet'!$E$15+1,1))-AVERAGE(OFFSET($H$3,0,0,'Données projet'!$E$15+1,1))</f>
        <v>215.37468832969444</v>
      </c>
      <c r="EP25" s="59">
        <f t="shared" si="46"/>
        <v>208.60212063136419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92.199999999999974</v>
      </c>
      <c r="FF25" s="17">
        <f>FE25*VLOOKUP('Données projet'!$B$16,Paramètres!$A$1:$I$89,3,0)*VLOOKUP('Données projet'!$B$16,Paramètres!$A$1:$I$89,5,0)</f>
        <v>74.792639999999977</v>
      </c>
      <c r="FG25" s="13">
        <f t="shared" si="47"/>
        <v>20.859013071216385</v>
      </c>
      <c r="FH25" s="20">
        <f t="shared" si="22"/>
        <v>166.59329576570181</v>
      </c>
      <c r="FI25" s="59">
        <f t="shared" si="23"/>
        <v>459.92662909903515</v>
      </c>
      <c r="FJ25" s="59">
        <f ca="1">AVERAGE(OFFSET($FI$3,0,0,'Données projet'!$E$16+1,1))-AVERAGE(OFFSET($H$3,0,0,'Données projet'!$E$16+1,1))</f>
        <v>220.90439367987847</v>
      </c>
      <c r="FK25" s="59">
        <f t="shared" si="48"/>
        <v>213.66046131354858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1">
        <f t="shared" si="32"/>
        <v>6.1161796062812925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67">
        <f t="shared" si="1"/>
        <v>336.48099948093989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1.7</v>
      </c>
      <c r="N26" s="13">
        <f>IF('Données projet'!$A$36&gt;35,N25+M26-V25,IF(A26&lt;'Données projet'!$A$36,$K$205^A26,IF(A26='Données projet'!$A$36,'Données projet'!$B$36,N25+M26-V25)))</f>
        <v>38.6</v>
      </c>
      <c r="O26" s="13">
        <f>N26*VLOOKUP('Données projet'!$B$9,Paramètres!$A$1:$I$89,3,0)*VLOOKUP('Données projet'!$B$9,Paramètres!$A$1:$I$89,5,0)</f>
        <v>18.064800000000002</v>
      </c>
      <c r="P26" s="13">
        <f t="shared" si="33"/>
        <v>5.9441511331044534</v>
      </c>
      <c r="Q26" s="20">
        <f t="shared" si="2"/>
        <v>41.815589890156922</v>
      </c>
      <c r="R26" s="59">
        <f t="shared" si="0"/>
        <v>335.14892322349021</v>
      </c>
      <c r="S26" s="59">
        <f ca="1">AVERAGE(OFFSET($R$3,0,0,'Données projet'!$E$9+1,1))-AVERAGE(OFFSET($H$3,0,0,'Données projet'!$E$9+1,1))</f>
        <v>196.72624686715807</v>
      </c>
      <c r="T26" s="59">
        <f t="shared" si="34"/>
        <v>37.315661698104691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23.8</v>
      </c>
      <c r="AI26" s="13">
        <f>IF('Données projet'!$A$62&gt;35,AI25+AH26-AQ25,IF(A26&lt;'Données projet'!$A$62,$AF$205^A26,IF(A26='Données projet'!$A$62,'Données projet'!$B$62,AI25+AH26-AQ25)))</f>
        <v>232.40000000000003</v>
      </c>
      <c r="AJ26" s="13">
        <f>AI26*VLOOKUP('Données projet'!$B$10,Paramètres!$A$1:$I$89,3,0)*VLOOKUP('Données projet'!$B$10,Paramètres!$A$1:$I$89,5,0)</f>
        <v>129.91160000000002</v>
      </c>
      <c r="AK26" s="13">
        <f t="shared" si="35"/>
        <v>33.975931879228121</v>
      </c>
      <c r="AL26" s="20">
        <f t="shared" si="4"/>
        <v>285.43745135632236</v>
      </c>
      <c r="AM26" s="59">
        <f t="shared" si="5"/>
        <v>578.77078468965567</v>
      </c>
      <c r="AN26" s="59">
        <f ca="1">AVERAGE(OFFSET($AM$3,0,0,'Données projet'!$E$10+1,1))-AVERAGE(OFFSET($H$3,0,0,'Données projet'!$E$10+1,1))</f>
        <v>325.42940802362739</v>
      </c>
      <c r="AO26" s="59">
        <f t="shared" si="36"/>
        <v>388.87198417542277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151</v>
      </c>
      <c r="BE26" s="13">
        <f>BD26*VLOOKUP('Données projet'!$B$11,Paramètres!$A$1:$I$89,3,0)*VLOOKUP('Données projet'!$B$11,Paramètres!$A$1:$I$89,5,0)</f>
        <v>94.224000000000004</v>
      </c>
      <c r="BF26" s="13">
        <f t="shared" si="37"/>
        <v>25.581216834793008</v>
      </c>
      <c r="BG26" s="20">
        <f t="shared" si="7"/>
        <v>208.66075265393116</v>
      </c>
      <c r="BH26" s="59">
        <f t="shared" si="8"/>
        <v>501.9940859872645</v>
      </c>
      <c r="BI26" s="59">
        <f ca="1">AVERAGE(OFFSET($BH$3,0,0,'Données projet'!$E$11+1,1))-AVERAGE(OFFSET($H$3,0,0,'Données projet'!$E$11+1,1))</f>
        <v>162.87524915738271</v>
      </c>
      <c r="BJ26" s="59">
        <f t="shared" si="38"/>
        <v>249.37880137966658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13.686085576947052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13.686085576947052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</v>
      </c>
      <c r="BY26" s="12">
        <f>IF('Données projet'!$A$114&gt;35,BY25+BX26-CG25,IF(A26&lt;'Données projet'!$A$114,$BV$205^A26,IF(A26='Données projet'!$A$114,'Données projet'!$B$114,BY25+BX26-CG25)))</f>
        <v>104.79999999999997</v>
      </c>
      <c r="BZ26" s="13">
        <f>BY26*VLOOKUP('Données projet'!$B$12,Paramètres!$A$1:$I$89,3,0)*VLOOKUP('Données projet'!$B$12,Paramètres!$A$1:$I$89,5,0)</f>
        <v>68.664959999999979</v>
      </c>
      <c r="CA26" s="13">
        <f t="shared" si="39"/>
        <v>19.341549444716321</v>
      </c>
      <c r="CB26" s="20">
        <f t="shared" si="10"/>
        <v>153.27800394954755</v>
      </c>
      <c r="CC26" s="59">
        <f t="shared" si="11"/>
        <v>446.61133728288087</v>
      </c>
      <c r="CD26" s="59">
        <f ca="1">AVERAGE(OFFSET($CC$3,0,0,'Données projet'!$E$12+1,1))-AVERAGE(OFFSET($H$3,0,0,'Données projet'!$E$12+1,1))</f>
        <v>119.88584888779422</v>
      </c>
      <c r="CE26" s="59">
        <f t="shared" si="40"/>
        <v>162.97244314258774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</v>
      </c>
      <c r="CT26" s="12">
        <f>IF('Données projet'!$A$140&gt;35,CT25+CS26-DB25,IF(A26&lt;'Données projet'!$A$140,$CQ$205^A26,IF(A26='Données projet'!$A$140,'Données projet'!$B$140,CT25+CS26-DB25)))</f>
        <v>86</v>
      </c>
      <c r="CU26" s="17">
        <f>CT26*VLOOKUP('Données projet'!$B$13,Paramètres!$A$1:$I$89,3,0)*VLOOKUP('Données projet'!$B$13,Paramètres!$A$1:$I$89,5,0)</f>
        <v>87.204000000000008</v>
      </c>
      <c r="CV26" s="13">
        <f t="shared" si="41"/>
        <v>23.889663550879717</v>
      </c>
      <c r="CW26" s="20">
        <f t="shared" si="13"/>
        <v>193.48813068444883</v>
      </c>
      <c r="CX26" s="59">
        <f t="shared" si="14"/>
        <v>486.82146401778215</v>
      </c>
      <c r="CY26" s="59">
        <f ca="1">AVERAGE(OFFSET($CX$3,0,0,'Données projet'!$E$13+1,1))-AVERAGE(OFFSET($H$3,0,0,'Données projet'!$E$13+1,1))</f>
        <v>261.75887764015459</v>
      </c>
      <c r="CZ26" s="59">
        <f t="shared" si="42"/>
        <v>209.74127356028544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12.6</v>
      </c>
      <c r="DO26" s="12">
        <f>IF('Données projet'!$A$166&gt;35,DO25+DN26-DW25,IF(A26&lt;'Données projet'!$A$166,$DL$205^A26,IF(A26='Données projet'!$A$166,'Données projet'!$B$166,DO25+DN26-DW25)))</f>
        <v>104.79999999999997</v>
      </c>
      <c r="DP26" s="17">
        <f>DO26*VLOOKUP('Données projet'!$B$14,Paramètres!$A$1:$I$89,3,0)*VLOOKUP('Données projet'!$B$14,Paramètres!$A$1:$I$89,5,0)</f>
        <v>83.378879999999981</v>
      </c>
      <c r="DQ26" s="13">
        <f t="shared" si="43"/>
        <v>22.961338280755157</v>
      </c>
      <c r="DR26" s="20">
        <f t="shared" si="16"/>
        <v>185.20921350564853</v>
      </c>
      <c r="DS26" s="59">
        <f t="shared" si="17"/>
        <v>478.54254683898182</v>
      </c>
      <c r="DT26" s="59">
        <f ca="1">AVERAGE(OFFSET($DS$3,0,0,'Données projet'!$E$14+1,1))-AVERAGE(OFFSET($H$3,0,0,'Données projet'!$E$14+1,1))</f>
        <v>215.37468832969444</v>
      </c>
      <c r="DU26" s="59">
        <f t="shared" si="44"/>
        <v>208.60212063136419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12.6</v>
      </c>
      <c r="EJ26" s="12">
        <f>IF('Données projet'!$A$192&gt;35,EJ25+EI26-ER25,IF(A26&lt;'Données projet'!$A$192,$EG$205^A26,IF(A26='Données projet'!$A$192,'Données projet'!$B$192,EJ25+EI26-ER25)))</f>
        <v>104.79999999999997</v>
      </c>
      <c r="EK26" s="17">
        <f>EJ26*VLOOKUP('Données projet'!$B$15,Paramètres!$A$1:$I$89,3,0)*VLOOKUP('Données projet'!$B$15,Paramètres!$A$1:$I$89,5,0)</f>
        <v>83.378879999999981</v>
      </c>
      <c r="EL26" s="13">
        <f t="shared" si="45"/>
        <v>22.961338280755157</v>
      </c>
      <c r="EM26" s="20">
        <f t="shared" si="19"/>
        <v>185.20921350564853</v>
      </c>
      <c r="EN26" s="59">
        <f t="shared" si="20"/>
        <v>478.54254683898182</v>
      </c>
      <c r="EO26" s="59">
        <f ca="1">AVERAGE(OFFSET($EN$3,0,0,'Données projet'!$E$15+1,1))-AVERAGE(OFFSET($H$3,0,0,'Données projet'!$E$15+1,1))</f>
        <v>215.37468832969444</v>
      </c>
      <c r="EP26" s="59">
        <f t="shared" si="46"/>
        <v>208.60212063136419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104.79999999999997</v>
      </c>
      <c r="FF26" s="17">
        <f>FE26*VLOOKUP('Données projet'!$B$16,Paramètres!$A$1:$I$89,3,0)*VLOOKUP('Données projet'!$B$16,Paramètres!$A$1:$I$89,5,0)</f>
        <v>85.013759999999991</v>
      </c>
      <c r="FG26" s="13">
        <f t="shared" si="47"/>
        <v>23.358704021874413</v>
      </c>
      <c r="FH26" s="20">
        <f t="shared" si="22"/>
        <v>188.74870817143128</v>
      </c>
      <c r="FI26" s="59">
        <f t="shared" si="23"/>
        <v>482.08204150476456</v>
      </c>
      <c r="FJ26" s="59">
        <f ca="1">AVERAGE(OFFSET($FI$3,0,0,'Données projet'!$E$16+1,1))-AVERAGE(OFFSET($H$3,0,0,'Données projet'!$E$16+1,1))</f>
        <v>220.90439367987847</v>
      </c>
      <c r="FK26" s="59">
        <f t="shared" si="48"/>
        <v>213.66046131354858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1">
        <f t="shared" si="32"/>
        <v>6.3505621056489936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67">
        <f t="shared" si="1"/>
        <v>338.30205566733866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1.7</v>
      </c>
      <c r="N27" s="13">
        <f>IF('Données projet'!$A$36&gt;35,N26+M27-V26,IF(A27&lt;'Données projet'!$A$36,$K$205^A27,IF(A27='Données projet'!$A$36,'Données projet'!$B$36,N26+M27-V26)))</f>
        <v>40.300000000000004</v>
      </c>
      <c r="O27" s="13">
        <f>N27*VLOOKUP('Données projet'!$B$9,Paramètres!$A$1:$I$89,3,0)*VLOOKUP('Données projet'!$B$9,Paramètres!$A$1:$I$89,5,0)</f>
        <v>18.860400000000002</v>
      </c>
      <c r="P27" s="13">
        <f t="shared" si="33"/>
        <v>6.1748845113932651</v>
      </c>
      <c r="Q27" s="20">
        <f t="shared" si="2"/>
        <v>43.603120524009938</v>
      </c>
      <c r="R27" s="59">
        <f t="shared" si="0"/>
        <v>336.93645385734328</v>
      </c>
      <c r="S27" s="59">
        <f ca="1">AVERAGE(OFFSET($R$3,0,0,'Données projet'!$E$9+1,1))-AVERAGE(OFFSET($H$3,0,0,'Données projet'!$E$9+1,1))</f>
        <v>196.72624686715807</v>
      </c>
      <c r="T27" s="59">
        <f t="shared" si="34"/>
        <v>37.315661698104691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23.8</v>
      </c>
      <c r="AI27" s="13">
        <f>IF('Données projet'!$A$62&gt;35,AI26+AH27-AQ26,IF(A27&lt;'Données projet'!$A$62,$AF$205^A27,IF(A27='Données projet'!$A$62,'Données projet'!$B$62,AI26+AH27-AQ26)))</f>
        <v>256.20000000000005</v>
      </c>
      <c r="AJ27" s="13">
        <f>AI27*VLOOKUP('Données projet'!$B$10,Paramètres!$A$1:$I$89,3,0)*VLOOKUP('Données projet'!$B$10,Paramètres!$A$1:$I$89,5,0)</f>
        <v>143.21580000000003</v>
      </c>
      <c r="AK27" s="13">
        <f t="shared" si="35"/>
        <v>37.032723581665991</v>
      </c>
      <c r="AL27" s="20">
        <f t="shared" si="4"/>
        <v>313.93284523806824</v>
      </c>
      <c r="AM27" s="59">
        <f t="shared" si="5"/>
        <v>607.2661785714015</v>
      </c>
      <c r="AN27" s="59">
        <f ca="1">AVERAGE(OFFSET($AM$3,0,0,'Données projet'!$E$10+1,1))-AVERAGE(OFFSET($H$3,0,0,'Données projet'!$E$10+1,1))</f>
        <v>325.42940802362739</v>
      </c>
      <c r="AO27" s="59">
        <f t="shared" si="36"/>
        <v>388.87198417542277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167</v>
      </c>
      <c r="BE27" s="13">
        <f>BD27*VLOOKUP('Données projet'!$B$11,Paramètres!$A$1:$I$89,3,0)*VLOOKUP('Données projet'!$B$11,Paramètres!$A$1:$I$89,5,0)</f>
        <v>104.208</v>
      </c>
      <c r="BF27" s="13">
        <f t="shared" si="37"/>
        <v>27.962077960077899</v>
      </c>
      <c r="BG27" s="20">
        <f t="shared" si="7"/>
        <v>230.1962191138023</v>
      </c>
      <c r="BH27" s="59">
        <f t="shared" si="8"/>
        <v>523.52955244713564</v>
      </c>
      <c r="BI27" s="59">
        <f ca="1">AVERAGE(OFFSET($BH$3,0,0,'Données projet'!$E$11+1,1))-AVERAGE(OFFSET($H$3,0,0,'Données projet'!$E$11+1,1))</f>
        <v>162.87524915738271</v>
      </c>
      <c r="BJ27" s="59">
        <f t="shared" si="38"/>
        <v>249.37880137966658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0.48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24.789114788451453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24.789114788451453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</v>
      </c>
      <c r="BY27" s="12">
        <f>IF('Données projet'!$A$114&gt;35,BY26+BX27-CG26,IF(A27&lt;'Données projet'!$A$114,$BV$205^A27,IF(A27='Données projet'!$A$114,'Données projet'!$B$114,BY26+BX27-CG26)))</f>
        <v>117.39999999999996</v>
      </c>
      <c r="BZ27" s="13">
        <f>BY27*VLOOKUP('Données projet'!$B$12,Paramètres!$A$1:$I$89,3,0)*VLOOKUP('Données projet'!$B$12,Paramètres!$A$1:$I$89,5,0)</f>
        <v>76.920479999999984</v>
      </c>
      <c r="CA27" s="13">
        <f t="shared" si="39"/>
        <v>21.382513918798686</v>
      </c>
      <c r="CB27" s="20">
        <f t="shared" si="10"/>
        <v>171.21104774190769</v>
      </c>
      <c r="CC27" s="59">
        <f t="shared" si="11"/>
        <v>464.54438107524101</v>
      </c>
      <c r="CD27" s="59">
        <f ca="1">AVERAGE(OFFSET($CC$3,0,0,'Données projet'!$E$12+1,1))-AVERAGE(OFFSET($H$3,0,0,'Données projet'!$E$12+1,1))</f>
        <v>119.88584888779422</v>
      </c>
      <c r="CE27" s="59">
        <f t="shared" si="40"/>
        <v>162.97244314258774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</v>
      </c>
      <c r="CT27" s="12">
        <f>IF('Données projet'!$A$140&gt;35,CT26+CS27-DB26,IF(A27&lt;'Données projet'!$A$140,$CQ$205^A27,IF(A27='Données projet'!$A$140,'Données projet'!$B$140,CT26+CS27-DB26)))</f>
        <v>90</v>
      </c>
      <c r="CU27" s="17">
        <f>CT27*VLOOKUP('Données projet'!$B$13,Paramètres!$A$1:$I$89,3,0)*VLOOKUP('Données projet'!$B$13,Paramètres!$A$1:$I$89,5,0)</f>
        <v>91.26</v>
      </c>
      <c r="CV27" s="13">
        <f t="shared" si="41"/>
        <v>24.868860330902777</v>
      </c>
      <c r="CW27" s="20">
        <f t="shared" si="13"/>
        <v>202.25776507632233</v>
      </c>
      <c r="CX27" s="59">
        <f t="shared" si="14"/>
        <v>495.59109840965561</v>
      </c>
      <c r="CY27" s="59">
        <f ca="1">AVERAGE(OFFSET($CX$3,0,0,'Données projet'!$E$13+1,1))-AVERAGE(OFFSET($H$3,0,0,'Données projet'!$E$13+1,1))</f>
        <v>261.75887764015459</v>
      </c>
      <c r="CZ27" s="59">
        <f t="shared" si="42"/>
        <v>209.74127356028544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12.6</v>
      </c>
      <c r="DO27" s="12">
        <f>IF('Données projet'!$A$166&gt;35,DO26+DN27-DW26,IF(A27&lt;'Données projet'!$A$166,$DL$205^A27,IF(A27='Données projet'!$A$166,'Données projet'!$B$166,DO26+DN27-DW26)))</f>
        <v>117.39999999999996</v>
      </c>
      <c r="DP27" s="17">
        <f>DO27*VLOOKUP('Données projet'!$B$14,Paramètres!$A$1:$I$89,3,0)*VLOOKUP('Données projet'!$B$14,Paramètres!$A$1:$I$89,5,0)</f>
        <v>93.403439999999975</v>
      </c>
      <c r="DQ27" s="13">
        <f t="shared" si="43"/>
        <v>25.384271140522003</v>
      </c>
      <c r="DR27" s="20">
        <f t="shared" si="16"/>
        <v>206.88859690307575</v>
      </c>
      <c r="DS27" s="59">
        <f t="shared" si="17"/>
        <v>500.22193023640909</v>
      </c>
      <c r="DT27" s="59">
        <f ca="1">AVERAGE(OFFSET($DS$3,0,0,'Données projet'!$E$14+1,1))-AVERAGE(OFFSET($H$3,0,0,'Données projet'!$E$14+1,1))</f>
        <v>215.37468832969444</v>
      </c>
      <c r="DU27" s="59">
        <f t="shared" si="44"/>
        <v>208.60212063136419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12.6</v>
      </c>
      <c r="EJ27" s="12">
        <f>IF('Données projet'!$A$192&gt;35,EJ26+EI27-ER26,IF(A27&lt;'Données projet'!$A$192,$EG$205^A27,IF(A27='Données projet'!$A$192,'Données projet'!$B$192,EJ26+EI27-ER26)))</f>
        <v>117.39999999999996</v>
      </c>
      <c r="EK27" s="17">
        <f>EJ27*VLOOKUP('Données projet'!$B$15,Paramètres!$A$1:$I$89,3,0)*VLOOKUP('Données projet'!$B$15,Paramètres!$A$1:$I$89,5,0)</f>
        <v>93.403439999999975</v>
      </c>
      <c r="EL27" s="13">
        <f t="shared" si="45"/>
        <v>25.384271140522003</v>
      </c>
      <c r="EM27" s="20">
        <f t="shared" si="19"/>
        <v>206.88859690307575</v>
      </c>
      <c r="EN27" s="59">
        <f t="shared" si="20"/>
        <v>500.22193023640909</v>
      </c>
      <c r="EO27" s="59">
        <f ca="1">AVERAGE(OFFSET($EN$3,0,0,'Données projet'!$E$15+1,1))-AVERAGE(OFFSET($H$3,0,0,'Données projet'!$E$15+1,1))</f>
        <v>215.37468832969444</v>
      </c>
      <c r="EP27" s="59">
        <f t="shared" si="46"/>
        <v>208.60212063136419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117.39999999999996</v>
      </c>
      <c r="FF27" s="17">
        <f>FE27*VLOOKUP('Données projet'!$B$16,Paramètres!$A$1:$I$89,3,0)*VLOOKUP('Données projet'!$B$16,Paramètres!$A$1:$I$89,5,0)</f>
        <v>95.234879999999976</v>
      </c>
      <c r="FG27" s="13">
        <f t="shared" si="47"/>
        <v>25.823567822239401</v>
      </c>
      <c r="FH27" s="20">
        <f t="shared" si="22"/>
        <v>210.84346329040022</v>
      </c>
      <c r="FI27" s="59">
        <f t="shared" si="23"/>
        <v>504.17679662373354</v>
      </c>
      <c r="FJ27" s="59">
        <f ca="1">AVERAGE(OFFSET($FI$3,0,0,'Données projet'!$E$16+1,1))-AVERAGE(OFFSET($H$3,0,0,'Données projet'!$E$16+1,1))</f>
        <v>220.90439367987847</v>
      </c>
      <c r="FK27" s="59">
        <f t="shared" si="48"/>
        <v>213.66046131354858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1">
        <f t="shared" si="32"/>
        <v>6.5838102554415281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67">
        <f t="shared" si="1"/>
        <v>340.12113619489395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42</v>
      </c>
      <c r="L28" s="12">
        <f>VLOOKUP(A28,'Données projet'!$A$35:$I$55,9,0)</f>
        <v>1.7</v>
      </c>
      <c r="M28" s="12">
        <f t="array" ref="M28">INDEX(L:L,MIN(IF(ISNUMBER(L28:L224),ROW(L28:L224),"")))</f>
        <v>1.7</v>
      </c>
      <c r="N28" s="13">
        <f>IF('Données projet'!$A$36&gt;35,N27+M28-V27,IF(A28&lt;'Données projet'!$A$36,$K$205^A28,IF(A28='Données projet'!$A$36,'Données projet'!$B$36,N27+M28-V27)))</f>
        <v>42.000000000000007</v>
      </c>
      <c r="O28" s="13">
        <f>N28*VLOOKUP('Données projet'!$B$9,Paramètres!$A$1:$I$89,3,0)*VLOOKUP('Données projet'!$B$9,Paramètres!$A$1:$I$89,5,0)</f>
        <v>19.656000000000006</v>
      </c>
      <c r="P28" s="13">
        <f t="shared" si="33"/>
        <v>6.4044873715575301</v>
      </c>
      <c r="Q28" s="20">
        <f t="shared" si="2"/>
        <v>45.388682172129371</v>
      </c>
      <c r="R28" s="59">
        <f t="shared" si="0"/>
        <v>338.72201550546271</v>
      </c>
      <c r="S28" s="59">
        <f ca="1">AVERAGE(OFFSET($R$3,0,0,'Données projet'!$E$9+1,1))-AVERAGE(OFFSET($H$3,0,0,'Données projet'!$E$9+1,1))</f>
        <v>196.72624686715807</v>
      </c>
      <c r="T28" s="59">
        <f t="shared" si="34"/>
        <v>37.315661698104691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281</v>
      </c>
      <c r="AG28" s="12">
        <f>VLOOKUP(A28,'Données projet'!$A$61:$I$81,9,0)</f>
        <v>23.8</v>
      </c>
      <c r="AH28" s="12">
        <f t="array" ref="AH28">INDEX(AG:AG,MIN(IF(ISNUMBER(AG28:AG224),ROW(AG28:AG224),"")))</f>
        <v>23.8</v>
      </c>
      <c r="AI28" s="13">
        <f>IF('Données projet'!$A$62&gt;35,AI27+AH28-AQ27,IF(A28&lt;'Données projet'!$A$62,$AF$205^A28,IF(A28='Données projet'!$A$62,'Données projet'!$B$62,AI27+AH28-AQ27)))</f>
        <v>280.00000000000006</v>
      </c>
      <c r="AJ28" s="13">
        <f>AI28*VLOOKUP('Données projet'!$B$10,Paramètres!$A$1:$I$89,3,0)*VLOOKUP('Données projet'!$B$10,Paramètres!$A$1:$I$89,5,0)</f>
        <v>156.52000000000004</v>
      </c>
      <c r="AK28" s="13">
        <f t="shared" si="35"/>
        <v>40.056589961286939</v>
      </c>
      <c r="AL28" s="20">
        <f t="shared" si="4"/>
        <v>342.37089418257483</v>
      </c>
      <c r="AM28" s="59">
        <f t="shared" si="5"/>
        <v>635.70422751590809</v>
      </c>
      <c r="AN28" s="59">
        <f ca="1">AVERAGE(OFFSET($AM$3,0,0,'Données projet'!$E$10+1,1))-AVERAGE(OFFSET($H$3,0,0,'Données projet'!$E$10+1,1))</f>
        <v>325.42940802362739</v>
      </c>
      <c r="AO28" s="59">
        <f t="shared" si="36"/>
        <v>388.87198417542277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0.22000000000000003</v>
      </c>
      <c r="AS28" s="16">
        <f>IF(ISNA(VLOOKUP(A28,'Données projet'!$A$61:$I$81,6,0)),0%,VLOOKUP(A28,'Données projet'!$A$61:$I$81,6,0)*VLOOKUP('Données projet'!$B$10,Paramètres!$A$1:$I$89,7,0))</f>
        <v>0.22000000000000003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8.8096084234175525</v>
      </c>
      <c r="AV28" s="21">
        <f>EXP(-LN(2)/25)*AV27+(1-EXP(-LN(2)/25))/(LN(2)/25)*Calculateur!AQ28*Calculateur!AS28*VLOOKUP('Données projet'!$B$10,Paramètres!$A$1:$I$89,3,0)*0.475*44/12</f>
        <v>8.7749216383305857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17.58453006174814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152.16666666666666</v>
      </c>
      <c r="BE28" s="13">
        <f>BD28*VLOOKUP('Données projet'!$B$11,Paramètres!$A$1:$I$89,3,0)*VLOOKUP('Données projet'!$B$11,Paramètres!$A$1:$I$89,5,0)</f>
        <v>94.951999999999998</v>
      </c>
      <c r="BF28" s="13">
        <f t="shared" si="37"/>
        <v>25.755779745686908</v>
      </c>
      <c r="BG28" s="20">
        <f t="shared" si="7"/>
        <v>210.23271639040468</v>
      </c>
      <c r="BH28" s="59">
        <f t="shared" si="8"/>
        <v>503.56604972373799</v>
      </c>
      <c r="BI28" s="59">
        <f ca="1">AVERAGE(OFFSET($BH$3,0,0,'Données projet'!$E$11+1,1))-AVERAGE(OFFSET($H$3,0,0,'Données projet'!$E$11+1,1))</f>
        <v>162.87524915738271</v>
      </c>
      <c r="BJ28" s="59">
        <f t="shared" si="38"/>
        <v>249.37880137966658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24.111255140958356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24.111255140958356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130</v>
      </c>
      <c r="BW28" s="12">
        <f>VLOOKUP(A28,'Données projet'!$A$113:$I$133,9,0)</f>
        <v>12.6</v>
      </c>
      <c r="BX28" s="12">
        <f t="array" ref="BX28">INDEX(BW:BW,MIN(IF(ISNUMBER(BW28:BW224),ROW(BW28:BW224),"")))</f>
        <v>12.6</v>
      </c>
      <c r="BY28" s="12">
        <f>IF('Données projet'!$A$114&gt;35,BY27+BX28-CG27,IF(A28&lt;'Données projet'!$A$114,$BV$205^A28,IF(A28='Données projet'!$A$114,'Données projet'!$B$114,BY27+BX28-CG27)))</f>
        <v>129.99999999999997</v>
      </c>
      <c r="BZ28" s="13">
        <f>BY28*VLOOKUP('Données projet'!$B$12,Paramètres!$A$1:$I$89,3,0)*VLOOKUP('Données projet'!$B$12,Paramètres!$A$1:$I$89,5,0)</f>
        <v>85.175999999999988</v>
      </c>
      <c r="CA28" s="13">
        <f t="shared" si="39"/>
        <v>23.398088487656434</v>
      </c>
      <c r="CB28" s="20">
        <f t="shared" si="10"/>
        <v>189.09987078266826</v>
      </c>
      <c r="CC28" s="59">
        <f t="shared" si="11"/>
        <v>482.43320411600155</v>
      </c>
      <c r="CD28" s="59">
        <f ca="1">AVERAGE(OFFSET($CC$3,0,0,'Données projet'!$E$12+1,1))-AVERAGE(OFFSET($H$3,0,0,'Données projet'!$E$12+1,1))</f>
        <v>119.88584888779422</v>
      </c>
      <c r="CE28" s="59">
        <f t="shared" si="40"/>
        <v>162.97244314258774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28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94</v>
      </c>
      <c r="CR28" s="12">
        <f>VLOOKUP(A28,'Données projet'!$A$139:$I$159,9,0)</f>
        <v>4</v>
      </c>
      <c r="CS28" s="12">
        <f t="array" ref="CS28">INDEX(CR:CR,MIN(IF(ISNUMBER(CR28:CR224),ROW(CR28:CR224),"")))</f>
        <v>4</v>
      </c>
      <c r="CT28" s="12">
        <f>IF('Données projet'!$A$140&gt;35,CT27+CS28-DB27,IF(A28&lt;'Données projet'!$A$140,$CQ$205^A28,IF(A28='Données projet'!$A$140,'Données projet'!$B$140,CT27+CS28-DB27)))</f>
        <v>94</v>
      </c>
      <c r="CU28" s="17">
        <f>CT28*VLOOKUP('Données projet'!$B$13,Paramètres!$A$1:$I$89,3,0)*VLOOKUP('Données projet'!$B$13,Paramètres!$A$1:$I$89,5,0)</f>
        <v>95.316000000000003</v>
      </c>
      <c r="CV28" s="13">
        <f t="shared" si="41"/>
        <v>25.843002723192381</v>
      </c>
      <c r="CW28" s="20">
        <f t="shared" si="13"/>
        <v>211.01859640956005</v>
      </c>
      <c r="CX28" s="59">
        <f t="shared" si="14"/>
        <v>504.35192974289339</v>
      </c>
      <c r="CY28" s="59">
        <f ca="1">AVERAGE(OFFSET($CX$3,0,0,'Données projet'!$E$13+1,1))-AVERAGE(OFFSET($H$3,0,0,'Données projet'!$E$13+1,1))</f>
        <v>261.75887764015459</v>
      </c>
      <c r="CZ28" s="59">
        <f t="shared" si="42"/>
        <v>209.74127356028544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130</v>
      </c>
      <c r="DM28" s="12">
        <f>VLOOKUP(A28,'Données projet'!$A$165:$I$185,9,0)</f>
        <v>12.6</v>
      </c>
      <c r="DN28" s="12">
        <f t="array" ref="DN28">INDEX(DM:DM,MIN(IF(ISNUMBER(DM28:DM224),ROW(DM28:DM224),"")))</f>
        <v>12.6</v>
      </c>
      <c r="DO28" s="12">
        <f>IF('Données projet'!$A$166&gt;35,DO27+DN28-DW27,IF(A28&lt;'Données projet'!$A$166,$DL$205^A28,IF(A28='Données projet'!$A$166,'Données projet'!$B$166,DO27+DN28-DW27)))</f>
        <v>129.99999999999997</v>
      </c>
      <c r="DP28" s="17">
        <f>DO28*VLOOKUP('Données projet'!$B$14,Paramètres!$A$1:$I$89,3,0)*VLOOKUP('Données projet'!$B$14,Paramètres!$A$1:$I$89,5,0)</f>
        <v>103.42799999999998</v>
      </c>
      <c r="DQ28" s="13">
        <f t="shared" si="43"/>
        <v>27.777062350859747</v>
      </c>
      <c r="DR28" s="20">
        <f t="shared" si="16"/>
        <v>228.51548359441401</v>
      </c>
      <c r="DS28" s="59">
        <f t="shared" si="17"/>
        <v>521.84881692774729</v>
      </c>
      <c r="DT28" s="59">
        <f ca="1">AVERAGE(OFFSET($DS$3,0,0,'Données projet'!$E$14+1,1))-AVERAGE(OFFSET($H$3,0,0,'Données projet'!$E$14+1,1))</f>
        <v>215.37468832969444</v>
      </c>
      <c r="DU28" s="59">
        <f t="shared" si="44"/>
        <v>208.60212063136419</v>
      </c>
      <c r="DV28" s="15">
        <f>IF(ISNA(VLOOKUP(A28,'Données projet'!$A$165:$I$185,3,0)),0,VLOOKUP(A28,'Données projet'!$A$165:$I$185,3,0))</f>
        <v>2</v>
      </c>
      <c r="DW28" s="15">
        <f>IF(ISNA(VLOOKUP(A28,'Données projet'!$A$165:$I$185,4,0)),0,VLOOKUP(A28,'Données projet'!$A$165:$I$185,4,0))</f>
        <v>28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130</v>
      </c>
      <c r="EH28" s="12">
        <f>VLOOKUP(A28,'Données projet'!$A$191:$I$211,9,0)</f>
        <v>12.6</v>
      </c>
      <c r="EI28" s="12">
        <f t="array" ref="EI28">INDEX(EH:EH,MIN(IF(ISNUMBER(EH28:EH224),ROW(EH28:EH224),"")))</f>
        <v>12.6</v>
      </c>
      <c r="EJ28" s="12">
        <f>IF('Données projet'!$A$192&gt;35,EJ27+EI28-ER27,IF(A28&lt;'Données projet'!$A$192,$EG$205^A28,IF(A28='Données projet'!$A$192,'Données projet'!$B$192,EJ27+EI28-ER27)))</f>
        <v>129.99999999999997</v>
      </c>
      <c r="EK28" s="17">
        <f>EJ28*VLOOKUP('Données projet'!$B$15,Paramètres!$A$1:$I$89,3,0)*VLOOKUP('Données projet'!$B$15,Paramètres!$A$1:$I$89,5,0)</f>
        <v>103.42799999999998</v>
      </c>
      <c r="EL28" s="13">
        <f t="shared" si="45"/>
        <v>27.777062350859747</v>
      </c>
      <c r="EM28" s="20">
        <f t="shared" si="19"/>
        <v>228.51548359441401</v>
      </c>
      <c r="EN28" s="59">
        <f t="shared" si="20"/>
        <v>521.84881692774729</v>
      </c>
      <c r="EO28" s="59">
        <f ca="1">AVERAGE(OFFSET($EN$3,0,0,'Données projet'!$E$15+1,1))-AVERAGE(OFFSET($H$3,0,0,'Données projet'!$E$15+1,1))</f>
        <v>215.37468832969444</v>
      </c>
      <c r="EP28" s="59">
        <f t="shared" si="46"/>
        <v>208.60212063136419</v>
      </c>
      <c r="EQ28" s="15">
        <f>IF(ISNA(VLOOKUP(A28,'Données projet'!$A$191:$I$211,3,0)),0,VLOOKUP(A28,'Données projet'!$A$191:$I$211,3,0))</f>
        <v>2</v>
      </c>
      <c r="ER28" s="15">
        <f>IF(ISNA(VLOOKUP(A28,'Données projet'!$A$191:$I$211,4,0)),0,VLOOKUP(A28,'Données projet'!$A$191:$I$211,4,0))</f>
        <v>28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130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129.99999999999997</v>
      </c>
      <c r="FF28" s="17">
        <f>FE28*VLOOKUP('Données projet'!$B$16,Paramètres!$A$1:$I$89,3,0)*VLOOKUP('Données projet'!$B$16,Paramètres!$A$1:$I$89,5,0)</f>
        <v>105.45599999999999</v>
      </c>
      <c r="FG28" s="13">
        <f t="shared" si="47"/>
        <v>28.257768345963548</v>
      </c>
      <c r="FH28" s="20">
        <f t="shared" si="22"/>
        <v>232.88481320255315</v>
      </c>
      <c r="FI28" s="59">
        <f t="shared" si="23"/>
        <v>526.21814653588649</v>
      </c>
      <c r="FJ28" s="59">
        <f ca="1">AVERAGE(OFFSET($FI$3,0,0,'Données projet'!$E$16+1,1))-AVERAGE(OFFSET($H$3,0,0,'Données projet'!$E$16+1,1))</f>
        <v>220.90439367987847</v>
      </c>
      <c r="FK28" s="59">
        <f t="shared" si="48"/>
        <v>213.66046131354858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1">
        <f t="shared" si="32"/>
        <v>6.8159746209088015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67">
        <f t="shared" si="1"/>
        <v>341.93832913141614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51.2</v>
      </c>
      <c r="O29" s="13">
        <f>N29*VLOOKUP('Données projet'!$B$9,Paramètres!$A$1:$I$89,3,0)*VLOOKUP('Données projet'!$B$9,Paramètres!$A$1:$I$89,5,0)</f>
        <v>23.961600000000001</v>
      </c>
      <c r="P29" s="13">
        <f t="shared" si="33"/>
        <v>7.6294325549835369</v>
      </c>
      <c r="Q29" s="20">
        <f t="shared" si="2"/>
        <v>55.021048366596325</v>
      </c>
      <c r="R29" s="59">
        <f t="shared" si="0"/>
        <v>348.35438169992966</v>
      </c>
      <c r="S29" s="59">
        <f ca="1">AVERAGE(OFFSET($R$3,0,0,'Données projet'!$E$9+1,1))-AVERAGE(OFFSET($H$3,0,0,'Données projet'!$E$9+1,1))</f>
        <v>196.72624686715807</v>
      </c>
      <c r="T29" s="59">
        <f t="shared" si="34"/>
        <v>37.315661698104691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254.00000000000006</v>
      </c>
      <c r="AJ29" s="13">
        <f>AI29*VLOOKUP('Données projet'!$B$10,Paramètres!$A$1:$I$89,3,0)*VLOOKUP('Données projet'!$B$10,Paramètres!$A$1:$I$89,5,0)</f>
        <v>141.98600000000005</v>
      </c>
      <c r="AK29" s="13">
        <f t="shared" si="35"/>
        <v>36.751596552065124</v>
      </c>
      <c r="AL29" s="20">
        <f t="shared" si="4"/>
        <v>311.30131399484679</v>
      </c>
      <c r="AM29" s="59">
        <f t="shared" si="5"/>
        <v>604.63464732818011</v>
      </c>
      <c r="AN29" s="59">
        <f ca="1">AVERAGE(OFFSET($AM$3,0,0,'Données projet'!$E$10+1,1))-AVERAGE(OFFSET($H$3,0,0,'Données projet'!$E$10+1,1))</f>
        <v>325.42940802362739</v>
      </c>
      <c r="AO29" s="59">
        <f t="shared" si="36"/>
        <v>388.87198417542277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8.636857375564901</v>
      </c>
      <c r="AV29" s="21">
        <f>EXP(-LN(2)/25)*AV28+(1-EXP(-LN(2)/25))/(LN(2)/25)*Calculateur!AQ29*Calculateur!AS29*VLOOKUP('Données projet'!$B$10,Paramètres!$A$1:$I$89,3,0)*0.475*44/12</f>
        <v>8.5349709446773616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17.171828320242263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166.33333333333331</v>
      </c>
      <c r="BE29" s="13">
        <f>BD29*VLOOKUP('Données projet'!$B$11,Paramètres!$A$1:$I$89,3,0)*VLOOKUP('Données projet'!$B$11,Paramètres!$A$1:$I$89,5,0)</f>
        <v>103.79199999999999</v>
      </c>
      <c r="BF29" s="13">
        <f t="shared" si="37"/>
        <v>27.863423105754098</v>
      </c>
      <c r="BG29" s="20">
        <f t="shared" si="7"/>
        <v>229.29986190918837</v>
      </c>
      <c r="BH29" s="59">
        <f t="shared" si="8"/>
        <v>522.63319524252165</v>
      </c>
      <c r="BI29" s="59">
        <f ca="1">AVERAGE(OFFSET($BH$3,0,0,'Données projet'!$E$11+1,1))-AVERAGE(OFFSET($H$3,0,0,'Données projet'!$E$11+1,1))</f>
        <v>162.87524915738271</v>
      </c>
      <c r="BJ29" s="59">
        <f t="shared" si="38"/>
        <v>249.37880137966658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23.451931601173047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23.451931601173047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9.8000000000000007</v>
      </c>
      <c r="BY29" s="12">
        <f>IF('Données projet'!$A$114&gt;35,BY28+BX29-CG28,IF(A29&lt;'Données projet'!$A$114,$BV$205^A29,IF(A29='Données projet'!$A$114,'Données projet'!$B$114,BY28+BX29-CG28)))</f>
        <v>111.79999999999998</v>
      </c>
      <c r="BZ29" s="13">
        <f>BY29*VLOOKUP('Données projet'!$B$12,Paramètres!$A$1:$I$89,3,0)*VLOOKUP('Données projet'!$B$12,Paramètres!$A$1:$I$89,5,0)</f>
        <v>73.251359999999991</v>
      </c>
      <c r="CA29" s="13">
        <f t="shared" si="39"/>
        <v>20.478738981277562</v>
      </c>
      <c r="CB29" s="20">
        <f t="shared" si="10"/>
        <v>163.24658905905838</v>
      </c>
      <c r="CC29" s="59">
        <f t="shared" si="11"/>
        <v>456.57992239239172</v>
      </c>
      <c r="CD29" s="59">
        <f ca="1">AVERAGE(OFFSET($CC$3,0,0,'Données projet'!$E$12+1,1))-AVERAGE(OFFSET($H$3,0,0,'Données projet'!$E$12+1,1))</f>
        <v>119.88584888779422</v>
      </c>
      <c r="CE29" s="59">
        <f t="shared" si="40"/>
        <v>162.97244314258774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5</v>
      </c>
      <c r="CT29" s="12">
        <f>IF('Données projet'!$A$140&gt;35,CT28+CS29-DB28,IF(A29&lt;'Données projet'!$A$140,$CQ$205^A29,IF(A29='Données projet'!$A$140,'Données projet'!$B$140,CT28+CS29-DB28)))</f>
        <v>99</v>
      </c>
      <c r="CU29" s="17">
        <f>CT29*VLOOKUP('Données projet'!$B$13,Paramètres!$A$1:$I$89,3,0)*VLOOKUP('Données projet'!$B$13,Paramètres!$A$1:$I$89,5,0)</f>
        <v>100.38600000000001</v>
      </c>
      <c r="CV29" s="13">
        <f t="shared" si="41"/>
        <v>27.05393609634266</v>
      </c>
      <c r="CW29" s="20">
        <f t="shared" si="13"/>
        <v>221.95788870113014</v>
      </c>
      <c r="CX29" s="59">
        <f t="shared" si="14"/>
        <v>515.29122203446343</v>
      </c>
      <c r="CY29" s="59">
        <f ca="1">AVERAGE(OFFSET($CX$3,0,0,'Données projet'!$E$13+1,1))-AVERAGE(OFFSET($H$3,0,0,'Données projet'!$E$13+1,1))</f>
        <v>261.75887764015459</v>
      </c>
      <c r="CZ29" s="59">
        <f t="shared" si="42"/>
        <v>209.74127356028544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9.8000000000000007</v>
      </c>
      <c r="DO29" s="12">
        <f>IF('Données projet'!$A$166&gt;35,DO28+DN29-DW28,IF(A29&lt;'Données projet'!$A$166,$DL$205^A29,IF(A29='Données projet'!$A$166,'Données projet'!$B$166,DO28+DN29-DW28)))</f>
        <v>111.79999999999998</v>
      </c>
      <c r="DP29" s="17">
        <f>DO29*VLOOKUP('Données projet'!$B$14,Paramètres!$A$1:$I$89,3,0)*VLOOKUP('Données projet'!$B$14,Paramètres!$A$1:$I$89,5,0)</f>
        <v>88.94807999999999</v>
      </c>
      <c r="DQ29" s="13">
        <f t="shared" si="43"/>
        <v>24.311353889016104</v>
      </c>
      <c r="DR29" s="20">
        <f t="shared" si="16"/>
        <v>197.26018069003635</v>
      </c>
      <c r="DS29" s="59">
        <f t="shared" si="17"/>
        <v>490.59351402336966</v>
      </c>
      <c r="DT29" s="59">
        <f ca="1">AVERAGE(OFFSET($DS$3,0,0,'Données projet'!$E$14+1,1))-AVERAGE(OFFSET($H$3,0,0,'Données projet'!$E$14+1,1))</f>
        <v>215.37468832969444</v>
      </c>
      <c r="DU29" s="59">
        <f t="shared" si="44"/>
        <v>208.60212063136419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9.8000000000000007</v>
      </c>
      <c r="EJ29" s="12">
        <f>IF('Données projet'!$A$192&gt;35,EJ28+EI29-ER28,IF(A29&lt;'Données projet'!$A$192,$EG$205^A29,IF(A29='Données projet'!$A$192,'Données projet'!$B$192,EJ28+EI29-ER28)))</f>
        <v>111.79999999999998</v>
      </c>
      <c r="EK29" s="17">
        <f>EJ29*VLOOKUP('Données projet'!$B$15,Paramètres!$A$1:$I$89,3,0)*VLOOKUP('Données projet'!$B$15,Paramètres!$A$1:$I$89,5,0)</f>
        <v>88.94807999999999</v>
      </c>
      <c r="EL29" s="13">
        <f t="shared" si="45"/>
        <v>24.311353889016104</v>
      </c>
      <c r="EM29" s="20">
        <f t="shared" si="19"/>
        <v>197.26018069003635</v>
      </c>
      <c r="EN29" s="59">
        <f t="shared" si="20"/>
        <v>490.59351402336966</v>
      </c>
      <c r="EO29" s="59">
        <f ca="1">AVERAGE(OFFSET($EN$3,0,0,'Données projet'!$E$15+1,1))-AVERAGE(OFFSET($H$3,0,0,'Données projet'!$E$15+1,1))</f>
        <v>215.37468832969444</v>
      </c>
      <c r="EP29" s="59">
        <f t="shared" si="46"/>
        <v>208.60212063136419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9.8000000000000007</v>
      </c>
      <c r="FE29" s="12">
        <f>IF('Données projet'!$A$218&gt;35,FE28+FD29-FM28,IF(A29&lt;'Données projet'!$A$218,$FB$205^A29,IF(A29='Données projet'!$A$218,'Données projet'!$B$218,FE28+FD29-FM28)))</f>
        <v>111.79999999999998</v>
      </c>
      <c r="FF29" s="17">
        <f>FE29*VLOOKUP('Données projet'!$B$16,Paramètres!$A$1:$I$89,3,0)*VLOOKUP('Données projet'!$B$16,Paramètres!$A$1:$I$89,5,0)</f>
        <v>90.692160000000001</v>
      </c>
      <c r="FG29" s="13">
        <f t="shared" si="47"/>
        <v>24.732082813332255</v>
      </c>
      <c r="FH29" s="20">
        <f t="shared" si="22"/>
        <v>201.03055623322032</v>
      </c>
      <c r="FI29" s="59">
        <f t="shared" si="23"/>
        <v>494.36388956655367</v>
      </c>
      <c r="FJ29" s="59">
        <f ca="1">AVERAGE(OFFSET($FI$3,0,0,'Données projet'!$E$16+1,1))-AVERAGE(OFFSET($H$3,0,0,'Données projet'!$E$16+1,1))</f>
        <v>220.90439367987847</v>
      </c>
      <c r="FK29" s="59">
        <f t="shared" si="48"/>
        <v>213.66046131354858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1">
        <f t="shared" si="32"/>
        <v>7.047101657391166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67">
        <f t="shared" si="1"/>
        <v>343.7537153866229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60.400000000000006</v>
      </c>
      <c r="O30" s="13">
        <f>N30*VLOOKUP('Données projet'!$B$9,Paramètres!$A$1:$I$89,3,0)*VLOOKUP('Données projet'!$B$9,Paramètres!$A$1:$I$89,5,0)</f>
        <v>28.267199999999999</v>
      </c>
      <c r="P30" s="13">
        <f t="shared" si="33"/>
        <v>8.8288784870481614</v>
      </c>
      <c r="Q30" s="20">
        <f t="shared" si="2"/>
        <v>64.609003364942211</v>
      </c>
      <c r="R30" s="59">
        <f t="shared" si="0"/>
        <v>357.94233669827554</v>
      </c>
      <c r="S30" s="59">
        <f ca="1">AVERAGE(OFFSET($R$3,0,0,'Données projet'!$E$9+1,1))-AVERAGE(OFFSET($H$3,0,0,'Données projet'!$E$9+1,1))</f>
        <v>196.72624686715807</v>
      </c>
      <c r="T30" s="59">
        <f t="shared" si="34"/>
        <v>37.315661698104691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282.00000000000006</v>
      </c>
      <c r="AJ30" s="13">
        <f>AI30*VLOOKUP('Données projet'!$B$10,Paramètres!$A$1:$I$89,3,0)*VLOOKUP('Données projet'!$B$10,Paramètres!$A$1:$I$89,5,0)</f>
        <v>157.63800000000003</v>
      </c>
      <c r="AK30" s="13">
        <f t="shared" si="35"/>
        <v>40.30929944743464</v>
      </c>
      <c r="AL30" s="20">
        <f t="shared" si="4"/>
        <v>344.75821320428196</v>
      </c>
      <c r="AM30" s="59">
        <f t="shared" si="5"/>
        <v>638.09154653761527</v>
      </c>
      <c r="AN30" s="59">
        <f ca="1">AVERAGE(OFFSET($AM$3,0,0,'Données projet'!$E$10+1,1))-AVERAGE(OFFSET($H$3,0,0,'Données projet'!$E$10+1,1))</f>
        <v>325.42940802362739</v>
      </c>
      <c r="AO30" s="59">
        <f t="shared" si="36"/>
        <v>388.87198417542277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8.4674938703929037</v>
      </c>
      <c r="AV30" s="21">
        <f>EXP(-LN(2)/25)*AV29+(1-EXP(-LN(2)/25))/(LN(2)/25)*Calculateur!AQ30*Calculateur!AS30*VLOOKUP('Données projet'!$B$10,Paramètres!$A$1:$I$89,3,0)*0.475*44/12</f>
        <v>8.3015817153605447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16.769075585753448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180.49999999999997</v>
      </c>
      <c r="BE30" s="13">
        <f>BD30*VLOOKUP('Données projet'!$B$11,Paramètres!$A$1:$I$89,3,0)*VLOOKUP('Données projet'!$B$11,Paramètres!$A$1:$I$89,5,0)</f>
        <v>112.63199999999999</v>
      </c>
      <c r="BF30" s="13">
        <f t="shared" si="37"/>
        <v>29.950248336286034</v>
      </c>
      <c r="BG30" s="20">
        <f t="shared" si="7"/>
        <v>248.33074918569818</v>
      </c>
      <c r="BH30" s="59">
        <f t="shared" si="8"/>
        <v>541.66408251903147</v>
      </c>
      <c r="BI30" s="59">
        <f ca="1">AVERAGE(OFFSET($BH$3,0,0,'Données projet'!$E$11+1,1))-AVERAGE(OFFSET($H$3,0,0,'Données projet'!$E$11+1,1))</f>
        <v>162.87524915738271</v>
      </c>
      <c r="BJ30" s="59">
        <f t="shared" si="38"/>
        <v>249.37880137966658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22.810637298255486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22.810637298255486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9.8000000000000007</v>
      </c>
      <c r="BY30" s="12">
        <f>IF('Données projet'!$A$114&gt;35,BY29+BX30-CG29,IF(A30&lt;'Données projet'!$A$114,$BV$205^A30,IF(A30='Données projet'!$A$114,'Données projet'!$B$114,BY29+BX30-CG29)))</f>
        <v>121.59999999999998</v>
      </c>
      <c r="BZ30" s="13">
        <f>BY30*VLOOKUP('Données projet'!$B$12,Paramètres!$A$1:$I$89,3,0)*VLOOKUP('Données projet'!$B$12,Paramètres!$A$1:$I$89,5,0)</f>
        <v>79.672319999999985</v>
      </c>
      <c r="CA30" s="13">
        <f t="shared" si="39"/>
        <v>22.057045536520654</v>
      </c>
      <c r="CB30" s="20">
        <f t="shared" si="10"/>
        <v>177.17864497610677</v>
      </c>
      <c r="CC30" s="59">
        <f t="shared" si="11"/>
        <v>470.51197830944011</v>
      </c>
      <c r="CD30" s="59">
        <f ca="1">AVERAGE(OFFSET($CC$3,0,0,'Données projet'!$E$12+1,1))-AVERAGE(OFFSET($H$3,0,0,'Données projet'!$E$12+1,1))</f>
        <v>119.88584888779422</v>
      </c>
      <c r="CE30" s="59">
        <f t="shared" si="40"/>
        <v>162.97244314258774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5</v>
      </c>
      <c r="CT30" s="12">
        <f>IF('Données projet'!$A$140&gt;35,CT29+CS30-DB29,IF(A30&lt;'Données projet'!$A$140,$CQ$205^A30,IF(A30='Données projet'!$A$140,'Données projet'!$B$140,CT29+CS30-DB29)))</f>
        <v>104</v>
      </c>
      <c r="CU30" s="17">
        <f>CT30*VLOOKUP('Données projet'!$B$13,Paramètres!$A$1:$I$89,3,0)*VLOOKUP('Données projet'!$B$13,Paramètres!$A$1:$I$89,5,0)</f>
        <v>105.45600000000002</v>
      </c>
      <c r="CV30" s="13">
        <f t="shared" si="41"/>
        <v>28.257768345963573</v>
      </c>
      <c r="CW30" s="20">
        <f t="shared" si="13"/>
        <v>232.88481320255323</v>
      </c>
      <c r="CX30" s="59">
        <f t="shared" si="14"/>
        <v>526.21814653588649</v>
      </c>
      <c r="CY30" s="59">
        <f ca="1">AVERAGE(OFFSET($CX$3,0,0,'Données projet'!$E$13+1,1))-AVERAGE(OFFSET($H$3,0,0,'Données projet'!$E$13+1,1))</f>
        <v>261.75887764015459</v>
      </c>
      <c r="CZ30" s="59">
        <f t="shared" si="42"/>
        <v>209.74127356028544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9.8000000000000007</v>
      </c>
      <c r="DO30" s="12">
        <f>IF('Données projet'!$A$166&gt;35,DO29+DN30-DW29,IF(A30&lt;'Données projet'!$A$166,$DL$205^A30,IF(A30='Données projet'!$A$166,'Données projet'!$B$166,DO29+DN30-DW29)))</f>
        <v>121.59999999999998</v>
      </c>
      <c r="DP30" s="17">
        <f>DO30*VLOOKUP('Données projet'!$B$14,Paramètres!$A$1:$I$89,3,0)*VLOOKUP('Données projet'!$B$14,Paramètres!$A$1:$I$89,5,0)</f>
        <v>96.744959999999992</v>
      </c>
      <c r="DQ30" s="13">
        <f t="shared" si="43"/>
        <v>26.185041973275027</v>
      </c>
      <c r="DR30" s="20">
        <f t="shared" si="16"/>
        <v>214.10308677012063</v>
      </c>
      <c r="DS30" s="59">
        <f t="shared" si="17"/>
        <v>507.43642010345394</v>
      </c>
      <c r="DT30" s="59">
        <f ca="1">AVERAGE(OFFSET($DS$3,0,0,'Données projet'!$E$14+1,1))-AVERAGE(OFFSET($H$3,0,0,'Données projet'!$E$14+1,1))</f>
        <v>215.37468832969444</v>
      </c>
      <c r="DU30" s="59">
        <f t="shared" si="44"/>
        <v>208.60212063136419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9.8000000000000007</v>
      </c>
      <c r="EJ30" s="12">
        <f>IF('Données projet'!$A$192&gt;35,EJ29+EI30-ER29,IF(A30&lt;'Données projet'!$A$192,$EG$205^A30,IF(A30='Données projet'!$A$192,'Données projet'!$B$192,EJ29+EI30-ER29)))</f>
        <v>121.59999999999998</v>
      </c>
      <c r="EK30" s="17">
        <f>EJ30*VLOOKUP('Données projet'!$B$15,Paramètres!$A$1:$I$89,3,0)*VLOOKUP('Données projet'!$B$15,Paramètres!$A$1:$I$89,5,0)</f>
        <v>96.744959999999992</v>
      </c>
      <c r="EL30" s="13">
        <f t="shared" si="45"/>
        <v>26.185041973275027</v>
      </c>
      <c r="EM30" s="20">
        <f t="shared" si="19"/>
        <v>214.10308677012063</v>
      </c>
      <c r="EN30" s="59">
        <f t="shared" si="20"/>
        <v>507.43642010345394</v>
      </c>
      <c r="EO30" s="59">
        <f ca="1">AVERAGE(OFFSET($EN$3,0,0,'Données projet'!$E$15+1,1))-AVERAGE(OFFSET($H$3,0,0,'Données projet'!$E$15+1,1))</f>
        <v>215.37468832969444</v>
      </c>
      <c r="EP30" s="59">
        <f t="shared" si="46"/>
        <v>208.60212063136419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9.8000000000000007</v>
      </c>
      <c r="FE30" s="12">
        <f>IF('Données projet'!$A$218&gt;35,FE29+FD30-FM29,IF(A30&lt;'Données projet'!$A$218,$FB$205^A30,IF(A30='Données projet'!$A$218,'Données projet'!$B$218,FE29+FD30-FM29)))</f>
        <v>121.59999999999998</v>
      </c>
      <c r="FF30" s="17">
        <f>FE30*VLOOKUP('Données projet'!$B$16,Paramètres!$A$1:$I$89,3,0)*VLOOKUP('Données projet'!$B$16,Paramètres!$A$1:$I$89,5,0)</f>
        <v>98.641919999999985</v>
      </c>
      <c r="FG30" s="13">
        <f t="shared" si="47"/>
        <v>26.638196684151367</v>
      </c>
      <c r="FH30" s="20">
        <f t="shared" si="22"/>
        <v>218.19620322489695</v>
      </c>
      <c r="FI30" s="59">
        <f t="shared" si="23"/>
        <v>511.52953655823023</v>
      </c>
      <c r="FJ30" s="59">
        <f ca="1">AVERAGE(OFFSET($FI$3,0,0,'Données projet'!$E$16+1,1))-AVERAGE(OFFSET($H$3,0,0,'Données projet'!$E$16+1,1))</f>
        <v>220.90439367987847</v>
      </c>
      <c r="FK30" s="59">
        <f t="shared" si="48"/>
        <v>213.66046131354858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1">
        <f t="shared" si="32"/>
        <v>7.2772341841187966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67">
        <f t="shared" si="1"/>
        <v>345.5673695373402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69.600000000000009</v>
      </c>
      <c r="O31" s="13">
        <f>N31*VLOOKUP('Données projet'!$B$9,Paramètres!$A$1:$I$89,3,0)*VLOOKUP('Données projet'!$B$9,Paramètres!$A$1:$I$89,5,0)</f>
        <v>32.572800000000001</v>
      </c>
      <c r="P31" s="13">
        <f t="shared" si="33"/>
        <v>10.007159566468195</v>
      </c>
      <c r="Q31" s="20">
        <f t="shared" si="2"/>
        <v>74.160096244932106</v>
      </c>
      <c r="R31" s="59">
        <f t="shared" si="0"/>
        <v>367.49342957826542</v>
      </c>
      <c r="S31" s="59">
        <f ca="1">AVERAGE(OFFSET($R$3,0,0,'Données projet'!$E$9+1,1))-AVERAGE(OFFSET($H$3,0,0,'Données projet'!$E$9+1,1))</f>
        <v>196.72624686715807</v>
      </c>
      <c r="T31" s="59">
        <f t="shared" si="34"/>
        <v>37.315661698104691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310.00000000000006</v>
      </c>
      <c r="AJ31" s="13">
        <f>AI31*VLOOKUP('Données projet'!$B$10,Paramètres!$A$1:$I$89,3,0)*VLOOKUP('Données projet'!$B$10,Paramètres!$A$1:$I$89,5,0)</f>
        <v>173.29000000000002</v>
      </c>
      <c r="AK31" s="13">
        <f t="shared" si="35"/>
        <v>43.826050112896048</v>
      </c>
      <c r="AL31" s="20">
        <f t="shared" si="4"/>
        <v>378.14378727996063</v>
      </c>
      <c r="AM31" s="59">
        <f t="shared" si="5"/>
        <v>671.47712061329389</v>
      </c>
      <c r="AN31" s="59">
        <f ca="1">AVERAGE(OFFSET($AM$3,0,0,'Données projet'!$E$10+1,1))-AVERAGE(OFFSET($H$3,0,0,'Données projet'!$E$10+1,1))</f>
        <v>325.42940802362739</v>
      </c>
      <c r="AO31" s="59">
        <f t="shared" si="36"/>
        <v>388.87198417542277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8.3014514802557926</v>
      </c>
      <c r="AV31" s="21">
        <f>EXP(-LN(2)/25)*AV30+(1-EXP(-LN(2)/25))/(LN(2)/25)*Calculateur!AQ31*Calculateur!AS31*VLOOKUP('Données projet'!$B$10,Paramètres!$A$1:$I$89,3,0)*0.475*44/12</f>
        <v>8.0745745267928015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16.376026007048594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194.66666666666663</v>
      </c>
      <c r="BE31" s="13">
        <f>BD31*VLOOKUP('Données projet'!$B$11,Paramètres!$A$1:$I$89,3,0)*VLOOKUP('Données projet'!$B$11,Paramètres!$A$1:$I$89,5,0)</f>
        <v>121.47199999999998</v>
      </c>
      <c r="BF31" s="13">
        <f t="shared" si="37"/>
        <v>32.018075129895699</v>
      </c>
      <c r="BG31" s="20">
        <f t="shared" si="7"/>
        <v>267.3285475179016</v>
      </c>
      <c r="BH31" s="59">
        <f t="shared" si="8"/>
        <v>560.66188085123486</v>
      </c>
      <c r="BI31" s="59">
        <f ca="1">AVERAGE(OFFSET($BH$3,0,0,'Données projet'!$E$11+1,1))-AVERAGE(OFFSET($H$3,0,0,'Données projet'!$E$11+1,1))</f>
        <v>162.87524915738271</v>
      </c>
      <c r="BJ31" s="59">
        <f t="shared" si="38"/>
        <v>249.37880137966658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22.18687922177541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22.18687922177541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9.8000000000000007</v>
      </c>
      <c r="BY31" s="12">
        <f>IF('Données projet'!$A$114&gt;35,BY30+BX31-CG30,IF(A31&lt;'Données projet'!$A$114,$BV$205^A31,IF(A31='Données projet'!$A$114,'Données projet'!$B$114,BY30+BX31-CG30)))</f>
        <v>131.39999999999998</v>
      </c>
      <c r="BZ31" s="13">
        <f>BY31*VLOOKUP('Données projet'!$B$12,Paramètres!$A$1:$I$89,3,0)*VLOOKUP('Données projet'!$B$12,Paramètres!$A$1:$I$89,5,0)</f>
        <v>86.093279999999979</v>
      </c>
      <c r="CA31" s="13">
        <f t="shared" si="39"/>
        <v>23.620598504835936</v>
      </c>
      <c r="CB31" s="20">
        <f t="shared" si="10"/>
        <v>191.0850050625892</v>
      </c>
      <c r="CC31" s="59">
        <f t="shared" si="11"/>
        <v>484.41833839592255</v>
      </c>
      <c r="CD31" s="59">
        <f ca="1">AVERAGE(OFFSET($CC$3,0,0,'Données projet'!$E$12+1,1))-AVERAGE(OFFSET($H$3,0,0,'Données projet'!$E$12+1,1))</f>
        <v>119.88584888779422</v>
      </c>
      <c r="CE31" s="59">
        <f t="shared" si="40"/>
        <v>162.97244314258774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5</v>
      </c>
      <c r="CT31" s="12">
        <f>IF('Données projet'!$A$140&gt;35,CT30+CS31-DB30,IF(A31&lt;'Données projet'!$A$140,$CQ$205^A31,IF(A31='Données projet'!$A$140,'Données projet'!$B$140,CT30+CS31-DB30)))</f>
        <v>109</v>
      </c>
      <c r="CU31" s="17">
        <f>CT31*VLOOKUP('Données projet'!$B$13,Paramètres!$A$1:$I$89,3,0)*VLOOKUP('Données projet'!$B$13,Paramètres!$A$1:$I$89,5,0)</f>
        <v>110.52600000000001</v>
      </c>
      <c r="CV31" s="13">
        <f t="shared" si="41"/>
        <v>29.454879846564946</v>
      </c>
      <c r="CW31" s="20">
        <f t="shared" si="13"/>
        <v>243.80003239943395</v>
      </c>
      <c r="CX31" s="59">
        <f t="shared" si="14"/>
        <v>537.13336573276729</v>
      </c>
      <c r="CY31" s="59">
        <f ca="1">AVERAGE(OFFSET($CX$3,0,0,'Données projet'!$E$13+1,1))-AVERAGE(OFFSET($H$3,0,0,'Données projet'!$E$13+1,1))</f>
        <v>261.75887764015459</v>
      </c>
      <c r="CZ31" s="59">
        <f t="shared" si="42"/>
        <v>209.74127356028544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9.8000000000000007</v>
      </c>
      <c r="DO31" s="12">
        <f>IF('Données projet'!$A$166&gt;35,DO30+DN31-DW30,IF(A31&lt;'Données projet'!$A$166,$DL$205^A31,IF(A31='Données projet'!$A$166,'Données projet'!$B$166,DO30+DN31-DW30)))</f>
        <v>131.39999999999998</v>
      </c>
      <c r="DP31" s="17">
        <f>DO31*VLOOKUP('Données projet'!$B$14,Paramètres!$A$1:$I$89,3,0)*VLOOKUP('Données projet'!$B$14,Paramètres!$A$1:$I$89,5,0)</f>
        <v>104.54183999999999</v>
      </c>
      <c r="DQ31" s="13">
        <f t="shared" si="43"/>
        <v>28.041215323191079</v>
      </c>
      <c r="DR31" s="20">
        <f t="shared" si="16"/>
        <v>230.91548802122443</v>
      </c>
      <c r="DS31" s="59">
        <f t="shared" si="17"/>
        <v>524.24882135455778</v>
      </c>
      <c r="DT31" s="59">
        <f ca="1">AVERAGE(OFFSET($DS$3,0,0,'Données projet'!$E$14+1,1))-AVERAGE(OFFSET($H$3,0,0,'Données projet'!$E$14+1,1))</f>
        <v>215.37468832969444</v>
      </c>
      <c r="DU31" s="59">
        <f t="shared" si="44"/>
        <v>208.60212063136419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9.8000000000000007</v>
      </c>
      <c r="EJ31" s="12">
        <f>IF('Données projet'!$A$192&gt;35,EJ30+EI31-ER30,IF(A31&lt;'Données projet'!$A$192,$EG$205^A31,IF(A31='Données projet'!$A$192,'Données projet'!$B$192,EJ30+EI31-ER30)))</f>
        <v>131.39999999999998</v>
      </c>
      <c r="EK31" s="17">
        <f>EJ31*VLOOKUP('Données projet'!$B$15,Paramètres!$A$1:$I$89,3,0)*VLOOKUP('Données projet'!$B$15,Paramètres!$A$1:$I$89,5,0)</f>
        <v>104.54183999999999</v>
      </c>
      <c r="EL31" s="13">
        <f t="shared" si="45"/>
        <v>28.041215323191079</v>
      </c>
      <c r="EM31" s="20">
        <f t="shared" si="19"/>
        <v>230.91548802122443</v>
      </c>
      <c r="EN31" s="59">
        <f t="shared" si="20"/>
        <v>524.24882135455778</v>
      </c>
      <c r="EO31" s="59">
        <f ca="1">AVERAGE(OFFSET($EN$3,0,0,'Données projet'!$E$15+1,1))-AVERAGE(OFFSET($H$3,0,0,'Données projet'!$E$15+1,1))</f>
        <v>215.37468832969444</v>
      </c>
      <c r="EP31" s="59">
        <f t="shared" si="46"/>
        <v>208.60212063136419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9.8000000000000007</v>
      </c>
      <c r="FE31" s="12">
        <f>IF('Données projet'!$A$218&gt;35,FE30+FD31-FM30,IF(A31&lt;'Données projet'!$A$218,$FB$205^A31,IF(A31='Données projet'!$A$218,'Données projet'!$B$218,FE30+FD31-FM30)))</f>
        <v>131.39999999999998</v>
      </c>
      <c r="FF31" s="17">
        <f>FE31*VLOOKUP('Données projet'!$B$16,Paramètres!$A$1:$I$89,3,0)*VLOOKUP('Données projet'!$B$16,Paramètres!$A$1:$I$89,5,0)</f>
        <v>106.59167999999998</v>
      </c>
      <c r="FG31" s="13">
        <f t="shared" si="47"/>
        <v>28.526492713060108</v>
      </c>
      <c r="FH31" s="20">
        <f t="shared" si="22"/>
        <v>235.33081747524633</v>
      </c>
      <c r="FI31" s="59">
        <f t="shared" si="23"/>
        <v>528.66415080857962</v>
      </c>
      <c r="FJ31" s="59">
        <f ca="1">AVERAGE(OFFSET($FI$3,0,0,'Données projet'!$E$16+1,1))-AVERAGE(OFFSET($H$3,0,0,'Données projet'!$E$16+1,1))</f>
        <v>220.90439367987847</v>
      </c>
      <c r="FK31" s="59">
        <f t="shared" si="48"/>
        <v>213.66046131354858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1">
        <f t="shared" si="32"/>
        <v>7.5064117884233523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67">
        <f t="shared" si="1"/>
        <v>347.37936053150395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78.800000000000011</v>
      </c>
      <c r="O32" s="13">
        <f>N32*VLOOKUP('Données projet'!$B$9,Paramètres!$A$1:$I$89,3,0)*VLOOKUP('Données projet'!$B$9,Paramètres!$A$1:$I$89,5,0)</f>
        <v>36.878400000000006</v>
      </c>
      <c r="P32" s="13">
        <f t="shared" si="33"/>
        <v>11.167394708269416</v>
      </c>
      <c r="Q32" s="20">
        <f t="shared" si="2"/>
        <v>83.679759116902574</v>
      </c>
      <c r="R32" s="59">
        <f t="shared" si="0"/>
        <v>377.01309245023589</v>
      </c>
      <c r="S32" s="59">
        <f ca="1">AVERAGE(OFFSET($R$3,0,0,'Données projet'!$E$9+1,1))-AVERAGE(OFFSET($H$3,0,0,'Données projet'!$E$9+1,1))</f>
        <v>196.72624686715807</v>
      </c>
      <c r="T32" s="59">
        <f t="shared" si="34"/>
        <v>37.315661698104691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338.00000000000006</v>
      </c>
      <c r="AJ32" s="13">
        <f>AI32*VLOOKUP('Données projet'!$B$10,Paramètres!$A$1:$I$89,3,0)*VLOOKUP('Données projet'!$B$10,Paramètres!$A$1:$I$89,5,0)</f>
        <v>188.94200000000004</v>
      </c>
      <c r="AK32" s="13">
        <f t="shared" si="35"/>
        <v>47.305968109740604</v>
      </c>
      <c r="AL32" s="20">
        <f t="shared" si="4"/>
        <v>411.46521112446493</v>
      </c>
      <c r="AM32" s="59">
        <f t="shared" si="5"/>
        <v>704.79854445779824</v>
      </c>
      <c r="AN32" s="59">
        <f ca="1">AVERAGE(OFFSET($AM$3,0,0,'Données projet'!$E$10+1,1))-AVERAGE(OFFSET($H$3,0,0,'Données projet'!$E$10+1,1))</f>
        <v>325.42940802362739</v>
      </c>
      <c r="AO32" s="59">
        <f t="shared" si="36"/>
        <v>388.87198417542277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8.1386650801134124</v>
      </c>
      <c r="AV32" s="21">
        <f>EXP(-LN(2)/25)*AV31+(1-EXP(-LN(2)/25))/(LN(2)/25)*Calculateur!AQ32*Calculateur!AS32*VLOOKUP('Données projet'!$B$10,Paramètres!$A$1:$I$89,3,0)*0.475*44/12</f>
        <v>7.8537748617342329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15.992439941847646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208.83333333333329</v>
      </c>
      <c r="BE32" s="13">
        <f>BD32*VLOOKUP('Données projet'!$B$11,Paramètres!$A$1:$I$89,3,0)*VLOOKUP('Données projet'!$B$11,Paramètres!$A$1:$I$89,5,0)</f>
        <v>130.31199999999995</v>
      </c>
      <c r="BF32" s="13">
        <f t="shared" si="37"/>
        <v>34.068443310691265</v>
      </c>
      <c r="BG32" s="20">
        <f t="shared" si="7"/>
        <v>286.29593876612051</v>
      </c>
      <c r="BH32" s="59">
        <f t="shared" si="8"/>
        <v>579.62927209945383</v>
      </c>
      <c r="BI32" s="59">
        <f ca="1">AVERAGE(OFFSET($BH$3,0,0,'Données projet'!$E$11+1,1))-AVERAGE(OFFSET($H$3,0,0,'Données projet'!$E$11+1,1))</f>
        <v>162.87524915738271</v>
      </c>
      <c r="BJ32" s="59">
        <f t="shared" si="38"/>
        <v>249.37880137966658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21.580177842698692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21.580177842698692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9.8000000000000007</v>
      </c>
      <c r="BY32" s="12">
        <f>IF('Données projet'!$A$114&gt;35,BY31+BX32-CG31,IF(A32&lt;'Données projet'!$A$114,$BV$205^A32,IF(A32='Données projet'!$A$114,'Données projet'!$B$114,BY31+BX32-CG31)))</f>
        <v>141.19999999999999</v>
      </c>
      <c r="BZ32" s="13">
        <f>BY32*VLOOKUP('Données projet'!$B$12,Paramètres!$A$1:$I$89,3,0)*VLOOKUP('Données projet'!$B$12,Paramètres!$A$1:$I$89,5,0)</f>
        <v>92.514240000000001</v>
      </c>
      <c r="CA32" s="13">
        <f t="shared" si="39"/>
        <v>25.170623350766562</v>
      </c>
      <c r="CB32" s="20">
        <f t="shared" si="10"/>
        <v>204.96780366925177</v>
      </c>
      <c r="CC32" s="59">
        <f t="shared" si="11"/>
        <v>498.30113700258505</v>
      </c>
      <c r="CD32" s="59">
        <f ca="1">AVERAGE(OFFSET($CC$3,0,0,'Données projet'!$E$12+1,1))-AVERAGE(OFFSET($H$3,0,0,'Données projet'!$E$12+1,1))</f>
        <v>119.88584888779422</v>
      </c>
      <c r="CE32" s="59">
        <f t="shared" si="40"/>
        <v>162.97244314258774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5</v>
      </c>
      <c r="CT32" s="12">
        <f>IF('Données projet'!$A$140&gt;35,CT31+CS32-DB31,IF(A32&lt;'Données projet'!$A$140,$CQ$205^A32,IF(A32='Données projet'!$A$140,'Données projet'!$B$140,CT31+CS32-DB31)))</f>
        <v>114</v>
      </c>
      <c r="CU32" s="17">
        <f>CT32*VLOOKUP('Données projet'!$B$13,Paramètres!$A$1:$I$89,3,0)*VLOOKUP('Données projet'!$B$13,Paramètres!$A$1:$I$89,5,0)</f>
        <v>115.59600000000002</v>
      </c>
      <c r="CV32" s="13">
        <f t="shared" si="41"/>
        <v>30.645614103483879</v>
      </c>
      <c r="CW32" s="20">
        <f t="shared" si="13"/>
        <v>254.70414456356778</v>
      </c>
      <c r="CX32" s="59">
        <f t="shared" si="14"/>
        <v>548.03747789690112</v>
      </c>
      <c r="CY32" s="59">
        <f ca="1">AVERAGE(OFFSET($CX$3,0,0,'Données projet'!$E$13+1,1))-AVERAGE(OFFSET($H$3,0,0,'Données projet'!$E$13+1,1))</f>
        <v>261.75887764015459</v>
      </c>
      <c r="CZ32" s="59">
        <f t="shared" si="42"/>
        <v>209.74127356028544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9.8000000000000007</v>
      </c>
      <c r="DO32" s="12">
        <f>IF('Données projet'!$A$166&gt;35,DO31+DN32-DW31,IF(A32&lt;'Données projet'!$A$166,$DL$205^A32,IF(A32='Données projet'!$A$166,'Données projet'!$B$166,DO31+DN32-DW31)))</f>
        <v>141.19999999999999</v>
      </c>
      <c r="DP32" s="17">
        <f>DO32*VLOOKUP('Données projet'!$B$14,Paramètres!$A$1:$I$89,3,0)*VLOOKUP('Données projet'!$B$14,Paramètres!$A$1:$I$89,5,0)</f>
        <v>112.33872000000001</v>
      </c>
      <c r="DQ32" s="13">
        <f t="shared" si="43"/>
        <v>29.88132875012807</v>
      </c>
      <c r="DR32" s="20">
        <f t="shared" si="16"/>
        <v>247.69991823980641</v>
      </c>
      <c r="DS32" s="59">
        <f t="shared" si="17"/>
        <v>541.03325157313975</v>
      </c>
      <c r="DT32" s="59">
        <f ca="1">AVERAGE(OFFSET($DS$3,0,0,'Données projet'!$E$14+1,1))-AVERAGE(OFFSET($H$3,0,0,'Données projet'!$E$14+1,1))</f>
        <v>215.37468832969444</v>
      </c>
      <c r="DU32" s="59">
        <f t="shared" si="44"/>
        <v>208.60212063136419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9.8000000000000007</v>
      </c>
      <c r="EJ32" s="12">
        <f>IF('Données projet'!$A$192&gt;35,EJ31+EI32-ER31,IF(A32&lt;'Données projet'!$A$192,$EG$205^A32,IF(A32='Données projet'!$A$192,'Données projet'!$B$192,EJ31+EI32-ER31)))</f>
        <v>141.19999999999999</v>
      </c>
      <c r="EK32" s="17">
        <f>EJ32*VLOOKUP('Données projet'!$B$15,Paramètres!$A$1:$I$89,3,0)*VLOOKUP('Données projet'!$B$15,Paramètres!$A$1:$I$89,5,0)</f>
        <v>112.33872000000001</v>
      </c>
      <c r="EL32" s="13">
        <f t="shared" si="45"/>
        <v>29.88132875012807</v>
      </c>
      <c r="EM32" s="20">
        <f t="shared" si="19"/>
        <v>247.69991823980641</v>
      </c>
      <c r="EN32" s="59">
        <f t="shared" si="20"/>
        <v>541.03325157313975</v>
      </c>
      <c r="EO32" s="59">
        <f ca="1">AVERAGE(OFFSET($EN$3,0,0,'Données projet'!$E$15+1,1))-AVERAGE(OFFSET($H$3,0,0,'Données projet'!$E$15+1,1))</f>
        <v>215.37468832969444</v>
      </c>
      <c r="EP32" s="59">
        <f t="shared" si="46"/>
        <v>208.60212063136419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9.8000000000000007</v>
      </c>
      <c r="FE32" s="12">
        <f>IF('Données projet'!$A$218&gt;35,FE31+FD32-FM31,IF(A32&lt;'Données projet'!$A$218,$FB$205^A32,IF(A32='Données projet'!$A$218,'Données projet'!$B$218,FE31+FD32-FM31)))</f>
        <v>141.19999999999999</v>
      </c>
      <c r="FF32" s="17">
        <f>FE32*VLOOKUP('Données projet'!$B$16,Paramètres!$A$1:$I$89,3,0)*VLOOKUP('Données projet'!$B$16,Paramètres!$A$1:$I$89,5,0)</f>
        <v>114.54143999999999</v>
      </c>
      <c r="FG32" s="13">
        <f t="shared" si="47"/>
        <v>30.398450888186328</v>
      </c>
      <c r="FH32" s="20">
        <f t="shared" si="22"/>
        <v>252.43697663025782</v>
      </c>
      <c r="FI32" s="59">
        <f t="shared" si="23"/>
        <v>545.7703099635911</v>
      </c>
      <c r="FJ32" s="59">
        <f ca="1">AVERAGE(OFFSET($FI$3,0,0,'Données projet'!$E$16+1,1))-AVERAGE(OFFSET($H$3,0,0,'Données projet'!$E$16+1,1))</f>
        <v>220.90439367987847</v>
      </c>
      <c r="FK32" s="59">
        <f t="shared" si="48"/>
        <v>213.66046131354858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1">
        <f t="shared" si="32"/>
        <v>7.7346711726299739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67">
        <f t="shared" si="1"/>
        <v>349.18975229233047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88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88.000000000000014</v>
      </c>
      <c r="O33" s="13">
        <f>N33*VLOOKUP('Données projet'!$B$9,Paramètres!$A$1:$I$89,3,0)*VLOOKUP('Données projet'!$B$9,Paramètres!$A$1:$I$89,5,0)</f>
        <v>41.184000000000005</v>
      </c>
      <c r="P33" s="13">
        <f t="shared" si="33"/>
        <v>12.31193147776184</v>
      </c>
      <c r="Q33" s="20">
        <f t="shared" si="2"/>
        <v>93.172080657101858</v>
      </c>
      <c r="R33" s="59">
        <f t="shared" si="0"/>
        <v>386.50541399043516</v>
      </c>
      <c r="S33" s="59">
        <f ca="1">AVERAGE(OFFSET($R$3,0,0,'Données projet'!$E$9+1,1))-AVERAGE(OFFSET($H$3,0,0,'Données projet'!$E$9+1,1))</f>
        <v>196.72624686715807</v>
      </c>
      <c r="T33" s="59">
        <f t="shared" si="34"/>
        <v>37.315661698104691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367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366.00000000000006</v>
      </c>
      <c r="AJ33" s="13">
        <f>AI33*VLOOKUP('Données projet'!$B$10,Paramètres!$A$1:$I$89,3,0)*VLOOKUP('Données projet'!$B$10,Paramètres!$A$1:$I$89,5,0)</f>
        <v>204.59400000000005</v>
      </c>
      <c r="AK33" s="13">
        <f t="shared" si="35"/>
        <v>50.752451560432448</v>
      </c>
      <c r="AL33" s="20">
        <f t="shared" si="4"/>
        <v>444.72840313441998</v>
      </c>
      <c r="AM33" s="59">
        <f t="shared" si="5"/>
        <v>738.06173646775324</v>
      </c>
      <c r="AN33" s="59">
        <f ca="1">AVERAGE(OFFSET($AM$3,0,0,'Données projet'!$E$10+1,1))-AVERAGE(OFFSET($H$3,0,0,'Données projet'!$E$10+1,1))</f>
        <v>325.42940802362739</v>
      </c>
      <c r="AO33" s="59">
        <f t="shared" si="36"/>
        <v>388.87198417542277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0.27500000000000002</v>
      </c>
      <c r="AS33" s="16">
        <f>IF(ISNA(VLOOKUP(A33,'Données projet'!$A$61:$I$81,6,0)),0%,VLOOKUP(A33,'Données projet'!$A$61:$I$81,6,0)*VLOOKUP('Données projet'!$B$10,Paramètres!$A$1:$I$89,7,0))</f>
        <v>0.16500000000000001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18.991081351259865</v>
      </c>
      <c r="AV33" s="21">
        <f>EXP(-LN(2)/25)*AV32+(1-EXP(-LN(2)/25))/(LN(2)/25)*Calculateur!AQ33*Calculateur!AS33*VLOOKUP('Données projet'!$B$10,Paramètres!$A$1:$I$89,3,0)*0.475*44/12</f>
        <v>14.220204203875978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33.211285555135845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222.99999999999994</v>
      </c>
      <c r="BE33" s="13">
        <f>BD33*VLOOKUP('Données projet'!$B$11,Paramètres!$A$1:$I$89,3,0)*VLOOKUP('Données projet'!$B$11,Paramètres!$A$1:$I$89,5,0)</f>
        <v>139.15199999999996</v>
      </c>
      <c r="BF33" s="13">
        <f t="shared" si="37"/>
        <v>36.102671964783006</v>
      </c>
      <c r="BG33" s="20">
        <f t="shared" si="7"/>
        <v>305.23522033866368</v>
      </c>
      <c r="BH33" s="59">
        <f t="shared" si="8"/>
        <v>598.56855367199705</v>
      </c>
      <c r="BI33" s="59">
        <f ca="1">AVERAGE(OFFSET($BH$3,0,0,'Données projet'!$E$11+1,1))-AVERAGE(OFFSET($H$3,0,0,'Données projet'!$E$11+1,1))</f>
        <v>162.87524915738271</v>
      </c>
      <c r="BJ33" s="59">
        <f t="shared" si="38"/>
        <v>249.37880137966658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0.18</v>
      </c>
      <c r="BN33" s="16">
        <f>IF(ISNA(VLOOKUP(A33,'Données projet'!$A$87:$I$107,6,0)),0%,VLOOKUP(A33,'Données projet'!$A$87:$I$107,6,0)*VLOOKUP('Données projet'!$B$11,Paramètres!$A$1:$I$89,7,0))</f>
        <v>0.36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7.8969851406533635</v>
      </c>
      <c r="BQ33" s="21">
        <f>EXP(-LN(2)/25)*BQ32+(1-EXP(-LN(2)/25))/(LN(2)/25)*Calculateur!BL33*Calculateur!BN33*VLOOKUP('Données projet'!$B$11,Paramètres!$A$1:$I$89,3,0)*0.475*44/12</f>
        <v>36.721850147072615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44.618835287725979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151</v>
      </c>
      <c r="BW33" s="12">
        <f>VLOOKUP(A33,'Données projet'!$A$113:$I$133,9,0)</f>
        <v>9.8000000000000007</v>
      </c>
      <c r="BX33" s="12">
        <f t="array" ref="BX33">INDEX(BW:BW,MIN(IF(ISNUMBER(BW33:BW229),ROW(BW33:BW229),"")))</f>
        <v>9.8000000000000007</v>
      </c>
      <c r="BY33" s="12">
        <f>IF('Données projet'!$A$114&gt;35,BY32+BX33-CG32,IF(A33&lt;'Données projet'!$A$114,$BV$205^A33,IF(A33='Données projet'!$A$114,'Données projet'!$B$114,BY32+BX33-CG32)))</f>
        <v>151</v>
      </c>
      <c r="BZ33" s="13">
        <f>BY33*VLOOKUP('Données projet'!$B$12,Paramètres!$A$1:$I$89,3,0)*VLOOKUP('Données projet'!$B$12,Paramètres!$A$1:$I$89,5,0)</f>
        <v>98.935199999999995</v>
      </c>
      <c r="CA33" s="13">
        <f t="shared" si="39"/>
        <v>26.708165799953093</v>
      </c>
      <c r="CB33" s="20">
        <f t="shared" si="10"/>
        <v>218.82886210158495</v>
      </c>
      <c r="CC33" s="59">
        <f t="shared" si="11"/>
        <v>512.1621954349182</v>
      </c>
      <c r="CD33" s="59">
        <f ca="1">AVERAGE(OFFSET($CC$3,0,0,'Données projet'!$E$12+1,1))-AVERAGE(OFFSET($H$3,0,0,'Données projet'!$E$12+1,1))</f>
        <v>119.88584888779422</v>
      </c>
      <c r="CE33" s="59">
        <f t="shared" si="40"/>
        <v>162.97244314258774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28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0.129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2.6058858198678703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2.6058858198678703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119</v>
      </c>
      <c r="CR33" s="12">
        <f>VLOOKUP(A33,'Données projet'!$A$139:$I$159,9,0)</f>
        <v>5</v>
      </c>
      <c r="CS33" s="12">
        <f t="array" ref="CS33">INDEX(CR:CR,MIN(IF(ISNUMBER(CR33:CR229),ROW(CR33:CR229),"")))</f>
        <v>5</v>
      </c>
      <c r="CT33" s="12">
        <f>IF('Données projet'!$A$140&gt;35,CT32+CS33-DB32,IF(A33&lt;'Données projet'!$A$140,$CQ$205^A33,IF(A33='Données projet'!$A$140,'Données projet'!$B$140,CT32+CS33-DB32)))</f>
        <v>119</v>
      </c>
      <c r="CU33" s="17">
        <f>CT33*VLOOKUP('Données projet'!$B$13,Paramètres!$A$1:$I$89,3,0)*VLOOKUP('Données projet'!$B$13,Paramètres!$A$1:$I$89,5,0)</f>
        <v>120.66600000000001</v>
      </c>
      <c r="CV33" s="13">
        <f t="shared" si="41"/>
        <v>31.830282786190971</v>
      </c>
      <c r="CW33" s="20">
        <f t="shared" si="13"/>
        <v>265.59769251928259</v>
      </c>
      <c r="CX33" s="59">
        <f t="shared" si="14"/>
        <v>558.9310258526159</v>
      </c>
      <c r="CY33" s="59">
        <f ca="1">AVERAGE(OFFSET($CX$3,0,0,'Données projet'!$E$13+1,1))-AVERAGE(OFFSET($H$3,0,0,'Données projet'!$E$13+1,1))</f>
        <v>261.75887764015459</v>
      </c>
      <c r="CZ33" s="59">
        <f t="shared" si="42"/>
        <v>209.74127356028544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151</v>
      </c>
      <c r="DM33" s="12">
        <f>VLOOKUP(A33,'Données projet'!$A$165:$I$185,9,0)</f>
        <v>9.8000000000000007</v>
      </c>
      <c r="DN33" s="12">
        <f t="array" ref="DN33">INDEX(DM:DM,MIN(IF(ISNUMBER(DM33:DM229),ROW(DM33:DM229),"")))</f>
        <v>9.8000000000000007</v>
      </c>
      <c r="DO33" s="12">
        <f>IF('Données projet'!$A$166&gt;35,DO32+DN33-DW32,IF(A33&lt;'Données projet'!$A$166,$DL$205^A33,IF(A33='Données projet'!$A$166,'Données projet'!$B$166,DO32+DN33-DW32)))</f>
        <v>151</v>
      </c>
      <c r="DP33" s="17">
        <f>DO33*VLOOKUP('Données projet'!$B$14,Paramètres!$A$1:$I$89,3,0)*VLOOKUP('Données projet'!$B$14,Paramètres!$A$1:$I$89,5,0)</f>
        <v>120.13560000000001</v>
      </c>
      <c r="DQ33" s="13">
        <f t="shared" si="43"/>
        <v>31.706623688245738</v>
      </c>
      <c r="DR33" s="20">
        <f t="shared" si="16"/>
        <v>264.45853959036134</v>
      </c>
      <c r="DS33" s="59">
        <f t="shared" si="17"/>
        <v>557.79187292369465</v>
      </c>
      <c r="DT33" s="59">
        <f ca="1">AVERAGE(OFFSET($DS$3,0,0,'Données projet'!$E$14+1,1))-AVERAGE(OFFSET($H$3,0,0,'Données projet'!$E$14+1,1))</f>
        <v>215.37468832969444</v>
      </c>
      <c r="DU33" s="59">
        <f t="shared" si="44"/>
        <v>208.60212063136419</v>
      </c>
      <c r="DV33" s="15">
        <f>IF(ISNA(VLOOKUP(A33,'Données projet'!$A$165:$I$185,3,0)),0,VLOOKUP(A33,'Données projet'!$A$165:$I$185,3,0))</f>
        <v>3</v>
      </c>
      <c r="DW33" s="15">
        <f>IF(ISNA(VLOOKUP(A33,'Données projet'!$A$165:$I$185,4,0)),0,VLOOKUP(A33,'Données projet'!$A$165:$I$185,4,0))</f>
        <v>28</v>
      </c>
      <c r="DX33" s="16">
        <f>IF(ISNA(VLOOKUP(A33,'Données projet'!$A$165:$I$185,5,0)),0%,VLOOKUP(A33,'Données projet'!$A$165:$I$185,5,0)*VLOOKUP('Données projet'!$B$14,Paramètres!$A$1:$I$89,7,0))</f>
        <v>0.13250000000000001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3.2629903879783004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3.2629903879783004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151</v>
      </c>
      <c r="EH33" s="12">
        <f>VLOOKUP(A33,'Données projet'!$A$191:$I$211,9,0)</f>
        <v>9.8000000000000007</v>
      </c>
      <c r="EI33" s="12">
        <f t="array" ref="EI33">INDEX(EH:EH,MIN(IF(ISNUMBER(EH33:EH229),ROW(EH33:EH229),"")))</f>
        <v>9.8000000000000007</v>
      </c>
      <c r="EJ33" s="12">
        <f>IF('Données projet'!$A$192&gt;35,EJ32+EI33-ER32,IF(A33&lt;'Données projet'!$A$192,$EG$205^A33,IF(A33='Données projet'!$A$192,'Données projet'!$B$192,EJ32+EI33-ER32)))</f>
        <v>151</v>
      </c>
      <c r="EK33" s="17">
        <f>EJ33*VLOOKUP('Données projet'!$B$15,Paramètres!$A$1:$I$89,3,0)*VLOOKUP('Données projet'!$B$15,Paramètres!$A$1:$I$89,5,0)</f>
        <v>120.13560000000001</v>
      </c>
      <c r="EL33" s="13">
        <f t="shared" si="45"/>
        <v>31.706623688245738</v>
      </c>
      <c r="EM33" s="20">
        <f t="shared" si="19"/>
        <v>264.45853959036134</v>
      </c>
      <c r="EN33" s="59">
        <f t="shared" si="20"/>
        <v>557.79187292369465</v>
      </c>
      <c r="EO33" s="59">
        <f ca="1">AVERAGE(OFFSET($EN$3,0,0,'Données projet'!$E$15+1,1))-AVERAGE(OFFSET($H$3,0,0,'Données projet'!$E$15+1,1))</f>
        <v>215.37468832969444</v>
      </c>
      <c r="EP33" s="59">
        <f t="shared" si="46"/>
        <v>208.60212063136419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0.13250000000000001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3.2629903879783004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3.2629903879783004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151</v>
      </c>
      <c r="FC33" s="12">
        <f>VLOOKUP(A33,'Données projet'!$A$217:$I$237,9,0)</f>
        <v>9.8000000000000007</v>
      </c>
      <c r="FD33" s="12">
        <f t="array" ref="FD33">INDEX(FC:FC,MIN(IF(ISNUMBER(FC33:FC229),ROW(FC33:FC229),"")))</f>
        <v>9.8000000000000007</v>
      </c>
      <c r="FE33" s="12">
        <f>IF('Données projet'!$A$218&gt;35,FE32+FD33-FM32,IF(A33&lt;'Données projet'!$A$218,$FB$205^A33,IF(A33='Données projet'!$A$218,'Données projet'!$B$218,FE32+FD33-FM32)))</f>
        <v>151</v>
      </c>
      <c r="FF33" s="17">
        <f>FE33*VLOOKUP('Données projet'!$B$16,Paramètres!$A$1:$I$89,3,0)*VLOOKUP('Données projet'!$B$16,Paramètres!$A$1:$I$89,5,0)</f>
        <v>122.49119999999999</v>
      </c>
      <c r="FG33" s="13">
        <f t="shared" si="47"/>
        <v>32.255334127777445</v>
      </c>
      <c r="FH33" s="20">
        <f t="shared" si="22"/>
        <v>269.51688027254573</v>
      </c>
      <c r="FI33" s="59">
        <f t="shared" si="23"/>
        <v>562.85021360587905</v>
      </c>
      <c r="FJ33" s="59">
        <f ca="1">AVERAGE(OFFSET($FI$3,0,0,'Données projet'!$E$16+1,1))-AVERAGE(OFFSET($H$3,0,0,'Données projet'!$E$16+1,1))</f>
        <v>220.90439367987847</v>
      </c>
      <c r="FK33" s="59">
        <f t="shared" si="48"/>
        <v>213.66046131354858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0.13250000000000001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3.3269705916641494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3.3269705916641494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1">
        <f t="shared" si="32"/>
        <v>7.96204645339769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67">
        <f t="shared" si="1"/>
        <v>350.9986042396676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99.000000000000014</v>
      </c>
      <c r="O34" s="13">
        <f>N34*VLOOKUP('Données projet'!$B$9,Paramètres!$A$1:$I$89,3,0)*VLOOKUP('Données projet'!$B$9,Paramètres!$A$1:$I$89,5,0)</f>
        <v>46.332000000000001</v>
      </c>
      <c r="P34" s="13">
        <f t="shared" si="33"/>
        <v>13.662323315513062</v>
      </c>
      <c r="Q34" s="20">
        <f t="shared" si="2"/>
        <v>104.49011310785191</v>
      </c>
      <c r="R34" s="59">
        <f t="shared" si="0"/>
        <v>397.82344644118524</v>
      </c>
      <c r="S34" s="59">
        <f ca="1">AVERAGE(OFFSET($R$3,0,0,'Données projet'!$E$9+1,1))-AVERAGE(OFFSET($H$3,0,0,'Données projet'!$E$9+1,1))</f>
        <v>196.72624686715807</v>
      </c>
      <c r="T34" s="59">
        <f t="shared" si="34"/>
        <v>37.315661698104691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24.6</v>
      </c>
      <c r="AI34" s="13">
        <f>IF('Données projet'!$A$62&gt;35,AI33+AH34-AQ33,IF(A34&lt;'Données projet'!$A$62,$AF$205^A34,IF(A34='Données projet'!$A$62,'Données projet'!$B$62,AI33+AH34-AQ33)))</f>
        <v>336.60000000000008</v>
      </c>
      <c r="AJ34" s="13">
        <f>AI34*VLOOKUP('Données projet'!$B$10,Paramètres!$A$1:$I$89,3,0)*VLOOKUP('Données projet'!$B$10,Paramètres!$A$1:$I$89,5,0)</f>
        <v>188.15940000000003</v>
      </c>
      <c r="AK34" s="13">
        <f t="shared" si="35"/>
        <v>47.132792063702887</v>
      </c>
      <c r="AL34" s="20">
        <f t="shared" si="4"/>
        <v>409.80056784428257</v>
      </c>
      <c r="AM34" s="59">
        <f t="shared" si="5"/>
        <v>703.13390117761583</v>
      </c>
      <c r="AN34" s="59">
        <f ca="1">AVERAGE(OFFSET($AM$3,0,0,'Données projet'!$E$10+1,1))-AVERAGE(OFFSET($H$3,0,0,'Données projet'!$E$10+1,1))</f>
        <v>325.42940802362739</v>
      </c>
      <c r="AO34" s="59">
        <f t="shared" si="36"/>
        <v>388.87198417542277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18.618677829377518</v>
      </c>
      <c r="AV34" s="21">
        <f>EXP(-LN(2)/25)*AV33+(1-EXP(-LN(2)/25))/(LN(2)/25)*Calculateur!AQ34*Calculateur!AS34*VLOOKUP('Données projet'!$B$10,Paramètres!$A$1:$I$89,3,0)*0.475*44/12</f>
        <v>13.831351972112952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32.450029801490473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182.83333333333329</v>
      </c>
      <c r="BE34" s="13">
        <f>BD34*VLOOKUP('Données projet'!$B$11,Paramètres!$A$1:$I$89,3,0)*VLOOKUP('Données projet'!$B$11,Paramètres!$A$1:$I$89,5,0)</f>
        <v>114.08799999999998</v>
      </c>
      <c r="BF34" s="13">
        <f t="shared" si="37"/>
        <v>30.292094263407737</v>
      </c>
      <c r="BG34" s="20">
        <f t="shared" si="7"/>
        <v>251.46199750876846</v>
      </c>
      <c r="BH34" s="59">
        <f t="shared" si="8"/>
        <v>544.79533084210175</v>
      </c>
      <c r="BI34" s="59">
        <f ca="1">AVERAGE(OFFSET($BH$3,0,0,'Données projet'!$E$11+1,1))-AVERAGE(OFFSET($H$3,0,0,'Données projet'!$E$11+1,1))</f>
        <v>162.87524915738271</v>
      </c>
      <c r="BJ34" s="59">
        <f t="shared" si="38"/>
        <v>249.37880137966658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7.7421300787304785</v>
      </c>
      <c r="BQ34" s="21">
        <f>EXP(-LN(2)/25)*BQ33+(1-EXP(-LN(2)/25))/(LN(2)/25)*Calculateur!BL34*Calculateur!BN34*VLOOKUP('Données projet'!$B$11,Paramètres!$A$1:$I$89,3,0)*0.475*44/12</f>
        <v>35.717689223682747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43.459819302413223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135.80000000000001</v>
      </c>
      <c r="BZ34" s="13">
        <f>BY34*VLOOKUP('Données projet'!$B$12,Paramètres!$A$1:$I$89,3,0)*VLOOKUP('Données projet'!$B$12,Paramètres!$A$1:$I$89,5,0)</f>
        <v>88.976160000000007</v>
      </c>
      <c r="CA34" s="13">
        <f t="shared" si="39"/>
        <v>24.318135258370951</v>
      </c>
      <c r="CB34" s="20">
        <f t="shared" si="10"/>
        <v>197.32089757499611</v>
      </c>
      <c r="CC34" s="59">
        <f t="shared" si="11"/>
        <v>490.6542309083294</v>
      </c>
      <c r="CD34" s="59">
        <f ca="1">AVERAGE(OFFSET($CC$3,0,0,'Données projet'!$E$12+1,1))-AVERAGE(OFFSET($H$3,0,0,'Données projet'!$E$12+1,1))</f>
        <v>119.88584888779422</v>
      </c>
      <c r="CE34" s="59">
        <f t="shared" si="40"/>
        <v>162.97244314258774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2.534627735086004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2.534627735086004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6</v>
      </c>
      <c r="CT34" s="12">
        <f>IF('Données projet'!$A$140&gt;35,CT33+CS34-DB33,IF(A34&lt;'Données projet'!$A$140,$CQ$205^A34,IF(A34='Données projet'!$A$140,'Données projet'!$B$140,CT33+CS34-DB33)))</f>
        <v>125</v>
      </c>
      <c r="CU34" s="17">
        <f>CT34*VLOOKUP('Données projet'!$B$13,Paramètres!$A$1:$I$89,3,0)*VLOOKUP('Données projet'!$B$13,Paramètres!$A$1:$I$89,5,0)</f>
        <v>126.75</v>
      </c>
      <c r="CV34" s="13">
        <f t="shared" si="41"/>
        <v>33.244276777293983</v>
      </c>
      <c r="CW34" s="20">
        <f t="shared" si="13"/>
        <v>278.65669872045368</v>
      </c>
      <c r="CX34" s="59">
        <f t="shared" si="14"/>
        <v>571.99003205378699</v>
      </c>
      <c r="CY34" s="59">
        <f ca="1">AVERAGE(OFFSET($CX$3,0,0,'Données projet'!$E$13+1,1))-AVERAGE(OFFSET($H$3,0,0,'Données projet'!$E$13+1,1))</f>
        <v>261.75887764015459</v>
      </c>
      <c r="CZ34" s="59">
        <f t="shared" si="42"/>
        <v>209.74127356028544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12.8</v>
      </c>
      <c r="DO34" s="12">
        <f>IF('Données projet'!$A$166&gt;35,DO33+DN34-DW33,IF(A34&lt;'Données projet'!$A$166,$DL$205^A34,IF(A34='Données projet'!$A$166,'Données projet'!$B$166,DO33+DN34-DW33)))</f>
        <v>135.80000000000001</v>
      </c>
      <c r="DP34" s="17">
        <f>DO34*VLOOKUP('Données projet'!$B$14,Paramètres!$A$1:$I$89,3,0)*VLOOKUP('Données projet'!$B$14,Paramètres!$A$1:$I$89,5,0)</f>
        <v>108.04248000000001</v>
      </c>
      <c r="DQ34" s="13">
        <f t="shared" si="43"/>
        <v>28.869296724164489</v>
      </c>
      <c r="DR34" s="20">
        <f t="shared" si="16"/>
        <v>238.45467779458647</v>
      </c>
      <c r="DS34" s="59">
        <f t="shared" si="17"/>
        <v>531.78801112791984</v>
      </c>
      <c r="DT34" s="59">
        <f ca="1">AVERAGE(OFFSET($DS$3,0,0,'Données projet'!$E$14+1,1))-AVERAGE(OFFSET($H$3,0,0,'Données projet'!$E$14+1,1))</f>
        <v>215.37468832969444</v>
      </c>
      <c r="DU34" s="59">
        <f t="shared" si="44"/>
        <v>208.60212063136419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3.199005136697664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3.199005136697664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12.8</v>
      </c>
      <c r="EJ34" s="12">
        <f>IF('Données projet'!$A$192&gt;35,EJ33+EI34-ER33,IF(A34&lt;'Données projet'!$A$192,$EG$205^A34,IF(A34='Données projet'!$A$192,'Données projet'!$B$192,EJ33+EI34-ER33)))</f>
        <v>135.80000000000001</v>
      </c>
      <c r="EK34" s="17">
        <f>EJ34*VLOOKUP('Données projet'!$B$15,Paramètres!$A$1:$I$89,3,0)*VLOOKUP('Données projet'!$B$15,Paramètres!$A$1:$I$89,5,0)</f>
        <v>108.04248000000001</v>
      </c>
      <c r="EL34" s="13">
        <f t="shared" si="45"/>
        <v>28.869296724164489</v>
      </c>
      <c r="EM34" s="20">
        <f t="shared" si="19"/>
        <v>238.45467779458647</v>
      </c>
      <c r="EN34" s="59">
        <f t="shared" si="20"/>
        <v>531.78801112791984</v>
      </c>
      <c r="EO34" s="59">
        <f ca="1">AVERAGE(OFFSET($EN$3,0,0,'Données projet'!$E$15+1,1))-AVERAGE(OFFSET($H$3,0,0,'Données projet'!$E$15+1,1))</f>
        <v>215.37468832969444</v>
      </c>
      <c r="EP34" s="59">
        <f t="shared" si="46"/>
        <v>208.60212063136419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3.199005136697664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3.199005136697664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12.8</v>
      </c>
      <c r="FE34" s="12">
        <f>IF('Données projet'!$A$218&gt;35,FE33+FD34-FM33,IF(A34&lt;'Données projet'!$A$218,$FB$205^A34,IF(A34='Données projet'!$A$218,'Données projet'!$B$218,FE33+FD34-FM33)))</f>
        <v>135.80000000000001</v>
      </c>
      <c r="FF34" s="17">
        <f>FE34*VLOOKUP('Données projet'!$B$16,Paramètres!$A$1:$I$89,3,0)*VLOOKUP('Données projet'!$B$16,Paramètres!$A$1:$I$89,5,0)</f>
        <v>110.16096000000003</v>
      </c>
      <c r="FG34" s="13">
        <f t="shared" si="47"/>
        <v>29.368904776104785</v>
      </c>
      <c r="FH34" s="20">
        <f t="shared" si="22"/>
        <v>243.0145144850492</v>
      </c>
      <c r="FI34" s="59">
        <f t="shared" si="23"/>
        <v>536.34784781838255</v>
      </c>
      <c r="FJ34" s="59">
        <f ca="1">AVERAGE(OFFSET($FI$3,0,0,'Données projet'!$E$16+1,1))-AVERAGE(OFFSET($H$3,0,0,'Données projet'!$E$16+1,1))</f>
        <v>220.90439367987847</v>
      </c>
      <c r="FK34" s="59">
        <f t="shared" si="48"/>
        <v>213.66046131354858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3.2617307276133043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3.2617307276133043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1">
        <f t="shared" si="32"/>
        <v>8.1885694213502767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67">
        <f t="shared" si="1"/>
        <v>352.80597174218502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110.00000000000001</v>
      </c>
      <c r="O35" s="13">
        <f>N35*VLOOKUP('Données projet'!$B$9,Paramètres!$A$1:$I$89,3,0)*VLOOKUP('Données projet'!$B$9,Paramètres!$A$1:$I$89,5,0)</f>
        <v>51.480000000000004</v>
      </c>
      <c r="P35" s="13">
        <f t="shared" si="33"/>
        <v>14.995324806875232</v>
      </c>
      <c r="Q35" s="20">
        <f t="shared" ref="Q35:Q66" si="53">(O35+P35)*0.475*44/12</f>
        <v>115.77785737197435</v>
      </c>
      <c r="R35" s="59">
        <f t="shared" si="0"/>
        <v>409.11119070530765</v>
      </c>
      <c r="S35" s="59">
        <f ca="1">AVERAGE(OFFSET($R$3,0,0,'Données projet'!$E$9+1,1))-AVERAGE(OFFSET($H$3,0,0,'Données projet'!$E$9+1,1))</f>
        <v>196.72624686715807</v>
      </c>
      <c r="T35" s="59">
        <f t="shared" si="34"/>
        <v>37.315661698104691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24.6</v>
      </c>
      <c r="AI35" s="13">
        <f>IF('Données projet'!$A$62&gt;35,AI34+AH35-AQ34,IF(A35&lt;'Données projet'!$A$62,$AF$205^A35,IF(A35='Données projet'!$A$62,'Données projet'!$B$62,AI34+AH35-AQ34)))</f>
        <v>361.2000000000001</v>
      </c>
      <c r="AJ35" s="13">
        <f>AI35*VLOOKUP('Données projet'!$B$10,Paramètres!$A$1:$I$89,3,0)*VLOOKUP('Données projet'!$B$10,Paramètres!$A$1:$I$89,5,0)</f>
        <v>201.91080000000005</v>
      </c>
      <c r="AK35" s="13">
        <f t="shared" si="35"/>
        <v>50.163871054841337</v>
      </c>
      <c r="AL35" s="20">
        <f t="shared" si="4"/>
        <v>439.03005208718201</v>
      </c>
      <c r="AM35" s="59">
        <f t="shared" si="5"/>
        <v>732.36338542051533</v>
      </c>
      <c r="AN35" s="59">
        <f ca="1">AVERAGE(OFFSET($AM$3,0,0,'Données projet'!$E$10+1,1))-AVERAGE(OFFSET($H$3,0,0,'Données projet'!$E$10+1,1))</f>
        <v>325.42940802362739</v>
      </c>
      <c r="AO35" s="59">
        <f t="shared" si="36"/>
        <v>388.87198417542277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18.253576913415561</v>
      </c>
      <c r="AV35" s="21">
        <f>EXP(-LN(2)/25)*AV34+(1-EXP(-LN(2)/25))/(LN(2)/25)*Calculateur!AQ35*Calculateur!AS35*VLOOKUP('Données projet'!$B$10,Paramètres!$A$1:$I$89,3,0)*0.475*44/12</f>
        <v>13.453132925076336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31.706709838491896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195.66666666666663</v>
      </c>
      <c r="BE35" s="13">
        <f>BD35*VLOOKUP('Données projet'!$B$11,Paramètres!$A$1:$I$89,3,0)*VLOOKUP('Données projet'!$B$11,Paramètres!$A$1:$I$89,5,0)</f>
        <v>122.09599999999998</v>
      </c>
      <c r="BF35" s="13">
        <f t="shared" si="37"/>
        <v>32.163363121463028</v>
      </c>
      <c r="BG35" s="20">
        <f t="shared" si="7"/>
        <v>268.6683907698814</v>
      </c>
      <c r="BH35" s="59">
        <f t="shared" si="8"/>
        <v>562.00172410321466</v>
      </c>
      <c r="BI35" s="59">
        <f ca="1">AVERAGE(OFFSET($BH$3,0,0,'Données projet'!$E$11+1,1))-AVERAGE(OFFSET($H$3,0,0,'Données projet'!$E$11+1,1))</f>
        <v>162.87524915738271</v>
      </c>
      <c r="BJ35" s="59">
        <f t="shared" si="38"/>
        <v>249.37880137966658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7.5903116301196398</v>
      </c>
      <c r="BQ35" s="21">
        <f>EXP(-LN(2)/25)*BQ34+(1-EXP(-LN(2)/25))/(LN(2)/25)*Calculateur!BL35*Calculateur!BN35*VLOOKUP('Données projet'!$B$11,Paramètres!$A$1:$I$89,3,0)*0.475*44/12</f>
        <v>34.740987133549503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42.331298763669139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148.60000000000002</v>
      </c>
      <c r="BZ35" s="13">
        <f>BY35*VLOOKUP('Données projet'!$B$12,Paramètres!$A$1:$I$89,3,0)*VLOOKUP('Données projet'!$B$12,Paramètres!$A$1:$I$89,5,0)</f>
        <v>97.36272000000001</v>
      </c>
      <c r="CA35" s="13">
        <f t="shared" si="39"/>
        <v>26.332727987771989</v>
      </c>
      <c r="CB35" s="20">
        <f t="shared" si="10"/>
        <v>215.43623857870287</v>
      </c>
      <c r="CC35" s="59">
        <f t="shared" si="11"/>
        <v>508.76957191203621</v>
      </c>
      <c r="CD35" s="59">
        <f ca="1">AVERAGE(OFFSET($CC$3,0,0,'Données projet'!$E$12+1,1))-AVERAGE(OFFSET($H$3,0,0,'Données projet'!$E$12+1,1))</f>
        <v>119.88584888779422</v>
      </c>
      <c r="CE35" s="59">
        <f t="shared" si="40"/>
        <v>162.97244314258774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2.4653182063797976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2.4653182063797976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6</v>
      </c>
      <c r="CT35" s="12">
        <f>IF('Données projet'!$A$140&gt;35,CT34+CS35-DB34,IF(A35&lt;'Données projet'!$A$140,$CQ$205^A35,IF(A35='Données projet'!$A$140,'Données projet'!$B$140,CT34+CS35-DB34)))</f>
        <v>131</v>
      </c>
      <c r="CU35" s="17">
        <f>CT35*VLOOKUP('Données projet'!$B$13,Paramètres!$A$1:$I$89,3,0)*VLOOKUP('Données projet'!$B$13,Paramètres!$A$1:$I$89,5,0)</f>
        <v>132.834</v>
      </c>
      <c r="CV35" s="13">
        <f t="shared" si="41"/>
        <v>34.65038933485225</v>
      </c>
      <c r="CW35" s="20">
        <f t="shared" si="13"/>
        <v>291.70197809153433</v>
      </c>
      <c r="CX35" s="59">
        <f t="shared" si="14"/>
        <v>585.03531142486759</v>
      </c>
      <c r="CY35" s="59">
        <f ca="1">AVERAGE(OFFSET($CX$3,0,0,'Données projet'!$E$13+1,1))-AVERAGE(OFFSET($H$3,0,0,'Données projet'!$E$13+1,1))</f>
        <v>261.75887764015459</v>
      </c>
      <c r="CZ35" s="59">
        <f t="shared" si="42"/>
        <v>209.74127356028544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12.8</v>
      </c>
      <c r="DO35" s="12">
        <f>IF('Données projet'!$A$166&gt;35,DO34+DN35-DW34,IF(A35&lt;'Données projet'!$A$166,$DL$205^A35,IF(A35='Données projet'!$A$166,'Données projet'!$B$166,DO34+DN35-DW34)))</f>
        <v>148.60000000000002</v>
      </c>
      <c r="DP35" s="17">
        <f>DO35*VLOOKUP('Données projet'!$B$14,Paramètres!$A$1:$I$89,3,0)*VLOOKUP('Données projet'!$B$14,Paramètres!$A$1:$I$89,5,0)</f>
        <v>118.22616000000002</v>
      </c>
      <c r="DQ35" s="13">
        <f t="shared" si="43"/>
        <v>31.260922342884705</v>
      </c>
      <c r="DR35" s="20">
        <f t="shared" si="16"/>
        <v>260.35666841385756</v>
      </c>
      <c r="DS35" s="59">
        <f t="shared" si="17"/>
        <v>553.69000174719088</v>
      </c>
      <c r="DT35" s="59">
        <f ca="1">AVERAGE(OFFSET($DS$3,0,0,'Données projet'!$E$14+1,1))-AVERAGE(OFFSET($H$3,0,0,'Données projet'!$E$14+1,1))</f>
        <v>215.37468832969444</v>
      </c>
      <c r="DU35" s="59">
        <f t="shared" si="44"/>
        <v>208.60212063136419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3.1362745971674912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3.1362745971674912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12.8</v>
      </c>
      <c r="EJ35" s="12">
        <f>IF('Données projet'!$A$192&gt;35,EJ34+EI35-ER34,IF(A35&lt;'Données projet'!$A$192,$EG$205^A35,IF(A35='Données projet'!$A$192,'Données projet'!$B$192,EJ34+EI35-ER34)))</f>
        <v>148.60000000000002</v>
      </c>
      <c r="EK35" s="17">
        <f>EJ35*VLOOKUP('Données projet'!$B$15,Paramètres!$A$1:$I$89,3,0)*VLOOKUP('Données projet'!$B$15,Paramètres!$A$1:$I$89,5,0)</f>
        <v>118.22616000000002</v>
      </c>
      <c r="EL35" s="13">
        <f t="shared" si="45"/>
        <v>31.260922342884705</v>
      </c>
      <c r="EM35" s="20">
        <f t="shared" si="19"/>
        <v>260.35666841385756</v>
      </c>
      <c r="EN35" s="59">
        <f t="shared" si="20"/>
        <v>553.69000174719088</v>
      </c>
      <c r="EO35" s="59">
        <f ca="1">AVERAGE(OFFSET($EN$3,0,0,'Données projet'!$E$15+1,1))-AVERAGE(OFFSET($H$3,0,0,'Données projet'!$E$15+1,1))</f>
        <v>215.37468832969444</v>
      </c>
      <c r="EP35" s="59">
        <f t="shared" si="46"/>
        <v>208.60212063136419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3.1362745971674912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3.1362745971674912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12.8</v>
      </c>
      <c r="FE35" s="12">
        <f>IF('Données projet'!$A$218&gt;35,FE34+FD35-FM34,IF(A35&lt;'Données projet'!$A$218,$FB$205^A35,IF(A35='Données projet'!$A$218,'Données projet'!$B$218,FE34+FD35-FM34)))</f>
        <v>148.60000000000002</v>
      </c>
      <c r="FF35" s="17">
        <f>FE35*VLOOKUP('Données projet'!$B$16,Paramètres!$A$1:$I$89,3,0)*VLOOKUP('Données projet'!$B$16,Paramètres!$A$1:$I$89,5,0)</f>
        <v>120.54432000000004</v>
      </c>
      <c r="FG35" s="13">
        <f t="shared" si="47"/>
        <v>31.801919536644249</v>
      </c>
      <c r="FH35" s="20">
        <f t="shared" si="22"/>
        <v>265.3363671929888</v>
      </c>
      <c r="FI35" s="59">
        <f t="shared" si="23"/>
        <v>558.66970052632212</v>
      </c>
      <c r="FJ35" s="59">
        <f ca="1">AVERAGE(OFFSET($FI$3,0,0,'Données projet'!$E$16+1,1))-AVERAGE(OFFSET($H$3,0,0,'Données projet'!$E$16+1,1))</f>
        <v>220.90439367987847</v>
      </c>
      <c r="FK35" s="59">
        <f t="shared" si="48"/>
        <v>213.66046131354858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3.1977701775041085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3.1977701775041085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1">
        <f t="shared" si="32"/>
        <v>8.4142697673415583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67">
        <f t="shared" si="1"/>
        <v>354.61190651145318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121.00000000000001</v>
      </c>
      <c r="O36" s="13">
        <f>N36*VLOOKUP('Données projet'!$B$9,Paramètres!$A$1:$I$89,3,0)*VLOOKUP('Données projet'!$B$9,Paramètres!$A$1:$I$89,5,0)</f>
        <v>56.628000000000007</v>
      </c>
      <c r="P36" s="13">
        <f t="shared" si="33"/>
        <v>16.312872953208519</v>
      </c>
      <c r="Q36" s="20">
        <f t="shared" si="53"/>
        <v>127.03868706017153</v>
      </c>
      <c r="R36" s="59">
        <f t="shared" si="0"/>
        <v>420.37202039350484</v>
      </c>
      <c r="S36" s="59">
        <f ca="1">AVERAGE(OFFSET($R$3,0,0,'Données projet'!$E$9+1,1))-AVERAGE(OFFSET($H$3,0,0,'Données projet'!$E$9+1,1))</f>
        <v>196.72624686715807</v>
      </c>
      <c r="T36" s="59">
        <f t="shared" si="34"/>
        <v>37.315661698104691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24.6</v>
      </c>
      <c r="AI36" s="13">
        <f>IF('Données projet'!$A$62&gt;35,AI35+AH36-AQ35,IF(A36&lt;'Données projet'!$A$62,$AF$205^A36,IF(A36='Données projet'!$A$62,'Données projet'!$B$62,AI35+AH36-AQ35)))</f>
        <v>385.80000000000013</v>
      </c>
      <c r="AJ36" s="13">
        <f>AI36*VLOOKUP('Données projet'!$B$10,Paramètres!$A$1:$I$89,3,0)*VLOOKUP('Données projet'!$B$10,Paramètres!$A$1:$I$89,5,0)</f>
        <v>215.6622000000001</v>
      </c>
      <c r="AK36" s="13">
        <f t="shared" si="35"/>
        <v>53.170996395554219</v>
      </c>
      <c r="AL36" s="20">
        <f t="shared" si="4"/>
        <v>468.21781705559039</v>
      </c>
      <c r="AM36" s="59">
        <f t="shared" si="5"/>
        <v>761.5511503889237</v>
      </c>
      <c r="AN36" s="59">
        <f ca="1">AVERAGE(OFFSET($AM$3,0,0,'Données projet'!$E$10+1,1))-AVERAGE(OFFSET($H$3,0,0,'Données projet'!$E$10+1,1))</f>
        <v>325.42940802362739</v>
      </c>
      <c r="AO36" s="59">
        <f t="shared" si="36"/>
        <v>388.87198417542277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17.89563540372605</v>
      </c>
      <c r="AV36" s="21">
        <f>EXP(-LN(2)/25)*AV35+(1-EXP(-LN(2)/25))/(LN(2)/25)*Calculateur!AQ36*Calculateur!AS36*VLOOKUP('Données projet'!$B$10,Paramètres!$A$1:$I$89,3,0)*0.475*44/12</f>
        <v>13.085256297770611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30.98089170149666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208.49999999999997</v>
      </c>
      <c r="BE36" s="13">
        <f>BD36*VLOOKUP('Données projet'!$B$11,Paramètres!$A$1:$I$89,3,0)*VLOOKUP('Données projet'!$B$11,Paramètres!$A$1:$I$89,5,0)</f>
        <v>130.10399999999998</v>
      </c>
      <c r="BF36" s="13">
        <f t="shared" si="37"/>
        <v>34.020389560268086</v>
      </c>
      <c r="BG36" s="20">
        <f t="shared" si="7"/>
        <v>285.84997848413349</v>
      </c>
      <c r="BH36" s="59">
        <f t="shared" si="8"/>
        <v>579.1833118174668</v>
      </c>
      <c r="BI36" s="59">
        <f ca="1">AVERAGE(OFFSET($BH$3,0,0,'Données projet'!$E$11+1,1))-AVERAGE(OFFSET($H$3,0,0,'Données projet'!$E$11+1,1))</f>
        <v>162.87524915738271</v>
      </c>
      <c r="BJ36" s="59">
        <f t="shared" si="38"/>
        <v>249.37880137966658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7.4414702486859499</v>
      </c>
      <c r="BQ36" s="21">
        <f>EXP(-LN(2)/25)*BQ35+(1-EXP(-LN(2)/25))/(LN(2)/25)*Calculateur!BL36*Calculateur!BN36*VLOOKUP('Données projet'!$B$11,Paramètres!$A$1:$I$89,3,0)*0.475*44/12</f>
        <v>33.790993013433479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41.232463262119431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161.40000000000003</v>
      </c>
      <c r="BZ36" s="13">
        <f>BY36*VLOOKUP('Données projet'!$B$12,Paramètres!$A$1:$I$89,3,0)*VLOOKUP('Données projet'!$B$12,Paramètres!$A$1:$I$89,5,0)</f>
        <v>105.74928000000003</v>
      </c>
      <c r="CA36" s="13">
        <f t="shared" si="39"/>
        <v>28.327196320252874</v>
      </c>
      <c r="CB36" s="20">
        <f t="shared" si="10"/>
        <v>233.51652959110712</v>
      </c>
      <c r="CC36" s="59">
        <f t="shared" si="11"/>
        <v>526.84986292444046</v>
      </c>
      <c r="CD36" s="59">
        <f ca="1">AVERAGE(OFFSET($CC$3,0,0,'Données projet'!$E$12+1,1))-AVERAGE(OFFSET($H$3,0,0,'Données projet'!$E$12+1,1))</f>
        <v>119.88584888779422</v>
      </c>
      <c r="CE36" s="59">
        <f t="shared" si="40"/>
        <v>162.97244314258774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2.3979039503808921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2.3979039503808921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6</v>
      </c>
      <c r="CT36" s="12">
        <f>IF('Données projet'!$A$140&gt;35,CT35+CS36-DB35,IF(A36&lt;'Données projet'!$A$140,$CQ$205^A36,IF(A36='Données projet'!$A$140,'Données projet'!$B$140,CT35+CS36-DB35)))</f>
        <v>137</v>
      </c>
      <c r="CU36" s="17">
        <f>CT36*VLOOKUP('Données projet'!$B$13,Paramètres!$A$1:$I$89,3,0)*VLOOKUP('Données projet'!$B$13,Paramètres!$A$1:$I$89,5,0)</f>
        <v>138.91800000000001</v>
      </c>
      <c r="CV36" s="13">
        <f t="shared" si="41"/>
        <v>36.049022673886341</v>
      </c>
      <c r="CW36" s="20">
        <f t="shared" si="13"/>
        <v>304.73423115701871</v>
      </c>
      <c r="CX36" s="59">
        <f t="shared" si="14"/>
        <v>598.06756449035197</v>
      </c>
      <c r="CY36" s="59">
        <f ca="1">AVERAGE(OFFSET($CX$3,0,0,'Données projet'!$E$13+1,1))-AVERAGE(OFFSET($H$3,0,0,'Données projet'!$E$13+1,1))</f>
        <v>261.75887764015459</v>
      </c>
      <c r="CZ36" s="59">
        <f t="shared" si="42"/>
        <v>209.74127356028544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12.8</v>
      </c>
      <c r="DO36" s="12">
        <f>IF('Données projet'!$A$166&gt;35,DO35+DN36-DW35,IF(A36&lt;'Données projet'!$A$166,$DL$205^A36,IF(A36='Données projet'!$A$166,'Données projet'!$B$166,DO35+DN36-DW35)))</f>
        <v>161.40000000000003</v>
      </c>
      <c r="DP36" s="17">
        <f>DO36*VLOOKUP('Données projet'!$B$14,Paramètres!$A$1:$I$89,3,0)*VLOOKUP('Données projet'!$B$14,Paramètres!$A$1:$I$89,5,0)</f>
        <v>128.40984000000003</v>
      </c>
      <c r="DQ36" s="13">
        <f t="shared" si="43"/>
        <v>33.628657265220909</v>
      </c>
      <c r="DR36" s="20">
        <f t="shared" si="16"/>
        <v>282.21704940359314</v>
      </c>
      <c r="DS36" s="59">
        <f t="shared" si="17"/>
        <v>575.55038273692639</v>
      </c>
      <c r="DT36" s="59">
        <f ca="1">AVERAGE(OFFSET($DS$3,0,0,'Données projet'!$E$14+1,1))-AVERAGE(OFFSET($H$3,0,0,'Données projet'!$E$14+1,1))</f>
        <v>215.37468832969444</v>
      </c>
      <c r="DU36" s="59">
        <f t="shared" si="44"/>
        <v>208.60212063136419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3.0747741652556542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3.0747741652556542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12.8</v>
      </c>
      <c r="EJ36" s="12">
        <f>IF('Données projet'!$A$192&gt;35,EJ35+EI36-ER35,IF(A36&lt;'Données projet'!$A$192,$EG$205^A36,IF(A36='Données projet'!$A$192,'Données projet'!$B$192,EJ35+EI36-ER35)))</f>
        <v>161.40000000000003</v>
      </c>
      <c r="EK36" s="17">
        <f>EJ36*VLOOKUP('Données projet'!$B$15,Paramètres!$A$1:$I$89,3,0)*VLOOKUP('Données projet'!$B$15,Paramètres!$A$1:$I$89,5,0)</f>
        <v>128.40984000000003</v>
      </c>
      <c r="EL36" s="13">
        <f t="shared" si="45"/>
        <v>33.628657265220909</v>
      </c>
      <c r="EM36" s="20">
        <f t="shared" si="19"/>
        <v>282.21704940359314</v>
      </c>
      <c r="EN36" s="59">
        <f t="shared" si="20"/>
        <v>575.55038273692639</v>
      </c>
      <c r="EO36" s="59">
        <f ca="1">AVERAGE(OFFSET($EN$3,0,0,'Données projet'!$E$15+1,1))-AVERAGE(OFFSET($H$3,0,0,'Données projet'!$E$15+1,1))</f>
        <v>215.37468832969444</v>
      </c>
      <c r="EP36" s="59">
        <f t="shared" si="46"/>
        <v>208.60212063136419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3.0747741652556542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3.0747741652556542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12.8</v>
      </c>
      <c r="FE36" s="12">
        <f>IF('Données projet'!$A$218&gt;35,FE35+FD36-FM35,IF(A36&lt;'Données projet'!$A$218,$FB$205^A36,IF(A36='Données projet'!$A$218,'Données projet'!$B$218,FE35+FD36-FM35)))</f>
        <v>161.40000000000003</v>
      </c>
      <c r="FF36" s="17">
        <f>FE36*VLOOKUP('Données projet'!$B$16,Paramètres!$A$1:$I$89,3,0)*VLOOKUP('Données projet'!$B$16,Paramètres!$A$1:$I$89,5,0)</f>
        <v>130.92768000000004</v>
      </c>
      <c r="FG36" s="13">
        <f t="shared" si="47"/>
        <v>34.210630151715954</v>
      </c>
      <c r="FH36" s="20">
        <f t="shared" si="22"/>
        <v>287.61589018090535</v>
      </c>
      <c r="FI36" s="59">
        <f t="shared" si="23"/>
        <v>580.94922351423861</v>
      </c>
      <c r="FJ36" s="59">
        <f ca="1">AVERAGE(OFFSET($FI$3,0,0,'Données projet'!$E$16+1,1))-AVERAGE(OFFSET($H$3,0,0,'Données projet'!$E$16+1,1))</f>
        <v>220.90439367987847</v>
      </c>
      <c r="FK36" s="59">
        <f t="shared" si="48"/>
        <v>213.66046131354858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3.1350638547704706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3.1350638547704706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1">
        <f t="shared" si="32"/>
        <v>8.6391752805240429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67">
        <f t="shared" si="1"/>
        <v>356.41645694691266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132</v>
      </c>
      <c r="O37" s="13">
        <f>N37*VLOOKUP('Données projet'!$B$9,Paramètres!$A$1:$I$89,3,0)*VLOOKUP('Données projet'!$B$9,Paramètres!$A$1:$I$89,5,0)</f>
        <v>61.775999999999996</v>
      </c>
      <c r="P37" s="13">
        <f t="shared" si="33"/>
        <v>17.616532373802876</v>
      </c>
      <c r="Q37" s="20">
        <f t="shared" si="53"/>
        <v>138.27532721770669</v>
      </c>
      <c r="R37" s="59">
        <f t="shared" si="0"/>
        <v>431.60866055103997</v>
      </c>
      <c r="S37" s="59">
        <f ca="1">AVERAGE(OFFSET($R$3,0,0,'Données projet'!$E$9+1,1))-AVERAGE(OFFSET($H$3,0,0,'Données projet'!$E$9+1,1))</f>
        <v>196.72624686715807</v>
      </c>
      <c r="T37" s="59">
        <f t="shared" si="34"/>
        <v>37.315661698104691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24.6</v>
      </c>
      <c r="AI37" s="13">
        <f>IF('Données projet'!$A$62&gt;35,AI36+AH37-AQ36,IF(A37&lt;'Données projet'!$A$62,$AF$205^A37,IF(A37='Données projet'!$A$62,'Données projet'!$B$62,AI36+AH37-AQ36)))</f>
        <v>410.40000000000015</v>
      </c>
      <c r="AJ37" s="13">
        <f>AI37*VLOOKUP('Données projet'!$B$10,Paramètres!$A$1:$I$89,3,0)*VLOOKUP('Données projet'!$B$10,Paramètres!$A$1:$I$89,5,0)</f>
        <v>229.41360000000009</v>
      </c>
      <c r="AK37" s="13">
        <f t="shared" si="35"/>
        <v>56.155869309033477</v>
      </c>
      <c r="AL37" s="20">
        <f t="shared" si="4"/>
        <v>497.36682571323354</v>
      </c>
      <c r="AM37" s="59">
        <f t="shared" si="5"/>
        <v>790.7001590465668</v>
      </c>
      <c r="AN37" s="59">
        <f ca="1">AVERAGE(OFFSET($AM$3,0,0,'Données projet'!$E$10+1,1))-AVERAGE(OFFSET($H$3,0,0,'Données projet'!$E$10+1,1))</f>
        <v>325.42940802362739</v>
      </c>
      <c r="AO37" s="59">
        <f t="shared" si="36"/>
        <v>388.87198417542277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17.544712908718786</v>
      </c>
      <c r="AV37" s="21">
        <f>EXP(-LN(2)/25)*AV36+(1-EXP(-LN(2)/25))/(LN(2)/25)*Calculateur!AQ37*Calculateur!AS37*VLOOKUP('Données projet'!$B$10,Paramètres!$A$1:$I$89,3,0)*0.475*44/12</f>
        <v>12.727439276184352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30.272152184903138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221.33333333333331</v>
      </c>
      <c r="BE37" s="13">
        <f>BD37*VLOOKUP('Données projet'!$B$11,Paramètres!$A$1:$I$89,3,0)*VLOOKUP('Données projet'!$B$11,Paramètres!$A$1:$I$89,5,0)</f>
        <v>138.11199999999997</v>
      </c>
      <c r="BF37" s="13">
        <f t="shared" si="37"/>
        <v>35.864150024436235</v>
      </c>
      <c r="BG37" s="20">
        <f t="shared" si="7"/>
        <v>303.00846129255973</v>
      </c>
      <c r="BH37" s="59">
        <f t="shared" si="8"/>
        <v>596.34179462589304</v>
      </c>
      <c r="BI37" s="59">
        <f ca="1">AVERAGE(OFFSET($BH$3,0,0,'Données projet'!$E$11+1,1))-AVERAGE(OFFSET($H$3,0,0,'Données projet'!$E$11+1,1))</f>
        <v>162.87524915738271</v>
      </c>
      <c r="BJ37" s="59">
        <f t="shared" si="38"/>
        <v>249.37880137966658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7.2955475559578957</v>
      </c>
      <c r="BQ37" s="21">
        <f>EXP(-LN(2)/25)*BQ36+(1-EXP(-LN(2)/25))/(LN(2)/25)*Calculateur!BL37*Calculateur!BN37*VLOOKUP('Données projet'!$B$11,Paramètres!$A$1:$I$89,3,0)*0.475*44/12</f>
        <v>32.86697653249005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40.162524088447945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174.20000000000005</v>
      </c>
      <c r="BZ37" s="13">
        <f>BY37*VLOOKUP('Données projet'!$B$12,Paramètres!$A$1:$I$89,3,0)*VLOOKUP('Données projet'!$B$12,Paramètres!$A$1:$I$89,5,0)</f>
        <v>114.13584000000003</v>
      </c>
      <c r="CA37" s="13">
        <f t="shared" si="39"/>
        <v>30.303317693701107</v>
      </c>
      <c r="CB37" s="20">
        <f t="shared" si="10"/>
        <v>251.56486631652947</v>
      </c>
      <c r="CC37" s="59">
        <f t="shared" si="11"/>
        <v>544.89819964986282</v>
      </c>
      <c r="CD37" s="59">
        <f ca="1">AVERAGE(OFFSET($CC$3,0,0,'Données projet'!$E$12+1,1))-AVERAGE(OFFSET($H$3,0,0,'Données projet'!$E$12+1,1))</f>
        <v>119.88584888779422</v>
      </c>
      <c r="CE37" s="59">
        <f t="shared" si="40"/>
        <v>162.97244314258774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2.3323331407574384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2.3323331407574384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6</v>
      </c>
      <c r="CT37" s="12">
        <f>IF('Données projet'!$A$140&gt;35,CT36+CS37-DB36,IF(A37&lt;'Données projet'!$A$140,$CQ$205^A37,IF(A37='Données projet'!$A$140,'Données projet'!$B$140,CT36+CS37-DB36)))</f>
        <v>143</v>
      </c>
      <c r="CU37" s="17">
        <f>CT37*VLOOKUP('Données projet'!$B$13,Paramètres!$A$1:$I$89,3,0)*VLOOKUP('Données projet'!$B$13,Paramètres!$A$1:$I$89,5,0)</f>
        <v>145.00200000000001</v>
      </c>
      <c r="CV37" s="13">
        <f t="shared" si="41"/>
        <v>37.44054178676268</v>
      </c>
      <c r="CW37" s="20">
        <f t="shared" si="13"/>
        <v>317.75409361194505</v>
      </c>
      <c r="CX37" s="59">
        <f t="shared" si="14"/>
        <v>611.08742694527837</v>
      </c>
      <c r="CY37" s="59">
        <f ca="1">AVERAGE(OFFSET($CX$3,0,0,'Données projet'!$E$13+1,1))-AVERAGE(OFFSET($H$3,0,0,'Données projet'!$E$13+1,1))</f>
        <v>261.75887764015459</v>
      </c>
      <c r="CZ37" s="59">
        <f t="shared" si="42"/>
        <v>209.74127356028544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12.8</v>
      </c>
      <c r="DO37" s="12">
        <f>IF('Données projet'!$A$166&gt;35,DO36+DN37-DW36,IF(A37&lt;'Données projet'!$A$166,$DL$205^A37,IF(A37='Données projet'!$A$166,'Données projet'!$B$166,DO36+DN37-DW36)))</f>
        <v>174.20000000000005</v>
      </c>
      <c r="DP37" s="17">
        <f>DO37*VLOOKUP('Données projet'!$B$14,Paramètres!$A$1:$I$89,3,0)*VLOOKUP('Données projet'!$B$14,Paramètres!$A$1:$I$89,5,0)</f>
        <v>138.59352000000004</v>
      </c>
      <c r="DQ37" s="13">
        <f t="shared" si="43"/>
        <v>35.974611578202286</v>
      </c>
      <c r="DR37" s="20">
        <f t="shared" si="16"/>
        <v>304.0394958320357</v>
      </c>
      <c r="DS37" s="59">
        <f t="shared" si="17"/>
        <v>597.37282916536901</v>
      </c>
      <c r="DT37" s="59">
        <f ca="1">AVERAGE(OFFSET($DS$3,0,0,'Données projet'!$E$14+1,1))-AVERAGE(OFFSET($H$3,0,0,'Données projet'!$E$14+1,1))</f>
        <v>215.37468832969444</v>
      </c>
      <c r="DU37" s="59">
        <f t="shared" si="44"/>
        <v>208.60212063136419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3.0144797193020487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3.0144797193020487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12.8</v>
      </c>
      <c r="EJ37" s="12">
        <f>IF('Données projet'!$A$192&gt;35,EJ36+EI37-ER36,IF(A37&lt;'Données projet'!$A$192,$EG$205^A37,IF(A37='Données projet'!$A$192,'Données projet'!$B$192,EJ36+EI37-ER36)))</f>
        <v>174.20000000000005</v>
      </c>
      <c r="EK37" s="17">
        <f>EJ37*VLOOKUP('Données projet'!$B$15,Paramètres!$A$1:$I$89,3,0)*VLOOKUP('Données projet'!$B$15,Paramètres!$A$1:$I$89,5,0)</f>
        <v>138.59352000000004</v>
      </c>
      <c r="EL37" s="13">
        <f t="shared" si="45"/>
        <v>35.974611578202286</v>
      </c>
      <c r="EM37" s="20">
        <f t="shared" si="19"/>
        <v>304.0394958320357</v>
      </c>
      <c r="EN37" s="59">
        <f t="shared" si="20"/>
        <v>597.37282916536901</v>
      </c>
      <c r="EO37" s="59">
        <f ca="1">AVERAGE(OFFSET($EN$3,0,0,'Données projet'!$E$15+1,1))-AVERAGE(OFFSET($H$3,0,0,'Données projet'!$E$15+1,1))</f>
        <v>215.37468832969444</v>
      </c>
      <c r="EP37" s="59">
        <f t="shared" si="46"/>
        <v>208.60212063136419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3.0144797193020487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3.0144797193020487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12.8</v>
      </c>
      <c r="FE37" s="12">
        <f>IF('Données projet'!$A$218&gt;35,FE36+FD37-FM36,IF(A37&lt;'Données projet'!$A$218,$FB$205^A37,IF(A37='Données projet'!$A$218,'Données projet'!$B$218,FE36+FD37-FM36)))</f>
        <v>174.20000000000005</v>
      </c>
      <c r="FF37" s="17">
        <f>FE37*VLOOKUP('Données projet'!$B$16,Paramètres!$A$1:$I$89,3,0)*VLOOKUP('Données projet'!$B$16,Paramètres!$A$1:$I$89,5,0)</f>
        <v>141.31104000000005</v>
      </c>
      <c r="FG37" s="13">
        <f t="shared" si="47"/>
        <v>36.59718322522302</v>
      </c>
      <c r="FH37" s="20">
        <f t="shared" si="22"/>
        <v>309.8568221172635</v>
      </c>
      <c r="FI37" s="59">
        <f t="shared" si="23"/>
        <v>603.19015545059688</v>
      </c>
      <c r="FJ37" s="59">
        <f ca="1">AVERAGE(OFFSET($FI$3,0,0,'Données projet'!$E$16+1,1))-AVERAGE(OFFSET($H$3,0,0,'Données projet'!$E$16+1,1))</f>
        <v>220.90439367987847</v>
      </c>
      <c r="FK37" s="59">
        <f t="shared" si="48"/>
        <v>213.66046131354858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3.0735871647785591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3.0735871647785591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1">
        <f t="shared" si="32"/>
        <v>8.8633120224605495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67">
        <f t="shared" si="1"/>
        <v>358.21966843911872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143</v>
      </c>
      <c r="L38" s="12">
        <f>VLOOKUP(A38,'Données projet'!$A$35:$I$55,9,0)</f>
        <v>11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143</v>
      </c>
      <c r="O38" s="13">
        <f>N38*VLOOKUP('Données projet'!$B$9,Paramètres!$A$1:$I$89,3,0)*VLOOKUP('Données projet'!$B$9,Paramètres!$A$1:$I$89,5,0)</f>
        <v>66.923999999999992</v>
      </c>
      <c r="P38" s="13">
        <f t="shared" si="33"/>
        <v>18.90759204786767</v>
      </c>
      <c r="Q38" s="20">
        <f t="shared" si="53"/>
        <v>149.49002281670283</v>
      </c>
      <c r="R38" s="59">
        <f t="shared" si="0"/>
        <v>442.82335615003615</v>
      </c>
      <c r="S38" s="59">
        <f ca="1">AVERAGE(OFFSET($R$3,0,0,'Données projet'!$E$9+1,1))-AVERAGE(OFFSET($H$3,0,0,'Données projet'!$E$9+1,1))</f>
        <v>196.72624686715807</v>
      </c>
      <c r="T38" s="59">
        <f t="shared" si="34"/>
        <v>37.315661698104691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436</v>
      </c>
      <c r="AG38" s="12">
        <f>VLOOKUP(A38,'Données projet'!$A$61:$I$81,9,0)</f>
        <v>24.6</v>
      </c>
      <c r="AH38" s="12">
        <f t="array" ref="AH38">INDEX(AG:AG,MIN(IF(ISNUMBER(AG38:AG234),ROW(AG38:AG234),"")))</f>
        <v>24.6</v>
      </c>
      <c r="AI38" s="13">
        <f>IF('Données projet'!$A$62&gt;35,AI37+AH38-AQ37,IF(A38&lt;'Données projet'!$A$62,$AF$205^A38,IF(A38='Données projet'!$A$62,'Données projet'!$B$62,AI37+AH38-AQ37)))</f>
        <v>435.00000000000017</v>
      </c>
      <c r="AJ38" s="13">
        <f>AI38*VLOOKUP('Données projet'!$B$10,Paramètres!$A$1:$I$89,3,0)*VLOOKUP('Données projet'!$B$10,Paramètres!$A$1:$I$89,5,0)</f>
        <v>243.16500000000011</v>
      </c>
      <c r="AK38" s="13">
        <f t="shared" si="35"/>
        <v>59.119975548046618</v>
      </c>
      <c r="AL38" s="20">
        <f t="shared" si="4"/>
        <v>526.47966574618135</v>
      </c>
      <c r="AM38" s="59">
        <f t="shared" si="5"/>
        <v>819.81299907951461</v>
      </c>
      <c r="AN38" s="59">
        <f ca="1">AVERAGE(OFFSET($AM$3,0,0,'Données projet'!$E$10+1,1))-AVERAGE(OFFSET($H$3,0,0,'Données projet'!$E$10+1,1))</f>
        <v>325.42940802362739</v>
      </c>
      <c r="AO38" s="59">
        <f t="shared" si="36"/>
        <v>388.87198417542277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0.33</v>
      </c>
      <c r="AS38" s="16">
        <f>IF(ISNA(VLOOKUP(A38,'Données projet'!$A$61:$I$81,6,0)),0%,VLOOKUP(A38,'Données projet'!$A$61:$I$81,6,0)*VLOOKUP('Données projet'!$B$10,Paramètres!$A$1:$I$89,7,0))</f>
        <v>0.16500000000000001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34.08575460134734</v>
      </c>
      <c r="AV38" s="21">
        <f>EXP(-LN(2)/25)*AV37+(1-EXP(-LN(2)/25))/(LN(2)/25)*Calculateur!AQ38*Calculateur!AS38*VLOOKUP('Données projet'!$B$10,Paramètres!$A$1:$I$89,3,0)*0.475*44/12</f>
        <v>20.788706683270291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54.874461284617631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234.16666666666666</v>
      </c>
      <c r="BE38" s="13">
        <f>BD38*VLOOKUP('Données projet'!$B$11,Paramètres!$A$1:$I$89,3,0)*VLOOKUP('Données projet'!$B$11,Paramètres!$A$1:$I$89,5,0)</f>
        <v>146.12</v>
      </c>
      <c r="BF38" s="13">
        <f t="shared" si="37"/>
        <v>37.695501330214164</v>
      </c>
      <c r="BG38" s="20">
        <f t="shared" si="7"/>
        <v>320.14533148345635</v>
      </c>
      <c r="BH38" s="59">
        <f t="shared" si="8"/>
        <v>613.47866481678966</v>
      </c>
      <c r="BI38" s="59">
        <f ca="1">AVERAGE(OFFSET($BH$3,0,0,'Données projet'!$E$11+1,1))-AVERAGE(OFFSET($H$3,0,0,'Données projet'!$E$11+1,1))</f>
        <v>162.87524915738271</v>
      </c>
      <c r="BJ38" s="59">
        <f t="shared" si="38"/>
        <v>249.37880137966658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7.152486318230185</v>
      </c>
      <c r="BQ38" s="21">
        <f>EXP(-LN(2)/25)*BQ37+(1-EXP(-LN(2)/25))/(LN(2)/25)*Calculateur!BL38*Calculateur!BN38*VLOOKUP('Données projet'!$B$11,Paramètres!$A$1:$I$89,3,0)*0.475*44/12</f>
        <v>31.968227330809931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39.120713649040113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187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187.00000000000006</v>
      </c>
      <c r="BZ38" s="13">
        <f>BY38*VLOOKUP('Données projet'!$B$12,Paramètres!$A$1:$I$89,3,0)*VLOOKUP('Données projet'!$B$12,Paramètres!$A$1:$I$89,5,0)</f>
        <v>122.52240000000003</v>
      </c>
      <c r="CA38" s="13">
        <f t="shared" si="39"/>
        <v>32.26259352430629</v>
      </c>
      <c r="CB38" s="20">
        <f t="shared" si="10"/>
        <v>269.58386372150017</v>
      </c>
      <c r="CC38" s="59">
        <f t="shared" si="11"/>
        <v>562.91719705483342</v>
      </c>
      <c r="CD38" s="59">
        <f ca="1">AVERAGE(OFFSET($CC$3,0,0,'Données projet'!$E$12+1,1))-AVERAGE(OFFSET($H$3,0,0,'Données projet'!$E$12+1,1))</f>
        <v>119.88584888779422</v>
      </c>
      <c r="CE38" s="59">
        <f t="shared" si="40"/>
        <v>162.97244314258774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0.17200000000000001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6.6116984014844746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6.6116984014844746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149</v>
      </c>
      <c r="CR38" s="12">
        <f>VLOOKUP(A38,'Données projet'!$A$139:$I$159,9,0)</f>
        <v>6</v>
      </c>
      <c r="CS38" s="12">
        <f t="array" ref="CS38">INDEX(CR:CR,MIN(IF(ISNUMBER(CR38:CR234),ROW(CR38:CR234),"")))</f>
        <v>6</v>
      </c>
      <c r="CT38" s="12">
        <f>IF('Données projet'!$A$140&gt;35,CT37+CS38-DB37,IF(A38&lt;'Données projet'!$A$140,$CQ$205^A38,IF(A38='Données projet'!$A$140,'Données projet'!$B$140,CT37+CS38-DB37)))</f>
        <v>149</v>
      </c>
      <c r="CU38" s="17">
        <f>CT38*VLOOKUP('Données projet'!$B$13,Paramètres!$A$1:$I$89,3,0)*VLOOKUP('Données projet'!$B$13,Paramètres!$A$1:$I$89,5,0)</f>
        <v>151.08600000000001</v>
      </c>
      <c r="CV38" s="13">
        <f t="shared" si="41"/>
        <v>38.825279304404233</v>
      </c>
      <c r="CW38" s="20">
        <f t="shared" si="13"/>
        <v>330.76214478850403</v>
      </c>
      <c r="CX38" s="59">
        <f t="shared" si="14"/>
        <v>624.09547812183735</v>
      </c>
      <c r="CY38" s="59">
        <f ca="1">AVERAGE(OFFSET($CX$3,0,0,'Données projet'!$E$13+1,1))-AVERAGE(OFFSET($H$3,0,0,'Données projet'!$E$13+1,1))</f>
        <v>261.75887764015459</v>
      </c>
      <c r="CZ38" s="59">
        <f t="shared" si="42"/>
        <v>209.74127356028544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25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187</v>
      </c>
      <c r="DM38" s="12">
        <f>VLOOKUP(A38,'Données projet'!$A$165:$I$185,9,0)</f>
        <v>12.8</v>
      </c>
      <c r="DN38" s="12">
        <f t="array" ref="DN38">INDEX(DM:DM,MIN(IF(ISNUMBER(DM38:DM234),ROW(DM38:DM234),"")))</f>
        <v>12.8</v>
      </c>
      <c r="DO38" s="12">
        <f>IF('Données projet'!$A$166&gt;35,DO37+DN38-DW37,IF(A38&lt;'Données projet'!$A$166,$DL$205^A38,IF(A38='Données projet'!$A$166,'Données projet'!$B$166,DO37+DN38-DW37)))</f>
        <v>187.00000000000006</v>
      </c>
      <c r="DP38" s="17">
        <f>DO38*VLOOKUP('Données projet'!$B$14,Paramètres!$A$1:$I$89,3,0)*VLOOKUP('Données projet'!$B$14,Paramètres!$A$1:$I$89,5,0)</f>
        <v>148.77720000000005</v>
      </c>
      <c r="DQ38" s="13">
        <f t="shared" si="43"/>
        <v>38.30056768944462</v>
      </c>
      <c r="DR38" s="20">
        <f t="shared" si="16"/>
        <v>325.82711205911613</v>
      </c>
      <c r="DS38" s="59">
        <f t="shared" si="17"/>
        <v>619.16044539244945</v>
      </c>
      <c r="DT38" s="59">
        <f ca="1">AVERAGE(OFFSET($DS$3,0,0,'Données projet'!$E$14+1,1))-AVERAGE(OFFSET($H$3,0,0,'Données projet'!$E$14+1,1))</f>
        <v>215.37468832969444</v>
      </c>
      <c r="DU38" s="59">
        <f t="shared" si="44"/>
        <v>208.60212063136419</v>
      </c>
      <c r="DV38" s="15">
        <f>IF(ISNA(VLOOKUP(A38,'Données projet'!$A$165:$I$185,3,0)),0,VLOOKUP(A38,'Données projet'!$A$165:$I$185,3,0))</f>
        <v>4</v>
      </c>
      <c r="DW38" s="15">
        <f>IF(ISNA(VLOOKUP(A38,'Données projet'!$A$165:$I$185,4,0)),0,VLOOKUP(A38,'Données projet'!$A$165:$I$185,4,0))</f>
        <v>28</v>
      </c>
      <c r="DX38" s="16">
        <f>IF(ISNA(VLOOKUP(A38,'Données projet'!$A$165:$I$185,5,0)),0%,VLOOKUP(A38,'Données projet'!$A$165:$I$185,5,0)*VLOOKUP('Données projet'!$B$14,Paramètres!$A$1:$I$89,7,0))</f>
        <v>0.13250000000000001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6.2183579986359128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6.2183579986359128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187</v>
      </c>
      <c r="EH38" s="12">
        <f>VLOOKUP(A38,'Données projet'!$A$191:$I$211,9,0)</f>
        <v>12.8</v>
      </c>
      <c r="EI38" s="12">
        <f t="array" ref="EI38">INDEX(EH:EH,MIN(IF(ISNUMBER(EH38:EH234),ROW(EH38:EH234),"")))</f>
        <v>12.8</v>
      </c>
      <c r="EJ38" s="12">
        <f>IF('Données projet'!$A$192&gt;35,EJ37+EI38-ER37,IF(A38&lt;'Données projet'!$A$192,$EG$205^A38,IF(A38='Données projet'!$A$192,'Données projet'!$B$192,EJ37+EI38-ER37)))</f>
        <v>187.00000000000006</v>
      </c>
      <c r="EK38" s="17">
        <f>EJ38*VLOOKUP('Données projet'!$B$15,Paramètres!$A$1:$I$89,3,0)*VLOOKUP('Données projet'!$B$15,Paramètres!$A$1:$I$89,5,0)</f>
        <v>148.77720000000005</v>
      </c>
      <c r="EL38" s="13">
        <f t="shared" si="45"/>
        <v>38.30056768944462</v>
      </c>
      <c r="EM38" s="20">
        <f t="shared" si="19"/>
        <v>325.82711205911613</v>
      </c>
      <c r="EN38" s="59">
        <f t="shared" si="20"/>
        <v>619.16044539244945</v>
      </c>
      <c r="EO38" s="59">
        <f ca="1">AVERAGE(OFFSET($EN$3,0,0,'Données projet'!$E$15+1,1))-AVERAGE(OFFSET($H$3,0,0,'Données projet'!$E$15+1,1))</f>
        <v>215.37468832969444</v>
      </c>
      <c r="EP38" s="59">
        <f t="shared" si="46"/>
        <v>208.60212063136419</v>
      </c>
      <c r="EQ38" s="15">
        <f>IF(ISNA(VLOOKUP(A38,'Données projet'!$A$191:$I$211,3,0)),0,VLOOKUP(A38,'Données projet'!$A$191:$I$211,3,0))</f>
        <v>4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0.13250000000000001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6.2183579986359128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6.2183579986359128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187</v>
      </c>
      <c r="FC38" s="12">
        <f>VLOOKUP(A38,'Données projet'!$A$217:$I$237,9,0)</f>
        <v>12.8</v>
      </c>
      <c r="FD38" s="12">
        <f t="array" ref="FD38">INDEX(FC:FC,MIN(IF(ISNUMBER(FC38:FC234),ROW(FC38:FC234),"")))</f>
        <v>12.8</v>
      </c>
      <c r="FE38" s="12">
        <f>IF('Données projet'!$A$218&gt;35,FE37+FD38-FM37,IF(A38&lt;'Données projet'!$A$218,$FB$205^A38,IF(A38='Données projet'!$A$218,'Données projet'!$B$218,FE37+FD38-FM37)))</f>
        <v>187.00000000000006</v>
      </c>
      <c r="FF38" s="17">
        <f>FE38*VLOOKUP('Données projet'!$B$16,Paramètres!$A$1:$I$89,3,0)*VLOOKUP('Données projet'!$B$16,Paramètres!$A$1:$I$89,5,0)</f>
        <v>151.69440000000006</v>
      </c>
      <c r="FG38" s="13">
        <f t="shared" si="47"/>
        <v>38.963392010880654</v>
      </c>
      <c r="FH38" s="20">
        <f t="shared" si="22"/>
        <v>332.06232108561721</v>
      </c>
      <c r="FI38" s="59">
        <f t="shared" si="23"/>
        <v>625.39565441895047</v>
      </c>
      <c r="FJ38" s="59">
        <f ca="1">AVERAGE(OFFSET($FI$3,0,0,'Données projet'!$E$16+1,1))-AVERAGE(OFFSET($H$3,0,0,'Données projet'!$E$16+1,1))</f>
        <v>220.90439367987847</v>
      </c>
      <c r="FK38" s="59">
        <f t="shared" si="48"/>
        <v>213.66046131354858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0.13250000000000001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6.34028658684446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6.34028658684446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1">
        <f t="shared" si="32"/>
        <v>9.0867044807780779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67">
        <f t="shared" si="1"/>
        <v>360.02158363735509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154</v>
      </c>
      <c r="O39" s="13">
        <f>N39*VLOOKUP('Données projet'!$B$9,Paramètres!$A$1:$I$89,3,0)*VLOOKUP('Données projet'!$B$9,Paramètres!$A$1:$I$89,5,0)</f>
        <v>72.072000000000003</v>
      </c>
      <c r="P39" s="13">
        <f t="shared" si="33"/>
        <v>20.187131385147271</v>
      </c>
      <c r="Q39" s="20">
        <f t="shared" si="53"/>
        <v>160.68465382913149</v>
      </c>
      <c r="R39" s="59">
        <f t="shared" si="0"/>
        <v>454.01798716246481</v>
      </c>
      <c r="S39" s="59">
        <f ca="1">AVERAGE(OFFSET($R$3,0,0,'Données projet'!$E$9+1,1))-AVERAGE(OFFSET($H$3,0,0,'Données projet'!$E$9+1,1))</f>
        <v>196.72624686715807</v>
      </c>
      <c r="T39" s="59">
        <f t="shared" si="34"/>
        <v>37.315661698104691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</v>
      </c>
      <c r="AI39" s="13">
        <f>IF('Données projet'!$A$62&gt;35,AI38+AH39-AQ38,IF(A39&lt;'Données projet'!$A$62,$AF$205^A39,IF(A39='Données projet'!$A$62,'Données projet'!$B$62,AI38+AH39-AQ38)))</f>
        <v>391.00000000000017</v>
      </c>
      <c r="AJ39" s="13">
        <f>AI39*VLOOKUP('Données projet'!$B$10,Paramètres!$A$1:$I$89,3,0)*VLOOKUP('Données projet'!$B$10,Paramètres!$A$1:$I$89,5,0)</f>
        <v>218.5690000000001</v>
      </c>
      <c r="AK39" s="13">
        <f t="shared" si="35"/>
        <v>53.803746913464231</v>
      </c>
      <c r="AL39" s="20">
        <f t="shared" si="4"/>
        <v>474.38253420761703</v>
      </c>
      <c r="AM39" s="59">
        <f t="shared" si="5"/>
        <v>767.71586754095028</v>
      </c>
      <c r="AN39" s="59">
        <f ca="1">AVERAGE(OFFSET($AM$3,0,0,'Données projet'!$E$10+1,1))-AVERAGE(OFFSET($H$3,0,0,'Données projet'!$E$10+1,1))</f>
        <v>325.42940802362739</v>
      </c>
      <c r="AO39" s="59">
        <f t="shared" si="36"/>
        <v>388.87198417542277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33.417353743872354</v>
      </c>
      <c r="AV39" s="21">
        <f>EXP(-LN(2)/25)*AV38+(1-EXP(-LN(2)/25))/(LN(2)/25)*Calculateur!AQ39*Calculateur!AS39*VLOOKUP('Données projet'!$B$10,Paramètres!$A$1:$I$89,3,0)*0.475*44/12</f>
        <v>20.220238405785693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53.637592149658047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247</v>
      </c>
      <c r="BE39" s="13">
        <f>BD39*VLOOKUP('Données projet'!$B$11,Paramètres!$A$1:$I$89,3,0)*VLOOKUP('Données projet'!$B$11,Paramètres!$A$1:$I$89,5,0)</f>
        <v>154.12800000000001</v>
      </c>
      <c r="BF39" s="13">
        <f t="shared" si="37"/>
        <v>39.515201075361155</v>
      </c>
      <c r="BG39" s="20">
        <f t="shared" si="7"/>
        <v>337.26190853958735</v>
      </c>
      <c r="BH39" s="59">
        <f t="shared" si="8"/>
        <v>630.59524187292072</v>
      </c>
      <c r="BI39" s="59">
        <f ca="1">AVERAGE(OFFSET($BH$3,0,0,'Données projet'!$E$11+1,1))-AVERAGE(OFFSET($H$3,0,0,'Données projet'!$E$11+1,1))</f>
        <v>162.87524915738271</v>
      </c>
      <c r="BJ39" s="59">
        <f t="shared" si="38"/>
        <v>249.37880137966658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0.24</v>
      </c>
      <c r="BN39" s="16">
        <f>IF(ISNA(VLOOKUP(A39,'Données projet'!$A$87:$I$107,6,0)),0%,VLOOKUP(A39,'Données projet'!$A$87:$I$107,6,0)*VLOOKUP('Données projet'!$B$11,Paramètres!$A$1:$I$89,7,0))</f>
        <v>0.27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19.329540580606359</v>
      </c>
      <c r="BQ39" s="21">
        <f>EXP(-LN(2)/25)*BQ38+(1-EXP(-LN(2)/25))/(LN(2)/25)*Calculateur!BL39*Calculateur!BN39*VLOOKUP('Données projet'!$B$11,Paramètres!$A$1:$I$89,3,0)*0.475*44/12</f>
        <v>44.89646821309718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64.226008793703542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9.6</v>
      </c>
      <c r="BY39" s="12">
        <f>IF('Données projet'!$A$114&gt;35,BY38+BX39-CG38,IF(A39&lt;'Données projet'!$A$114,$BV$205^A39,IF(A39='Données projet'!$A$114,'Données projet'!$B$114,BY38+BX39-CG38)))</f>
        <v>161.60000000000005</v>
      </c>
      <c r="BZ39" s="13">
        <f>BY39*VLOOKUP('Données projet'!$B$12,Paramètres!$A$1:$I$89,3,0)*VLOOKUP('Données projet'!$B$12,Paramètres!$A$1:$I$89,5,0)</f>
        <v>105.88032000000003</v>
      </c>
      <c r="CA39" s="13">
        <f t="shared" si="39"/>
        <v>28.358210082792318</v>
      </c>
      <c r="CB39" s="20">
        <f t="shared" si="10"/>
        <v>233.79877322753001</v>
      </c>
      <c r="CC39" s="59">
        <f t="shared" si="11"/>
        <v>527.13210656086335</v>
      </c>
      <c r="CD39" s="59">
        <f ca="1">AVERAGE(OFFSET($CC$3,0,0,'Données projet'!$E$12+1,1))-AVERAGE(OFFSET($H$3,0,0,'Données projet'!$E$12+1,1))</f>
        <v>119.88584888779422</v>
      </c>
      <c r="CE39" s="59">
        <f t="shared" si="40"/>
        <v>162.97244314258774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6.4309011610017741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6.4309011610017741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7</v>
      </c>
      <c r="CT39" s="12">
        <f>IF('Données projet'!$A$140&gt;35,CT38+CS39-DB38,IF(A39&lt;'Données projet'!$A$140,$CQ$205^A39,IF(A39='Données projet'!$A$140,'Données projet'!$B$140,CT38+CS39-DB38)))</f>
        <v>131</v>
      </c>
      <c r="CU39" s="17">
        <f>CT39*VLOOKUP('Données projet'!$B$13,Paramètres!$A$1:$I$89,3,0)*VLOOKUP('Données projet'!$B$13,Paramètres!$A$1:$I$89,5,0)</f>
        <v>132.834</v>
      </c>
      <c r="CV39" s="13">
        <f t="shared" si="41"/>
        <v>34.65038933485225</v>
      </c>
      <c r="CW39" s="20">
        <f t="shared" si="13"/>
        <v>291.70197809153433</v>
      </c>
      <c r="CX39" s="59">
        <f t="shared" si="14"/>
        <v>585.03531142486759</v>
      </c>
      <c r="CY39" s="59">
        <f ca="1">AVERAGE(OFFSET($CX$3,0,0,'Données projet'!$E$13+1,1))-AVERAGE(OFFSET($H$3,0,0,'Données projet'!$E$13+1,1))</f>
        <v>261.75887764015459</v>
      </c>
      <c r="CZ39" s="59">
        <f t="shared" si="42"/>
        <v>209.74127356028544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9.6</v>
      </c>
      <c r="DO39" s="12">
        <f>IF('Données projet'!$A$166&gt;35,DO38+DN39-DW38,IF(A39&lt;'Données projet'!$A$166,$DL$205^A39,IF(A39='Données projet'!$A$166,'Données projet'!$B$166,DO38+DN39-DW38)))</f>
        <v>168.60000000000005</v>
      </c>
      <c r="DP39" s="17">
        <f>DO39*VLOOKUP('Données projet'!$B$14,Paramètres!$A$1:$I$89,3,0)*VLOOKUP('Données projet'!$B$14,Paramètres!$A$1:$I$89,5,0)</f>
        <v>134.13816000000006</v>
      </c>
      <c r="DQ39" s="13">
        <f t="shared" si="43"/>
        <v>34.950815756031659</v>
      </c>
      <c r="DR39" s="20">
        <f t="shared" si="16"/>
        <v>294.49663277508859</v>
      </c>
      <c r="DS39" s="59">
        <f t="shared" si="17"/>
        <v>587.8299661084219</v>
      </c>
      <c r="DT39" s="59">
        <f ca="1">AVERAGE(OFFSET($DS$3,0,0,'Données projet'!$E$14+1,1))-AVERAGE(OFFSET($H$3,0,0,'Données projet'!$E$14+1,1))</f>
        <v>215.37468832969444</v>
      </c>
      <c r="DU39" s="59">
        <f t="shared" si="44"/>
        <v>208.60212063136419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6.0964197911065314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6.0964197911065314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9.6</v>
      </c>
      <c r="EJ39" s="12">
        <f>IF('Données projet'!$A$192&gt;35,EJ38+EI39-ER38,IF(A39&lt;'Données projet'!$A$192,$EG$205^A39,IF(A39='Données projet'!$A$192,'Données projet'!$B$192,EJ38+EI39-ER38)))</f>
        <v>168.60000000000005</v>
      </c>
      <c r="EK39" s="17">
        <f>EJ39*VLOOKUP('Données projet'!$B$15,Paramètres!$A$1:$I$89,3,0)*VLOOKUP('Données projet'!$B$15,Paramètres!$A$1:$I$89,5,0)</f>
        <v>134.13816000000006</v>
      </c>
      <c r="EL39" s="13">
        <f t="shared" si="45"/>
        <v>34.950815756031659</v>
      </c>
      <c r="EM39" s="20">
        <f t="shared" si="19"/>
        <v>294.49663277508859</v>
      </c>
      <c r="EN39" s="59">
        <f t="shared" si="20"/>
        <v>587.8299661084219</v>
      </c>
      <c r="EO39" s="59">
        <f ca="1">AVERAGE(OFFSET($EN$3,0,0,'Données projet'!$E$15+1,1))-AVERAGE(OFFSET($H$3,0,0,'Données projet'!$E$15+1,1))</f>
        <v>215.37468832969444</v>
      </c>
      <c r="EP39" s="59">
        <f t="shared" si="46"/>
        <v>208.60212063136419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6.0964197911065314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6.0964197911065314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168.60000000000005</v>
      </c>
      <c r="FF39" s="17">
        <f>FE39*VLOOKUP('Données projet'!$B$16,Paramètres!$A$1:$I$89,3,0)*VLOOKUP('Données projet'!$B$16,Paramètres!$A$1:$I$89,5,0)</f>
        <v>136.76832000000005</v>
      </c>
      <c r="FG39" s="13">
        <f t="shared" si="47"/>
        <v>35.555669734306036</v>
      </c>
      <c r="FH39" s="20">
        <f t="shared" si="22"/>
        <v>300.13094878724974</v>
      </c>
      <c r="FI39" s="59">
        <f t="shared" si="23"/>
        <v>593.46428212058299</v>
      </c>
      <c r="FJ39" s="59">
        <f ca="1">AVERAGE(OFFSET($FI$3,0,0,'Données projet'!$E$16+1,1))-AVERAGE(OFFSET($H$3,0,0,'Données projet'!$E$16+1,1))</f>
        <v>220.90439367987847</v>
      </c>
      <c r="FK39" s="59">
        <f t="shared" si="48"/>
        <v>213.66046131354858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6.2159574340694048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6.2159574340694048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1">
        <f t="shared" si="32"/>
        <v>9.3093757052690744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67">
        <f t="shared" si="1"/>
        <v>361.82224268667693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165</v>
      </c>
      <c r="O40" s="13">
        <f>N40*VLOOKUP('Données projet'!$B$9,Paramètres!$A$1:$I$89,3,0)*VLOOKUP('Données projet'!$B$9,Paramètres!$A$1:$I$89,5,0)</f>
        <v>77.22</v>
      </c>
      <c r="P40" s="13">
        <f t="shared" si="33"/>
        <v>21.456066856215884</v>
      </c>
      <c r="Q40" s="20">
        <f t="shared" si="53"/>
        <v>171.86081644124263</v>
      </c>
      <c r="R40" s="59">
        <f t="shared" si="0"/>
        <v>465.19414977457598</v>
      </c>
      <c r="S40" s="59">
        <f ca="1">AVERAGE(OFFSET($R$3,0,0,'Données projet'!$E$9+1,1))-AVERAGE(OFFSET($H$3,0,0,'Données projet'!$E$9+1,1))</f>
        <v>196.72624686715807</v>
      </c>
      <c r="T40" s="59">
        <f t="shared" si="34"/>
        <v>37.315661698104691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</v>
      </c>
      <c r="AI40" s="13">
        <f>IF('Données projet'!$A$62&gt;35,AI39+AH40-AQ39,IF(A40&lt;'Données projet'!$A$62,$AF$205^A40,IF(A40='Données projet'!$A$62,'Données projet'!$B$62,AI39+AH40-AQ39)))</f>
        <v>416.00000000000017</v>
      </c>
      <c r="AJ40" s="13">
        <f>AI40*VLOOKUP('Données projet'!$B$10,Paramètres!$A$1:$I$89,3,0)*VLOOKUP('Données projet'!$B$10,Paramètres!$A$1:$I$89,5,0)</f>
        <v>232.54400000000012</v>
      </c>
      <c r="AK40" s="13">
        <f t="shared" si="35"/>
        <v>56.832401153973777</v>
      </c>
      <c r="AL40" s="20">
        <f t="shared" si="4"/>
        <v>503.99723200983789</v>
      </c>
      <c r="AM40" s="59">
        <f t="shared" si="5"/>
        <v>797.3305653431712</v>
      </c>
      <c r="AN40" s="59">
        <f ca="1">AVERAGE(OFFSET($AM$3,0,0,'Données projet'!$E$10+1,1))-AVERAGE(OFFSET($H$3,0,0,'Données projet'!$E$10+1,1))</f>
        <v>325.42940802362739</v>
      </c>
      <c r="AO40" s="59">
        <f t="shared" si="36"/>
        <v>388.87198417542277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32.76205981952819</v>
      </c>
      <c r="AV40" s="21">
        <f>EXP(-LN(2)/25)*AV39+(1-EXP(-LN(2)/25))/(LN(2)/25)*Calculateur!AQ40*Calculateur!AS40*VLOOKUP('Données projet'!$B$10,Paramètres!$A$1:$I$89,3,0)*0.475*44/12</f>
        <v>19.66731492324336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52.42937474277155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196.5</v>
      </c>
      <c r="BE40" s="13">
        <f>BD40*VLOOKUP('Données projet'!$B$11,Paramètres!$A$1:$I$89,3,0)*VLOOKUP('Données projet'!$B$11,Paramètres!$A$1:$I$89,5,0)</f>
        <v>122.616</v>
      </c>
      <c r="BF40" s="13">
        <f t="shared" si="37"/>
        <v>32.284370423104164</v>
      </c>
      <c r="BG40" s="20">
        <f t="shared" si="7"/>
        <v>269.78481182023978</v>
      </c>
      <c r="BH40" s="59">
        <f t="shared" si="8"/>
        <v>563.1181451535731</v>
      </c>
      <c r="BI40" s="59">
        <f ca="1">AVERAGE(OFFSET($BH$3,0,0,'Données projet'!$E$11+1,1))-AVERAGE(OFFSET($H$3,0,0,'Données projet'!$E$11+1,1))</f>
        <v>162.87524915738271</v>
      </c>
      <c r="BJ40" s="59">
        <f t="shared" si="38"/>
        <v>249.37880137966658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18.950500079676271</v>
      </c>
      <c r="BQ40" s="21">
        <f>EXP(-LN(2)/25)*BQ39+(1-EXP(-LN(2)/25))/(LN(2)/25)*Calculateur!BL40*Calculateur!BN40*VLOOKUP('Données projet'!$B$11,Paramètres!$A$1:$I$89,3,0)*0.475*44/12</f>
        <v>43.668771928807388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62.619272008483662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9.6</v>
      </c>
      <c r="BY40" s="12">
        <f>IF('Données projet'!$A$114&gt;35,BY39+BX40-CG39,IF(A40&lt;'Données projet'!$A$114,$BV$205^A40,IF(A40='Données projet'!$A$114,'Données projet'!$B$114,BY39+BX40-CG39)))</f>
        <v>171.20000000000005</v>
      </c>
      <c r="BZ40" s="13">
        <f>BY40*VLOOKUP('Données projet'!$B$12,Paramètres!$A$1:$I$89,3,0)*VLOOKUP('Données projet'!$B$12,Paramètres!$A$1:$I$89,5,0)</f>
        <v>112.17024000000002</v>
      </c>
      <c r="CA40" s="13">
        <f t="shared" si="39"/>
        <v>29.841727178418456</v>
      </c>
      <c r="CB40" s="20">
        <f t="shared" si="10"/>
        <v>247.33750950241213</v>
      </c>
      <c r="CC40" s="59">
        <f t="shared" si="11"/>
        <v>540.67084283574547</v>
      </c>
      <c r="CD40" s="59">
        <f ca="1">AVERAGE(OFFSET($CC$3,0,0,'Données projet'!$E$12+1,1))-AVERAGE(OFFSET($H$3,0,0,'Données projet'!$E$12+1,1))</f>
        <v>119.88584888779422</v>
      </c>
      <c r="CE40" s="59">
        <f t="shared" si="40"/>
        <v>162.97244314258774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6.2550478305677863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6.2550478305677863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7</v>
      </c>
      <c r="CT40" s="12">
        <f>IF('Données projet'!$A$140&gt;35,CT39+CS40-DB39,IF(A40&lt;'Données projet'!$A$140,$CQ$205^A40,IF(A40='Données projet'!$A$140,'Données projet'!$B$140,CT39+CS40-DB39)))</f>
        <v>138</v>
      </c>
      <c r="CU40" s="17">
        <f>CT40*VLOOKUP('Données projet'!$B$13,Paramètres!$A$1:$I$89,3,0)*VLOOKUP('Données projet'!$B$13,Paramètres!$A$1:$I$89,5,0)</f>
        <v>139.93200000000002</v>
      </c>
      <c r="CV40" s="13">
        <f t="shared" si="41"/>
        <v>36.281427209452353</v>
      </c>
      <c r="CW40" s="20">
        <f t="shared" si="13"/>
        <v>306.90505238979614</v>
      </c>
      <c r="CX40" s="59">
        <f t="shared" si="14"/>
        <v>600.23838572312945</v>
      </c>
      <c r="CY40" s="59">
        <f ca="1">AVERAGE(OFFSET($CX$3,0,0,'Données projet'!$E$13+1,1))-AVERAGE(OFFSET($H$3,0,0,'Données projet'!$E$13+1,1))</f>
        <v>261.75887764015459</v>
      </c>
      <c r="CZ40" s="59">
        <f t="shared" si="42"/>
        <v>209.74127356028544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9.6</v>
      </c>
      <c r="DO40" s="12">
        <f>IF('Données projet'!$A$166&gt;35,DO39+DN40-DW39,IF(A40&lt;'Données projet'!$A$166,$DL$205^A40,IF(A40='Données projet'!$A$166,'Données projet'!$B$166,DO39+DN40-DW39)))</f>
        <v>178.20000000000005</v>
      </c>
      <c r="DP40" s="17">
        <f>DO40*VLOOKUP('Données projet'!$B$14,Paramètres!$A$1:$I$89,3,0)*VLOOKUP('Données projet'!$B$14,Paramètres!$A$1:$I$89,5,0)</f>
        <v>141.77592000000004</v>
      </c>
      <c r="DQ40" s="13">
        <f t="shared" si="43"/>
        <v>36.703544878441981</v>
      </c>
      <c r="DR40" s="20">
        <f t="shared" si="16"/>
        <v>310.85173466328649</v>
      </c>
      <c r="DS40" s="59">
        <f t="shared" si="17"/>
        <v>604.18506799661986</v>
      </c>
      <c r="DT40" s="59">
        <f ca="1">AVERAGE(OFFSET($DS$3,0,0,'Données projet'!$E$14+1,1))-AVERAGE(OFFSET($H$3,0,0,'Données projet'!$E$14+1,1))</f>
        <v>215.37468832969444</v>
      </c>
      <c r="DU40" s="59">
        <f t="shared" si="44"/>
        <v>208.60212063136419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5.9768727174518386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5.9768727174518386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9.6</v>
      </c>
      <c r="EJ40" s="12">
        <f>IF('Données projet'!$A$192&gt;35,EJ39+EI40-ER39,IF(A40&lt;'Données projet'!$A$192,$EG$205^A40,IF(A40='Données projet'!$A$192,'Données projet'!$B$192,EJ39+EI40-ER39)))</f>
        <v>178.20000000000005</v>
      </c>
      <c r="EK40" s="17">
        <f>EJ40*VLOOKUP('Données projet'!$B$15,Paramètres!$A$1:$I$89,3,0)*VLOOKUP('Données projet'!$B$15,Paramètres!$A$1:$I$89,5,0)</f>
        <v>141.77592000000004</v>
      </c>
      <c r="EL40" s="13">
        <f t="shared" si="45"/>
        <v>36.703544878441981</v>
      </c>
      <c r="EM40" s="20">
        <f t="shared" si="19"/>
        <v>310.85173466328649</v>
      </c>
      <c r="EN40" s="59">
        <f t="shared" si="20"/>
        <v>604.18506799661986</v>
      </c>
      <c r="EO40" s="59">
        <f ca="1">AVERAGE(OFFSET($EN$3,0,0,'Données projet'!$E$15+1,1))-AVERAGE(OFFSET($H$3,0,0,'Données projet'!$E$15+1,1))</f>
        <v>215.37468832969444</v>
      </c>
      <c r="EP40" s="59">
        <f t="shared" si="46"/>
        <v>208.60212063136419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5.9768727174518386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5.9768727174518386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178.20000000000005</v>
      </c>
      <c r="FF40" s="17">
        <f>FE40*VLOOKUP('Données projet'!$B$16,Paramètres!$A$1:$I$89,3,0)*VLOOKUP('Données projet'!$B$16,Paramètres!$A$1:$I$89,5,0)</f>
        <v>144.55584000000005</v>
      </c>
      <c r="FG40" s="13">
        <f t="shared" si="47"/>
        <v>37.338731344230482</v>
      </c>
      <c r="FH40" s="20">
        <f t="shared" si="22"/>
        <v>316.79971175786812</v>
      </c>
      <c r="FI40" s="59">
        <f t="shared" si="23"/>
        <v>610.13304509120144</v>
      </c>
      <c r="FJ40" s="59">
        <f ca="1">AVERAGE(OFFSET($FI$3,0,0,'Données projet'!$E$16+1,1))-AVERAGE(OFFSET($H$3,0,0,'Données projet'!$E$16+1,1))</f>
        <v>220.90439367987847</v>
      </c>
      <c r="FK40" s="59">
        <f t="shared" si="48"/>
        <v>213.66046131354858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6.0940663001469728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6.0940663001469728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1">
        <f t="shared" si="32"/>
        <v>9.5313474288652547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67">
        <f t="shared" si="1"/>
        <v>363.62168343860691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176</v>
      </c>
      <c r="O41" s="13">
        <f>N41*VLOOKUP('Données projet'!$B$9,Paramètres!$A$1:$I$89,3,0)*VLOOKUP('Données projet'!$B$9,Paramètres!$A$1:$I$89,5,0)</f>
        <v>82.367999999999995</v>
      </c>
      <c r="P41" s="13">
        <f t="shared" si="33"/>
        <v>22.715185822374924</v>
      </c>
      <c r="Q41" s="20">
        <f t="shared" si="53"/>
        <v>183.01988197396963</v>
      </c>
      <c r="R41" s="59">
        <f t="shared" si="0"/>
        <v>476.35321530730295</v>
      </c>
      <c r="S41" s="59">
        <f ca="1">AVERAGE(OFFSET($R$3,0,0,'Données projet'!$E$9+1,1))-AVERAGE(OFFSET($H$3,0,0,'Données projet'!$E$9+1,1))</f>
        <v>196.72624686715807</v>
      </c>
      <c r="T41" s="59">
        <f t="shared" si="34"/>
        <v>37.315661698104691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</v>
      </c>
      <c r="AI41" s="13">
        <f>IF('Données projet'!$A$62&gt;35,AI40+AH41-AQ40,IF(A41&lt;'Données projet'!$A$62,$AF$205^A41,IF(A41='Données projet'!$A$62,'Données projet'!$B$62,AI40+AH41-AQ40)))</f>
        <v>441.00000000000017</v>
      </c>
      <c r="AJ41" s="13">
        <f>AI41*VLOOKUP('Données projet'!$B$10,Paramètres!$A$1:$I$89,3,0)*VLOOKUP('Données projet'!$B$10,Paramètres!$A$1:$I$89,5,0)</f>
        <v>246.51900000000012</v>
      </c>
      <c r="AK41" s="13">
        <f t="shared" si="35"/>
        <v>59.839929882511569</v>
      </c>
      <c r="AL41" s="20">
        <f t="shared" si="4"/>
        <v>533.57513621204123</v>
      </c>
      <c r="AM41" s="59">
        <f t="shared" si="5"/>
        <v>826.9084695453746</v>
      </c>
      <c r="AN41" s="59">
        <f ca="1">AVERAGE(OFFSET($AM$3,0,0,'Données projet'!$E$10+1,1))-AVERAGE(OFFSET($H$3,0,0,'Données projet'!$E$10+1,1))</f>
        <v>325.42940802362739</v>
      </c>
      <c r="AO41" s="59">
        <f t="shared" si="36"/>
        <v>388.87198417542277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32.119615809350584</v>
      </c>
      <c r="AV41" s="21">
        <f>EXP(-LN(2)/25)*AV40+(1-EXP(-LN(2)/25))/(LN(2)/25)*Calculateur!AQ41*Calculateur!AS41*VLOOKUP('Données projet'!$B$10,Paramètres!$A$1:$I$89,3,0)*0.475*44/12</f>
        <v>19.129511162408129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51.249126971758713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208</v>
      </c>
      <c r="BE41" s="13">
        <f>BD41*VLOOKUP('Données projet'!$B$11,Paramètres!$A$1:$I$89,3,0)*VLOOKUP('Données projet'!$B$11,Paramètres!$A$1:$I$89,5,0)</f>
        <v>129.792</v>
      </c>
      <c r="BF41" s="13">
        <f t="shared" si="37"/>
        <v>33.94829216111502</v>
      </c>
      <c r="BG41" s="20">
        <f t="shared" si="7"/>
        <v>285.18100884727528</v>
      </c>
      <c r="BH41" s="59">
        <f t="shared" si="8"/>
        <v>578.51434218060854</v>
      </c>
      <c r="BI41" s="59">
        <f ca="1">AVERAGE(OFFSET($BH$3,0,0,'Données projet'!$E$11+1,1))-AVERAGE(OFFSET($H$3,0,0,'Données projet'!$E$11+1,1))</f>
        <v>162.87524915738271</v>
      </c>
      <c r="BJ41" s="59">
        <f t="shared" si="38"/>
        <v>249.37880137966658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18.578892331777546</v>
      </c>
      <c r="BQ41" s="21">
        <f>EXP(-LN(2)/25)*BQ40+(1-EXP(-LN(2)/25))/(LN(2)/25)*Calculateur!BL41*Calculateur!BN41*VLOOKUP('Données projet'!$B$11,Paramètres!$A$1:$I$89,3,0)*0.475*44/12</f>
        <v>42.474647063973244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61.053539395750789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9.6</v>
      </c>
      <c r="BY41" s="12">
        <f>IF('Données projet'!$A$114&gt;35,BY40+BX41-CG40,IF(A41&lt;'Données projet'!$A$114,$BV$205^A41,IF(A41='Données projet'!$A$114,'Données projet'!$B$114,BY40+BX41-CG40)))</f>
        <v>180.80000000000004</v>
      </c>
      <c r="BZ41" s="13">
        <f>BY41*VLOOKUP('Données projet'!$B$12,Paramètres!$A$1:$I$89,3,0)*VLOOKUP('Données projet'!$B$12,Paramètres!$A$1:$I$89,5,0)</f>
        <v>118.46016000000002</v>
      </c>
      <c r="CA41" s="13">
        <f t="shared" si="39"/>
        <v>31.315587396029674</v>
      </c>
      <c r="CB41" s="20">
        <f t="shared" si="10"/>
        <v>260.85942671475169</v>
      </c>
      <c r="CC41" s="59">
        <f t="shared" si="11"/>
        <v>554.19276004808501</v>
      </c>
      <c r="CD41" s="59">
        <f ca="1">AVERAGE(OFFSET($CC$3,0,0,'Données projet'!$E$12+1,1))-AVERAGE(OFFSET($H$3,0,0,'Données projet'!$E$12+1,1))</f>
        <v>119.88584888779422</v>
      </c>
      <c r="CE41" s="59">
        <f t="shared" si="40"/>
        <v>162.97244314258774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6.0840032187022413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6.0840032187022413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7</v>
      </c>
      <c r="CT41" s="12">
        <f>IF('Données projet'!$A$140&gt;35,CT40+CS41-DB40,IF(A41&lt;'Données projet'!$A$140,$CQ$205^A41,IF(A41='Données projet'!$A$140,'Données projet'!$B$140,CT40+CS41-DB40)))</f>
        <v>145</v>
      </c>
      <c r="CU41" s="17">
        <f>CT41*VLOOKUP('Données projet'!$B$13,Paramètres!$A$1:$I$89,3,0)*VLOOKUP('Données projet'!$B$13,Paramètres!$A$1:$I$89,5,0)</f>
        <v>147.03</v>
      </c>
      <c r="CV41" s="13">
        <f t="shared" si="41"/>
        <v>37.90285889427615</v>
      </c>
      <c r="CW41" s="20">
        <f t="shared" si="13"/>
        <v>322.09139590753097</v>
      </c>
      <c r="CX41" s="59">
        <f t="shared" si="14"/>
        <v>615.42472924086428</v>
      </c>
      <c r="CY41" s="59">
        <f ca="1">AVERAGE(OFFSET($CX$3,0,0,'Données projet'!$E$13+1,1))-AVERAGE(OFFSET($H$3,0,0,'Données projet'!$E$13+1,1))</f>
        <v>261.75887764015459</v>
      </c>
      <c r="CZ41" s="59">
        <f t="shared" si="42"/>
        <v>209.74127356028544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9.6</v>
      </c>
      <c r="DO41" s="12">
        <f>IF('Données projet'!$A$166&gt;35,DO40+DN41-DW40,IF(A41&lt;'Données projet'!$A$166,$DL$205^A41,IF(A41='Données projet'!$A$166,'Données projet'!$B$166,DO40+DN41-DW40)))</f>
        <v>187.80000000000004</v>
      </c>
      <c r="DP41" s="17">
        <f>DO41*VLOOKUP('Données projet'!$B$14,Paramètres!$A$1:$I$89,3,0)*VLOOKUP('Données projet'!$B$14,Paramètres!$A$1:$I$89,5,0)</f>
        <v>149.41368000000003</v>
      </c>
      <c r="DQ41" s="13">
        <f t="shared" si="43"/>
        <v>38.445311940929777</v>
      </c>
      <c r="DR41" s="20">
        <f t="shared" si="16"/>
        <v>327.18774429711937</v>
      </c>
      <c r="DS41" s="59">
        <f t="shared" si="17"/>
        <v>620.52107763045274</v>
      </c>
      <c r="DT41" s="59">
        <f ca="1">AVERAGE(OFFSET($DS$3,0,0,'Données projet'!$E$14+1,1))-AVERAGE(OFFSET($H$3,0,0,'Données projet'!$E$14+1,1))</f>
        <v>215.37468832969444</v>
      </c>
      <c r="DU41" s="59">
        <f t="shared" si="44"/>
        <v>208.60212063136419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5.8596698889949996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5.8596698889949996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9.6</v>
      </c>
      <c r="EJ41" s="12">
        <f>IF('Données projet'!$A$192&gt;35,EJ40+EI41-ER40,IF(A41&lt;'Données projet'!$A$192,$EG$205^A41,IF(A41='Données projet'!$A$192,'Données projet'!$B$192,EJ40+EI41-ER40)))</f>
        <v>187.80000000000004</v>
      </c>
      <c r="EK41" s="17">
        <f>EJ41*VLOOKUP('Données projet'!$B$15,Paramètres!$A$1:$I$89,3,0)*VLOOKUP('Données projet'!$B$15,Paramètres!$A$1:$I$89,5,0)</f>
        <v>149.41368000000003</v>
      </c>
      <c r="EL41" s="13">
        <f t="shared" si="45"/>
        <v>38.445311940929777</v>
      </c>
      <c r="EM41" s="20">
        <f t="shared" si="19"/>
        <v>327.18774429711937</v>
      </c>
      <c r="EN41" s="59">
        <f t="shared" si="20"/>
        <v>620.52107763045274</v>
      </c>
      <c r="EO41" s="59">
        <f ca="1">AVERAGE(OFFSET($EN$3,0,0,'Données projet'!$E$15+1,1))-AVERAGE(OFFSET($H$3,0,0,'Données projet'!$E$15+1,1))</f>
        <v>215.37468832969444</v>
      </c>
      <c r="EP41" s="59">
        <f t="shared" si="46"/>
        <v>208.60212063136419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5.8596698889949996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5.8596698889949996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187.80000000000004</v>
      </c>
      <c r="FF41" s="17">
        <f>FE41*VLOOKUP('Données projet'!$B$16,Paramètres!$A$1:$I$89,3,0)*VLOOKUP('Données projet'!$B$16,Paramètres!$A$1:$I$89,5,0)</f>
        <v>152.34336000000005</v>
      </c>
      <c r="FG41" s="13">
        <f t="shared" si="47"/>
        <v>39.110641186341127</v>
      </c>
      <c r="FH41" s="20">
        <f t="shared" si="22"/>
        <v>333.44905206621087</v>
      </c>
      <c r="FI41" s="59">
        <f t="shared" si="23"/>
        <v>626.78238539954418</v>
      </c>
      <c r="FJ41" s="59">
        <f ca="1">AVERAGE(OFFSET($FI$3,0,0,'Données projet'!$E$16+1,1))-AVERAGE(OFFSET($H$3,0,0,'Données projet'!$E$16+1,1))</f>
        <v>220.90439367987847</v>
      </c>
      <c r="FK41" s="59">
        <f t="shared" si="48"/>
        <v>213.66046131354858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5.9745653770145095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5.9745653770145095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1">
        <f t="shared" si="32"/>
        <v>9.7526401755191188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67">
        <f t="shared" si="1"/>
        <v>365.41994163902905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187</v>
      </c>
      <c r="O42" s="13">
        <f>N42*VLOOKUP('Données projet'!$B$9,Paramètres!$A$1:$I$89,3,0)*VLOOKUP('Données projet'!$B$9,Paramètres!$A$1:$I$89,5,0)</f>
        <v>87.515999999999991</v>
      </c>
      <c r="P42" s="13">
        <f t="shared" si="33"/>
        <v>23.965171662037644</v>
      </c>
      <c r="Q42" s="20">
        <f t="shared" si="53"/>
        <v>194.16304064471555</v>
      </c>
      <c r="R42" s="59">
        <f t="shared" si="0"/>
        <v>487.49637397804884</v>
      </c>
      <c r="S42" s="59">
        <f ca="1">AVERAGE(OFFSET($R$3,0,0,'Données projet'!$E$9+1,1))-AVERAGE(OFFSET($H$3,0,0,'Données projet'!$E$9+1,1))</f>
        <v>196.72624686715807</v>
      </c>
      <c r="T42" s="59">
        <f t="shared" si="34"/>
        <v>37.315661698104691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</v>
      </c>
      <c r="AI42" s="13">
        <f>IF('Données projet'!$A$62&gt;35,AI41+AH42-AQ41,IF(A42&lt;'Données projet'!$A$62,$AF$205^A42,IF(A42='Données projet'!$A$62,'Données projet'!$B$62,AI41+AH42-AQ41)))</f>
        <v>466.00000000000017</v>
      </c>
      <c r="AJ42" s="13">
        <f>AI42*VLOOKUP('Données projet'!$B$10,Paramètres!$A$1:$I$89,3,0)*VLOOKUP('Données projet'!$B$10,Paramètres!$A$1:$I$89,5,0)</f>
        <v>260.49400000000014</v>
      </c>
      <c r="AK42" s="13">
        <f t="shared" si="35"/>
        <v>62.827667157228902</v>
      </c>
      <c r="AL42" s="20">
        <f t="shared" si="4"/>
        <v>563.11857029884061</v>
      </c>
      <c r="AM42" s="59">
        <f t="shared" si="5"/>
        <v>856.45190363217398</v>
      </c>
      <c r="AN42" s="59">
        <f ca="1">AVERAGE(OFFSET($AM$3,0,0,'Données projet'!$E$10+1,1))-AVERAGE(OFFSET($H$3,0,0,'Données projet'!$E$10+1,1))</f>
        <v>325.42940802362739</v>
      </c>
      <c r="AO42" s="59">
        <f t="shared" si="36"/>
        <v>388.87198417542277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31.489769734360408</v>
      </c>
      <c r="AV42" s="21">
        <f>EXP(-LN(2)/25)*AV41+(1-EXP(-LN(2)/25))/(LN(2)/25)*Calculateur!AQ42*Calculateur!AS42*VLOOKUP('Données projet'!$B$10,Paramètres!$A$1:$I$89,3,0)*0.475*44/12</f>
        <v>18.606413673694806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50.096183408055211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219.5</v>
      </c>
      <c r="BE42" s="13">
        <f>BD42*VLOOKUP('Données projet'!$B$11,Paramètres!$A$1:$I$89,3,0)*VLOOKUP('Données projet'!$B$11,Paramètres!$A$1:$I$89,5,0)</f>
        <v>136.96800000000002</v>
      </c>
      <c r="BF42" s="13">
        <f t="shared" si="37"/>
        <v>35.601534242652292</v>
      </c>
      <c r="BG42" s="20">
        <f t="shared" si="7"/>
        <v>300.55860547261943</v>
      </c>
      <c r="BH42" s="59">
        <f t="shared" si="8"/>
        <v>593.8919388059528</v>
      </c>
      <c r="BI42" s="59">
        <f ca="1">AVERAGE(OFFSET($BH$3,0,0,'Données projet'!$E$11+1,1))-AVERAGE(OFFSET($H$3,0,0,'Données projet'!$E$11+1,1))</f>
        <v>162.87524915738271</v>
      </c>
      <c r="BJ42" s="59">
        <f t="shared" si="38"/>
        <v>249.37880137966658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18.214571585156769</v>
      </c>
      <c r="BQ42" s="21">
        <f>EXP(-LN(2)/25)*BQ41+(1-EXP(-LN(2)/25))/(LN(2)/25)*Calculateur!BL42*Calculateur!BN42*VLOOKUP('Données projet'!$B$11,Paramètres!$A$1:$I$89,3,0)*0.475*44/12</f>
        <v>41.313175606364283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59.527747191521051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9.6</v>
      </c>
      <c r="BY42" s="12">
        <f>IF('Données projet'!$A$114&gt;35,BY41+BX42-CG41,IF(A42&lt;'Données projet'!$A$114,$BV$205^A42,IF(A42='Données projet'!$A$114,'Données projet'!$B$114,BY41+BX42-CG41)))</f>
        <v>190.40000000000003</v>
      </c>
      <c r="BZ42" s="13">
        <f>BY42*VLOOKUP('Données projet'!$B$12,Paramètres!$A$1:$I$89,3,0)*VLOOKUP('Données projet'!$B$12,Paramètres!$A$1:$I$89,5,0)</f>
        <v>124.75008000000003</v>
      </c>
      <c r="CA42" s="13">
        <f t="shared" si="39"/>
        <v>32.780361960132396</v>
      </c>
      <c r="CB42" s="20">
        <f t="shared" si="10"/>
        <v>274.36551974723062</v>
      </c>
      <c r="CC42" s="59">
        <f t="shared" si="11"/>
        <v>567.69885308056394</v>
      </c>
      <c r="CD42" s="59">
        <f ca="1">AVERAGE(OFFSET($CC$3,0,0,'Données projet'!$E$12+1,1))-AVERAGE(OFFSET($H$3,0,0,'Données projet'!$E$12+1,1))</f>
        <v>119.88584888779422</v>
      </c>
      <c r="CE42" s="59">
        <f t="shared" si="40"/>
        <v>162.97244314258774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5.9176358307430048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5.9176358307430048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7</v>
      </c>
      <c r="CT42" s="12">
        <f>IF('Données projet'!$A$140&gt;35,CT41+CS42-DB41,IF(A42&lt;'Données projet'!$A$140,$CQ$205^A42,IF(A42='Données projet'!$A$140,'Données projet'!$B$140,CT41+CS42-DB41)))</f>
        <v>152</v>
      </c>
      <c r="CU42" s="17">
        <f>CT42*VLOOKUP('Données projet'!$B$13,Paramètres!$A$1:$I$89,3,0)*VLOOKUP('Données projet'!$B$13,Paramètres!$A$1:$I$89,5,0)</f>
        <v>154.12800000000001</v>
      </c>
      <c r="CV42" s="13">
        <f t="shared" si="41"/>
        <v>39.515201075361155</v>
      </c>
      <c r="CW42" s="20">
        <f t="shared" si="13"/>
        <v>337.26190853958735</v>
      </c>
      <c r="CX42" s="59">
        <f t="shared" si="14"/>
        <v>630.59524187292072</v>
      </c>
      <c r="CY42" s="59">
        <f ca="1">AVERAGE(OFFSET($CX$3,0,0,'Données projet'!$E$13+1,1))-AVERAGE(OFFSET($H$3,0,0,'Données projet'!$E$13+1,1))</f>
        <v>261.75887764015459</v>
      </c>
      <c r="CZ42" s="59">
        <f t="shared" si="42"/>
        <v>209.74127356028544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9.6</v>
      </c>
      <c r="DO42" s="12">
        <f>IF('Données projet'!$A$166&gt;35,DO41+DN42-DW41,IF(A42&lt;'Données projet'!$A$166,$DL$205^A42,IF(A42='Données projet'!$A$166,'Données projet'!$B$166,DO41+DN42-DW41)))</f>
        <v>197.40000000000003</v>
      </c>
      <c r="DP42" s="17">
        <f>DO42*VLOOKUP('Données projet'!$B$14,Paramètres!$A$1:$I$89,3,0)*VLOOKUP('Données projet'!$B$14,Paramètres!$A$1:$I$89,5,0)</f>
        <v>157.05144000000004</v>
      </c>
      <c r="DQ42" s="13">
        <f t="shared" si="43"/>
        <v>40.176741230099744</v>
      </c>
      <c r="DR42" s="20">
        <f t="shared" si="16"/>
        <v>343.50574897575711</v>
      </c>
      <c r="DS42" s="59">
        <f t="shared" si="17"/>
        <v>636.83908230909037</v>
      </c>
      <c r="DT42" s="59">
        <f ca="1">AVERAGE(OFFSET($DS$3,0,0,'Données projet'!$E$14+1,1))-AVERAGE(OFFSET($H$3,0,0,'Données projet'!$E$14+1,1))</f>
        <v>215.37468832969444</v>
      </c>
      <c r="DU42" s="59">
        <f t="shared" si="44"/>
        <v>208.60212063136419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5.7447653365175322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5.7447653365175322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9.6</v>
      </c>
      <c r="EJ42" s="12">
        <f>IF('Données projet'!$A$192&gt;35,EJ41+EI42-ER41,IF(A42&lt;'Données projet'!$A$192,$EG$205^A42,IF(A42='Données projet'!$A$192,'Données projet'!$B$192,EJ41+EI42-ER41)))</f>
        <v>197.40000000000003</v>
      </c>
      <c r="EK42" s="17">
        <f>EJ42*VLOOKUP('Données projet'!$B$15,Paramètres!$A$1:$I$89,3,0)*VLOOKUP('Données projet'!$B$15,Paramètres!$A$1:$I$89,5,0)</f>
        <v>157.05144000000004</v>
      </c>
      <c r="EL42" s="13">
        <f t="shared" si="45"/>
        <v>40.176741230099744</v>
      </c>
      <c r="EM42" s="20">
        <f t="shared" si="19"/>
        <v>343.50574897575711</v>
      </c>
      <c r="EN42" s="59">
        <f t="shared" si="20"/>
        <v>636.83908230909037</v>
      </c>
      <c r="EO42" s="59">
        <f ca="1">AVERAGE(OFFSET($EN$3,0,0,'Données projet'!$E$15+1,1))-AVERAGE(OFFSET($H$3,0,0,'Données projet'!$E$15+1,1))</f>
        <v>215.37468832969444</v>
      </c>
      <c r="EP42" s="59">
        <f t="shared" si="46"/>
        <v>208.60212063136419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5.7447653365175322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5.7447653365175322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197.40000000000003</v>
      </c>
      <c r="FF42" s="17">
        <f>FE42*VLOOKUP('Données projet'!$B$16,Paramètres!$A$1:$I$89,3,0)*VLOOKUP('Données projet'!$B$16,Paramètres!$A$1:$I$89,5,0)</f>
        <v>160.13088000000005</v>
      </c>
      <c r="FG42" s="13">
        <f t="shared" si="47"/>
        <v>40.872034351060186</v>
      </c>
      <c r="FH42" s="20">
        <f t="shared" si="22"/>
        <v>350.0800758280966</v>
      </c>
      <c r="FI42" s="59">
        <f t="shared" si="23"/>
        <v>643.41340916142985</v>
      </c>
      <c r="FJ42" s="59">
        <f ca="1">AVERAGE(OFFSET($FI$3,0,0,'Données projet'!$E$16+1,1))-AVERAGE(OFFSET($H$3,0,0,'Données projet'!$E$16+1,1))</f>
        <v>220.90439367987847</v>
      </c>
      <c r="FK42" s="59">
        <f t="shared" si="48"/>
        <v>213.66046131354858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5.8574077940963072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5.8574077940963072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1">
        <f t="shared" si="32"/>
        <v>9.9732733567093845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67">
        <f t="shared" si="1"/>
        <v>367.21705109626879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198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198</v>
      </c>
      <c r="O43" s="13">
        <f>N43*VLOOKUP('Données projet'!$B$9,Paramètres!$A$1:$I$89,3,0)*VLOOKUP('Données projet'!$B$9,Paramètres!$A$1:$I$89,5,0)</f>
        <v>92.664000000000001</v>
      </c>
      <c r="P43" s="13">
        <f t="shared" si="33"/>
        <v>25.206622814445748</v>
      </c>
      <c r="Q43" s="20">
        <f t="shared" si="53"/>
        <v>205.29133473515969</v>
      </c>
      <c r="R43" s="59">
        <f t="shared" si="0"/>
        <v>498.62466806849301</v>
      </c>
      <c r="S43" s="59">
        <f ca="1">AVERAGE(OFFSET($R$3,0,0,'Données projet'!$E$9+1,1))-AVERAGE(OFFSET($H$3,0,0,'Données projet'!$E$9+1,1))</f>
        <v>196.72624686715807</v>
      </c>
      <c r="T43" s="59">
        <f t="shared" si="34"/>
        <v>37.315661698104691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492</v>
      </c>
      <c r="AG43" s="12">
        <f>VLOOKUP(A43,'Données projet'!$A$61:$I$81,9,0)</f>
        <v>25</v>
      </c>
      <c r="AH43" s="12">
        <f t="array" ref="AH43">INDEX(AG:AG,MIN(IF(ISNUMBER(AG43:AG239),ROW(AG43:AG239),"")))</f>
        <v>25</v>
      </c>
      <c r="AI43" s="13">
        <f>IF('Données projet'!$A$62&gt;35,AI42+AH43-AQ42,IF(A43&lt;'Données projet'!$A$62,$AF$205^A43,IF(A43='Données projet'!$A$62,'Données projet'!$B$62,AI42+AH43-AQ42)))</f>
        <v>491.00000000000017</v>
      </c>
      <c r="AJ43" s="13">
        <f>AI43*VLOOKUP('Données projet'!$B$10,Paramètres!$A$1:$I$89,3,0)*VLOOKUP('Données projet'!$B$10,Paramètres!$A$1:$I$89,5,0)</f>
        <v>274.46900000000011</v>
      </c>
      <c r="AK43" s="13">
        <f t="shared" si="35"/>
        <v>65.796795812732981</v>
      </c>
      <c r="AL43" s="20">
        <f t="shared" si="4"/>
        <v>592.62959437384336</v>
      </c>
      <c r="AM43" s="59">
        <f t="shared" si="5"/>
        <v>885.96292770717673</v>
      </c>
      <c r="AN43" s="59">
        <f ca="1">AVERAGE(OFFSET($AM$3,0,0,'Données projet'!$E$10+1,1))-AVERAGE(OFFSET($H$3,0,0,'Données projet'!$E$10+1,1))</f>
        <v>325.42940802362739</v>
      </c>
      <c r="AO43" s="59">
        <f t="shared" si="36"/>
        <v>388.87198417542277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0.35750000000000004</v>
      </c>
      <c r="AS43" s="16">
        <f>IF(ISNA(VLOOKUP(A43,'Données projet'!$A$61:$I$81,6,0)),0%,VLOOKUP(A43,'Données projet'!$A$61:$I$81,6,0)*VLOOKUP('Données projet'!$B$10,Paramètres!$A$1:$I$89,7,0))</f>
        <v>0.13750000000000001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49.959759474137314</v>
      </c>
      <c r="AV43" s="21">
        <f>EXP(-LN(2)/25)*AV42+(1-EXP(-LN(2)/25))/(LN(2)/25)*Calculateur!AQ43*Calculateur!AS43*VLOOKUP('Données projet'!$B$10,Paramètres!$A$1:$I$89,3,0)*0.475*44/12</f>
        <v>25.410055011927675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75.369814486064996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231</v>
      </c>
      <c r="BE43" s="13">
        <f>BD43*VLOOKUP('Données projet'!$B$11,Paramètres!$A$1:$I$89,3,0)*VLOOKUP('Données projet'!$B$11,Paramètres!$A$1:$I$89,5,0)</f>
        <v>144.14400000000001</v>
      </c>
      <c r="BF43" s="13">
        <f t="shared" si="37"/>
        <v>37.244720006976252</v>
      </c>
      <c r="BG43" s="20">
        <f t="shared" si="7"/>
        <v>315.91868734548365</v>
      </c>
      <c r="BH43" s="59">
        <f t="shared" si="8"/>
        <v>609.25202067881696</v>
      </c>
      <c r="BI43" s="59">
        <f ca="1">AVERAGE(OFFSET($BH$3,0,0,'Données projet'!$E$11+1,1))-AVERAGE(OFFSET($H$3,0,0,'Données projet'!$E$11+1,1))</f>
        <v>162.87524915738271</v>
      </c>
      <c r="BJ43" s="59">
        <f t="shared" si="38"/>
        <v>249.37880137966658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17.85739494616351</v>
      </c>
      <c r="BQ43" s="21">
        <f>EXP(-LN(2)/25)*BQ42+(1-EXP(-LN(2)/25))/(LN(2)/25)*Calculateur!BL43*Calculateur!BN43*VLOOKUP('Données projet'!$B$11,Paramètres!$A$1:$I$89,3,0)*0.475*44/12</f>
        <v>40.183464646842772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58.040859593006282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200</v>
      </c>
      <c r="BW43" s="12">
        <f>VLOOKUP(A43,'Données projet'!$A$113:$I$133,9,0)</f>
        <v>9.6</v>
      </c>
      <c r="BX43" s="12">
        <f t="array" ref="BX43">INDEX(BW:BW,MIN(IF(ISNUMBER(BW43:BW239),ROW(BW43:BW239),"")))</f>
        <v>9.6</v>
      </c>
      <c r="BY43" s="12">
        <f>IF('Données projet'!$A$114&gt;35,BY42+BX43-CG42,IF(A43&lt;'Données projet'!$A$114,$BV$205^A43,IF(A43='Données projet'!$A$114,'Données projet'!$B$114,BY42+BX43-CG42)))</f>
        <v>200.00000000000003</v>
      </c>
      <c r="BZ43" s="13">
        <f>BY43*VLOOKUP('Données projet'!$B$12,Paramètres!$A$1:$I$89,3,0)*VLOOKUP('Données projet'!$B$12,Paramètres!$A$1:$I$89,5,0)</f>
        <v>131.04000000000002</v>
      </c>
      <c r="CA43" s="13">
        <f t="shared" si="39"/>
        <v>34.236561238949918</v>
      </c>
      <c r="CB43" s="20">
        <f t="shared" si="10"/>
        <v>287.85667749117118</v>
      </c>
      <c r="CC43" s="59">
        <f t="shared" si="11"/>
        <v>581.1900108245045</v>
      </c>
      <c r="CD43" s="59">
        <f ca="1">AVERAGE(OFFSET($CC$3,0,0,'Données projet'!$E$12+1,1))-AVERAGE(OFFSET($H$3,0,0,'Données projet'!$E$12+1,1))</f>
        <v>119.88584888779422</v>
      </c>
      <c r="CE43" s="59">
        <f t="shared" si="40"/>
        <v>162.97244314258774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8.6000000000000007E-2</v>
      </c>
      <c r="CI43" s="16">
        <f>IF(ISNA(VLOOKUP(A43,'Données projet'!$A$113:$I$133,6,0)),0%,VLOOKUP(A43,'Données projet'!$A$113:$I$133,6,0)*VLOOKUP('Données projet'!$B$12,Paramètres!$A$1:$I$89,7,0))</f>
        <v>0.15049999999999999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2.180155619936667</v>
      </c>
      <c r="CL43" s="21">
        <f>EXP(-LN(2)/25)*CL42+(1-EXP(-LN(2)/25))/(LN(2)/25)*Calculateur!CG43*Calculateur!CI43*VLOOKUP('Données projet'!$B$12,Paramètres!$A$1:$I$89,3,0)*0.475*44/12</f>
        <v>9.5560679217303708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11.736223541667037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159</v>
      </c>
      <c r="CR43" s="12">
        <f>VLOOKUP(A43,'Données projet'!$A$139:$I$159,9,0)</f>
        <v>7</v>
      </c>
      <c r="CS43" s="12">
        <f t="array" ref="CS43">INDEX(CR:CR,MIN(IF(ISNUMBER(CR43:CR239),ROW(CR43:CR239),"")))</f>
        <v>7</v>
      </c>
      <c r="CT43" s="12">
        <f>IF('Données projet'!$A$140&gt;35,CT42+CS43-DB42,IF(A43&lt;'Données projet'!$A$140,$CQ$205^A43,IF(A43='Données projet'!$A$140,'Données projet'!$B$140,CT42+CS43-DB42)))</f>
        <v>159</v>
      </c>
      <c r="CU43" s="17">
        <f>CT43*VLOOKUP('Données projet'!$B$13,Paramètres!$A$1:$I$89,3,0)*VLOOKUP('Données projet'!$B$13,Paramètres!$A$1:$I$89,5,0)</f>
        <v>161.22600000000003</v>
      </c>
      <c r="CV43" s="13">
        <f t="shared" si="41"/>
        <v>41.118920159482528</v>
      </c>
      <c r="CW43" s="20">
        <f t="shared" si="13"/>
        <v>352.41740261109879</v>
      </c>
      <c r="CX43" s="59">
        <f t="shared" si="14"/>
        <v>645.75073594443211</v>
      </c>
      <c r="CY43" s="59">
        <f ca="1">AVERAGE(OFFSET($CX$3,0,0,'Données projet'!$E$13+1,1))-AVERAGE(OFFSET($H$3,0,0,'Données projet'!$E$13+1,1))</f>
        <v>261.75887764015459</v>
      </c>
      <c r="CZ43" s="59">
        <f t="shared" si="42"/>
        <v>209.74127356028544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207</v>
      </c>
      <c r="DM43" s="12">
        <f>VLOOKUP(A43,'Données projet'!$A$165:$I$185,9,0)</f>
        <v>9.6</v>
      </c>
      <c r="DN43" s="12">
        <f t="array" ref="DN43">INDEX(DM:DM,MIN(IF(ISNUMBER(DM43:DM239),ROW(DM43:DM239),"")))</f>
        <v>9.6</v>
      </c>
      <c r="DO43" s="12">
        <f>IF('Données projet'!$A$166&gt;35,DO42+DN43-DW42,IF(A43&lt;'Données projet'!$A$166,$DL$205^A43,IF(A43='Données projet'!$A$166,'Données projet'!$B$166,DO42+DN43-DW42)))</f>
        <v>207.00000000000003</v>
      </c>
      <c r="DP43" s="17">
        <f>DO43*VLOOKUP('Données projet'!$B$14,Paramètres!$A$1:$I$89,3,0)*VLOOKUP('Données projet'!$B$14,Paramètres!$A$1:$I$89,5,0)</f>
        <v>164.68920000000003</v>
      </c>
      <c r="DQ43" s="13">
        <f t="shared" si="43"/>
        <v>41.898392881067181</v>
      </c>
      <c r="DR43" s="20">
        <f t="shared" si="16"/>
        <v>359.80672426785873</v>
      </c>
      <c r="DS43" s="59">
        <f t="shared" si="17"/>
        <v>653.14005760119198</v>
      </c>
      <c r="DT43" s="59">
        <f ca="1">AVERAGE(OFFSET($DS$3,0,0,'Données projet'!$E$14+1,1))-AVERAGE(OFFSET($H$3,0,0,'Données projet'!$E$14+1,1))</f>
        <v>215.37468832969444</v>
      </c>
      <c r="DU43" s="59">
        <f t="shared" si="44"/>
        <v>208.60212063136419</v>
      </c>
      <c r="DV43" s="15">
        <f>IF(ISNA(VLOOKUP(A43,'Données projet'!$A$165:$I$185,3,0)),0,VLOOKUP(A43,'Données projet'!$A$165:$I$185,3,0))</f>
        <v>5</v>
      </c>
      <c r="DW43" s="15">
        <f>IF(ISNA(VLOOKUP(A43,'Données projet'!$A$165:$I$185,4,0)),0,VLOOKUP(A43,'Données projet'!$A$165:$I$185,4,0))</f>
        <v>28</v>
      </c>
      <c r="DX43" s="16">
        <f>IF(ISNA(VLOOKUP(A43,'Données projet'!$A$165:$I$185,5,0)),0%,VLOOKUP(A43,'Données projet'!$A$165:$I$185,5,0)*VLOOKUP('Données projet'!$B$14,Paramètres!$A$1:$I$89,7,0))</f>
        <v>0.159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9.5477024578032506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9.5477024578032506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207</v>
      </c>
      <c r="EH43" s="12">
        <f>VLOOKUP(A43,'Données projet'!$A$191:$I$211,9,0)</f>
        <v>9.6</v>
      </c>
      <c r="EI43" s="12">
        <f t="array" ref="EI43">INDEX(EH:EH,MIN(IF(ISNUMBER(EH43:EH239),ROW(EH43:EH239),"")))</f>
        <v>9.6</v>
      </c>
      <c r="EJ43" s="12">
        <f>IF('Données projet'!$A$192&gt;35,EJ42+EI43-ER42,IF(A43&lt;'Données projet'!$A$192,$EG$205^A43,IF(A43='Données projet'!$A$192,'Données projet'!$B$192,EJ42+EI43-ER42)))</f>
        <v>207.00000000000003</v>
      </c>
      <c r="EK43" s="17">
        <f>EJ43*VLOOKUP('Données projet'!$B$15,Paramètres!$A$1:$I$89,3,0)*VLOOKUP('Données projet'!$B$15,Paramètres!$A$1:$I$89,5,0)</f>
        <v>164.68920000000003</v>
      </c>
      <c r="EL43" s="13">
        <f t="shared" si="45"/>
        <v>41.898392881067181</v>
      </c>
      <c r="EM43" s="20">
        <f t="shared" si="19"/>
        <v>359.80672426785873</v>
      </c>
      <c r="EN43" s="59">
        <f t="shared" si="20"/>
        <v>653.14005760119198</v>
      </c>
      <c r="EO43" s="59">
        <f ca="1">AVERAGE(OFFSET($EN$3,0,0,'Données projet'!$E$15+1,1))-AVERAGE(OFFSET($H$3,0,0,'Données projet'!$E$15+1,1))</f>
        <v>215.37468832969444</v>
      </c>
      <c r="EP43" s="59">
        <f t="shared" si="46"/>
        <v>208.60212063136419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0.159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9.5477024578032506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9.5477024578032506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207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207.00000000000003</v>
      </c>
      <c r="FF43" s="17">
        <f>FE43*VLOOKUP('Données projet'!$B$16,Paramètres!$A$1:$I$89,3,0)*VLOOKUP('Données projet'!$B$16,Paramètres!$A$1:$I$89,5,0)</f>
        <v>167.91840000000002</v>
      </c>
      <c r="FG43" s="13">
        <f t="shared" si="47"/>
        <v>42.623480667123907</v>
      </c>
      <c r="FH43" s="20">
        <f t="shared" si="22"/>
        <v>366.6937754952408</v>
      </c>
      <c r="FI43" s="59">
        <f t="shared" si="23"/>
        <v>660.02710882857411</v>
      </c>
      <c r="FJ43" s="59">
        <f ca="1">AVERAGE(OFFSET($FI$3,0,0,'Données projet'!$E$16+1,1))-AVERAGE(OFFSET($H$3,0,0,'Données projet'!$E$16+1,1))</f>
        <v>220.90439367987847</v>
      </c>
      <c r="FK43" s="59">
        <f t="shared" si="48"/>
        <v>213.66046131354858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0.159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9.7349123099170409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9.7349123099170409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1">
        <f t="shared" si="32"/>
        <v>10.193265358024181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67">
        <f t="shared" si="1"/>
        <v>369.01304383189211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17</v>
      </c>
      <c r="N44" s="13">
        <f>IF('Données projet'!$A$36&gt;35,N43+M44-V43,IF(A44&lt;'Données projet'!$A$36,$K$205^A44,IF(A44='Données projet'!$A$36,'Données projet'!$B$36,N43+M44-V43)))</f>
        <v>215</v>
      </c>
      <c r="O44" s="13">
        <f>N44*VLOOKUP('Données projet'!$B$9,Paramètres!$A$1:$I$89,3,0)*VLOOKUP('Données projet'!$B$9,Paramètres!$A$1:$I$89,5,0)</f>
        <v>100.61999999999999</v>
      </c>
      <c r="P44" s="13">
        <f t="shared" si="33"/>
        <v>27.10965082293415</v>
      </c>
      <c r="Q44" s="20">
        <f t="shared" si="53"/>
        <v>222.46247518327695</v>
      </c>
      <c r="R44" s="59">
        <f t="shared" si="0"/>
        <v>515.79580851661024</v>
      </c>
      <c r="S44" s="59">
        <f ca="1">AVERAGE(OFFSET($R$3,0,0,'Données projet'!$E$9+1,1))-AVERAGE(OFFSET($H$3,0,0,'Données projet'!$E$9+1,1))</f>
        <v>196.72624686715807</v>
      </c>
      <c r="T44" s="59">
        <f t="shared" si="34"/>
        <v>37.315661698104691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24</v>
      </c>
      <c r="AI44" s="13">
        <f>IF('Données projet'!$A$62&gt;35,AI43+AH44-AQ43,IF(A44&lt;'Données projet'!$A$62,$AF$205^A44,IF(A44='Données projet'!$A$62,'Données projet'!$B$62,AI43+AH44-AQ43)))</f>
        <v>443.00000000000023</v>
      </c>
      <c r="AJ44" s="13">
        <f>AI44*VLOOKUP('Données projet'!$B$10,Paramètres!$A$1:$I$89,3,0)*VLOOKUP('Données projet'!$B$10,Paramètres!$A$1:$I$89,5,0)</f>
        <v>247.63700000000014</v>
      </c>
      <c r="AK44" s="13">
        <f t="shared" si="35"/>
        <v>60.079660628698583</v>
      </c>
      <c r="AL44" s="20">
        <f t="shared" si="4"/>
        <v>535.93985059498357</v>
      </c>
      <c r="AM44" s="59">
        <f t="shared" si="5"/>
        <v>829.27318392831694</v>
      </c>
      <c r="AN44" s="59">
        <f ca="1">AVERAGE(OFFSET($AM$3,0,0,'Données projet'!$E$10+1,1))-AVERAGE(OFFSET($H$3,0,0,'Données projet'!$E$10+1,1))</f>
        <v>325.42940802362739</v>
      </c>
      <c r="AO44" s="59">
        <f t="shared" si="36"/>
        <v>388.87198417542277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48.980079063293857</v>
      </c>
      <c r="AV44" s="21">
        <f>EXP(-LN(2)/25)*AV43+(1-EXP(-LN(2)/25))/(LN(2)/25)*Calculateur!AQ44*Calculateur!AS44*VLOOKUP('Données projet'!$B$10,Paramètres!$A$1:$I$89,3,0)*0.475*44/12</f>
        <v>24.715215721369795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73.695294784663645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242.5</v>
      </c>
      <c r="BE44" s="13">
        <f>BD44*VLOOKUP('Données projet'!$B$11,Paramètres!$A$1:$I$89,3,0)*VLOOKUP('Données projet'!$B$11,Paramètres!$A$1:$I$89,5,0)</f>
        <v>151.32</v>
      </c>
      <c r="BF44" s="13">
        <f t="shared" si="37"/>
        <v>38.878407223223114</v>
      </c>
      <c r="BG44" s="20">
        <f t="shared" si="7"/>
        <v>331.26222591378024</v>
      </c>
      <c r="BH44" s="59">
        <f t="shared" si="8"/>
        <v>624.59555924711356</v>
      </c>
      <c r="BI44" s="59">
        <f ca="1">AVERAGE(OFFSET($BH$3,0,0,'Données projet'!$E$11+1,1))-AVERAGE(OFFSET($H$3,0,0,'Données projet'!$E$11+1,1))</f>
        <v>162.87524915738271</v>
      </c>
      <c r="BJ44" s="59">
        <f t="shared" si="38"/>
        <v>249.37880137966658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17.507222323204672</v>
      </c>
      <c r="BQ44" s="21">
        <f>EXP(-LN(2)/25)*BQ43+(1-EXP(-LN(2)/25))/(LN(2)/25)*Calculateur!BL44*Calculateur!BN44*VLOOKUP('Données projet'!$B$11,Paramètres!$A$1:$I$89,3,0)*0.475*44/12</f>
        <v>39.084645692918293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56.591868016122966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8.1999999999999993</v>
      </c>
      <c r="BY44" s="12">
        <f>IF('Données projet'!$A$114&gt;35,BY43+BX44-CG43,IF(A44&lt;'Données projet'!$A$114,$BV$205^A44,IF(A44='Données projet'!$A$114,'Données projet'!$B$114,BY43+BX44-CG43)))</f>
        <v>173.20000000000002</v>
      </c>
      <c r="BZ44" s="13">
        <f>BY44*VLOOKUP('Données projet'!$B$12,Paramètres!$A$1:$I$89,3,0)*VLOOKUP('Données projet'!$B$12,Paramètres!$A$1:$I$89,5,0)</f>
        <v>113.48064000000001</v>
      </c>
      <c r="CA44" s="13">
        <f t="shared" si="39"/>
        <v>30.149557782596045</v>
      </c>
      <c r="CB44" s="20">
        <f t="shared" si="10"/>
        <v>250.15592780468808</v>
      </c>
      <c r="CC44" s="59">
        <f t="shared" si="11"/>
        <v>543.48926113802145</v>
      </c>
      <c r="CD44" s="59">
        <f ca="1">AVERAGE(OFFSET($CC$3,0,0,'Données projet'!$E$12+1,1))-AVERAGE(OFFSET($H$3,0,0,'Données projet'!$E$12+1,1))</f>
        <v>119.88584888779422</v>
      </c>
      <c r="CE44" s="59">
        <f t="shared" si="40"/>
        <v>162.97244314258774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2.137404097993334</v>
      </c>
      <c r="CL44" s="21">
        <f>EXP(-LN(2)/25)*CL43+(1-EXP(-LN(2)/25))/(LN(2)/25)*Calculateur!CG44*Calculateur!CI44*VLOOKUP('Données projet'!$B$12,Paramètres!$A$1:$I$89,3,0)*0.475*44/12</f>
        <v>9.2947567418788832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11.432160839872218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7</v>
      </c>
      <c r="CT44" s="12">
        <f>IF('Données projet'!$A$140&gt;35,CT43+CS44-DB43,IF(A44&lt;'Données projet'!$A$140,$CQ$205^A44,IF(A44='Données projet'!$A$140,'Données projet'!$B$140,CT43+CS44-DB43)))</f>
        <v>166</v>
      </c>
      <c r="CU44" s="17">
        <f>CT44*VLOOKUP('Données projet'!$B$13,Paramètres!$A$1:$I$89,3,0)*VLOOKUP('Données projet'!$B$13,Paramètres!$A$1:$I$89,5,0)</f>
        <v>168.32400000000001</v>
      </c>
      <c r="CV44" s="13">
        <f t="shared" si="41"/>
        <v>42.71443916408608</v>
      </c>
      <c r="CW44" s="20">
        <f t="shared" si="13"/>
        <v>367.55861487745</v>
      </c>
      <c r="CX44" s="59">
        <f t="shared" si="14"/>
        <v>660.89194821078331</v>
      </c>
      <c r="CY44" s="59">
        <f ca="1">AVERAGE(OFFSET($CX$3,0,0,'Données projet'!$E$13+1,1))-AVERAGE(OFFSET($H$3,0,0,'Données projet'!$E$13+1,1))</f>
        <v>261.75887764015459</v>
      </c>
      <c r="CZ44" s="59">
        <f t="shared" si="42"/>
        <v>209.74127356028544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8.1999999999999993</v>
      </c>
      <c r="DO44" s="12">
        <f>IF('Données projet'!$A$166&gt;35,DO43+DN44-DW43,IF(A44&lt;'Données projet'!$A$166,$DL$205^A44,IF(A44='Données projet'!$A$166,'Données projet'!$B$166,DO43+DN44-DW43)))</f>
        <v>187.20000000000002</v>
      </c>
      <c r="DP44" s="17">
        <f>DO44*VLOOKUP('Données projet'!$B$14,Paramètres!$A$1:$I$89,3,0)*VLOOKUP('Données projet'!$B$14,Paramètres!$A$1:$I$89,5,0)</f>
        <v>148.93632000000002</v>
      </c>
      <c r="DQ44" s="13">
        <f t="shared" si="43"/>
        <v>38.336760497889323</v>
      </c>
      <c r="DR44" s="20">
        <f t="shared" si="16"/>
        <v>326.16728186715721</v>
      </c>
      <c r="DS44" s="59">
        <f t="shared" si="17"/>
        <v>619.50061520049053</v>
      </c>
      <c r="DT44" s="59">
        <f ca="1">AVERAGE(OFFSET($DS$3,0,0,'Données projet'!$E$14+1,1))-AVERAGE(OFFSET($H$3,0,0,'Données projet'!$E$14+1,1))</f>
        <v>215.37468832969444</v>
      </c>
      <c r="DU44" s="59">
        <f t="shared" si="44"/>
        <v>208.60212063136419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9.3604778361292027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9.3604778361292027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8.1999999999999993</v>
      </c>
      <c r="EJ44" s="12">
        <f>IF('Données projet'!$A$192&gt;35,EJ43+EI44-ER43,IF(A44&lt;'Données projet'!$A$192,$EG$205^A44,IF(A44='Données projet'!$A$192,'Données projet'!$B$192,EJ43+EI44-ER43)))</f>
        <v>187.20000000000002</v>
      </c>
      <c r="EK44" s="17">
        <f>EJ44*VLOOKUP('Données projet'!$B$15,Paramètres!$A$1:$I$89,3,0)*VLOOKUP('Données projet'!$B$15,Paramètres!$A$1:$I$89,5,0)</f>
        <v>148.93632000000002</v>
      </c>
      <c r="EL44" s="13">
        <f t="shared" si="45"/>
        <v>38.336760497889323</v>
      </c>
      <c r="EM44" s="20">
        <f t="shared" si="19"/>
        <v>326.16728186715721</v>
      </c>
      <c r="EN44" s="59">
        <f t="shared" si="20"/>
        <v>619.50061520049053</v>
      </c>
      <c r="EO44" s="59">
        <f ca="1">AVERAGE(OFFSET($EN$3,0,0,'Données projet'!$E$15+1,1))-AVERAGE(OFFSET($H$3,0,0,'Données projet'!$E$15+1,1))</f>
        <v>215.37468832969444</v>
      </c>
      <c r="EP44" s="59">
        <f t="shared" si="46"/>
        <v>208.60212063136419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9.3604778361292027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9.3604778361292027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8.1999999999999993</v>
      </c>
      <c r="FE44" s="12">
        <f>IF('Données projet'!$A$218&gt;35,FE43+FD44-FM43,IF(A44&lt;'Données projet'!$A$218,$FB$205^A44,IF(A44='Données projet'!$A$218,'Données projet'!$B$218,FE43+FD44-FM43)))</f>
        <v>187.20000000000002</v>
      </c>
      <c r="FF44" s="17">
        <f>FE44*VLOOKUP('Données projet'!$B$16,Paramètres!$A$1:$I$89,3,0)*VLOOKUP('Données projet'!$B$16,Paramètres!$A$1:$I$89,5,0)</f>
        <v>151.85664000000003</v>
      </c>
      <c r="FG44" s="13">
        <f t="shared" si="47"/>
        <v>39.000211167057138</v>
      </c>
      <c r="FH44" s="20">
        <f t="shared" si="22"/>
        <v>332.40901578262452</v>
      </c>
      <c r="FI44" s="59">
        <f t="shared" si="23"/>
        <v>625.74234911595784</v>
      </c>
      <c r="FJ44" s="59">
        <f ca="1">AVERAGE(OFFSET($FI$3,0,0,'Données projet'!$E$16+1,1))-AVERAGE(OFFSET($H$3,0,0,'Données projet'!$E$16+1,1))</f>
        <v>220.90439367987847</v>
      </c>
      <c r="FK44" s="59">
        <f t="shared" si="48"/>
        <v>213.66046131354858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9.5440166172297758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9.5440166172297758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1">
        <f t="shared" si="32"/>
        <v>10.41263361705931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67">
        <f t="shared" si="1"/>
        <v>370.80795021637823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17</v>
      </c>
      <c r="N45" s="13">
        <f>IF('Données projet'!$A$36&gt;35,N44+M45-V44,IF(A45&lt;'Données projet'!$A$36,$K$205^A45,IF(A45='Données projet'!$A$36,'Données projet'!$B$36,N44+M45-V44)))</f>
        <v>232</v>
      </c>
      <c r="O45" s="13">
        <f>N45*VLOOKUP('Données projet'!$B$9,Paramètres!$A$1:$I$89,3,0)*VLOOKUP('Données projet'!$B$9,Paramètres!$A$1:$I$89,5,0)</f>
        <v>108.57599999999999</v>
      </c>
      <c r="P45" s="13">
        <f t="shared" si="33"/>
        <v>28.995225061228002</v>
      </c>
      <c r="Q45" s="20">
        <f t="shared" si="53"/>
        <v>239.60321698163875</v>
      </c>
      <c r="R45" s="59">
        <f t="shared" si="0"/>
        <v>532.93655031497201</v>
      </c>
      <c r="S45" s="59">
        <f ca="1">AVERAGE(OFFSET($R$3,0,0,'Données projet'!$E$9+1,1))-AVERAGE(OFFSET($H$3,0,0,'Données projet'!$E$9+1,1))</f>
        <v>196.72624686715807</v>
      </c>
      <c r="T45" s="59">
        <f t="shared" si="34"/>
        <v>37.315661698104691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24</v>
      </c>
      <c r="AI45" s="13">
        <f>IF('Données projet'!$A$62&gt;35,AI44+AH45-AQ44,IF(A45&lt;'Données projet'!$A$62,$AF$205^A45,IF(A45='Données projet'!$A$62,'Données projet'!$B$62,AI44+AH45-AQ44)))</f>
        <v>467.00000000000023</v>
      </c>
      <c r="AJ45" s="13">
        <f>AI45*VLOOKUP('Données projet'!$B$10,Paramètres!$A$1:$I$89,3,0)*VLOOKUP('Données projet'!$B$10,Paramètres!$A$1:$I$89,5,0)</f>
        <v>261.05300000000011</v>
      </c>
      <c r="AK45" s="13">
        <f t="shared" si="35"/>
        <v>62.946782176265927</v>
      </c>
      <c r="AL45" s="20">
        <f t="shared" si="4"/>
        <v>564.29962062366326</v>
      </c>
      <c r="AM45" s="59">
        <f t="shared" si="5"/>
        <v>857.63295395699652</v>
      </c>
      <c r="AN45" s="59">
        <f ca="1">AVERAGE(OFFSET($AM$3,0,0,'Données projet'!$E$10+1,1))-AVERAGE(OFFSET($H$3,0,0,'Données projet'!$E$10+1,1))</f>
        <v>325.42940802362739</v>
      </c>
      <c r="AO45" s="59">
        <f t="shared" si="36"/>
        <v>388.87198417542277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48.019609587760989</v>
      </c>
      <c r="AV45" s="21">
        <f>EXP(-LN(2)/25)*AV44+(1-EXP(-LN(2)/25))/(LN(2)/25)*Calculateur!AQ45*Calculateur!AS45*VLOOKUP('Données projet'!$B$10,Paramètres!$A$1:$I$89,3,0)*0.475*44/12</f>
        <v>24.03937684775223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72.058986435513219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254</v>
      </c>
      <c r="BE45" s="13">
        <f>BD45*VLOOKUP('Données projet'!$B$11,Paramètres!$A$1:$I$89,3,0)*VLOOKUP('Données projet'!$B$11,Paramètres!$A$1:$I$89,5,0)</f>
        <v>158.49600000000001</v>
      </c>
      <c r="BF45" s="13">
        <f t="shared" si="37"/>
        <v>40.503097769376929</v>
      </c>
      <c r="BG45" s="20">
        <f t="shared" si="7"/>
        <v>346.59009528166484</v>
      </c>
      <c r="BH45" s="59">
        <f t="shared" si="8"/>
        <v>639.9234286149981</v>
      </c>
      <c r="BI45" s="59">
        <f ca="1">AVERAGE(OFFSET($BH$3,0,0,'Données projet'!$E$11+1,1))-AVERAGE(OFFSET($H$3,0,0,'Données projet'!$E$11+1,1))</f>
        <v>162.87524915738271</v>
      </c>
      <c r="BJ45" s="59">
        <f t="shared" si="38"/>
        <v>249.37880137966658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0.36</v>
      </c>
      <c r="BN45" s="16">
        <f>IF(ISNA(VLOOKUP(A45,'Données projet'!$A$87:$I$107,6,0)),0%,VLOOKUP(A45,'Données projet'!$A$87:$I$107,6,0)*VLOOKUP('Données projet'!$B$11,Paramètres!$A$1:$I$89,7,0))</f>
        <v>0.18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37.129878802883709</v>
      </c>
      <c r="BQ45" s="21">
        <f>EXP(-LN(2)/25)*BQ44+(1-EXP(-LN(2)/25))/(LN(2)/25)*Calculateur!BL45*Calculateur!BN45*VLOOKUP('Données projet'!$B$11,Paramètres!$A$1:$I$89,3,0)*0.475*44/12</f>
        <v>47.959548415756544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85.089427218640253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8.1999999999999993</v>
      </c>
      <c r="BY45" s="12">
        <f>IF('Données projet'!$A$114&gt;35,BY44+BX45-CG44,IF(A45&lt;'Données projet'!$A$114,$BV$205^A45,IF(A45='Données projet'!$A$114,'Données projet'!$B$114,BY44+BX45-CG44)))</f>
        <v>181.4</v>
      </c>
      <c r="BZ45" s="13">
        <f>BY45*VLOOKUP('Données projet'!$B$12,Paramètres!$A$1:$I$89,3,0)*VLOOKUP('Données projet'!$B$12,Paramètres!$A$1:$I$89,5,0)</f>
        <v>118.85328000000001</v>
      </c>
      <c r="CA45" s="13">
        <f t="shared" si="39"/>
        <v>31.407396406968331</v>
      </c>
      <c r="CB45" s="20">
        <f t="shared" si="10"/>
        <v>261.70401140880318</v>
      </c>
      <c r="CC45" s="59">
        <f t="shared" si="11"/>
        <v>555.0373447421365</v>
      </c>
      <c r="CD45" s="59">
        <f ca="1">AVERAGE(OFFSET($CC$3,0,0,'Données projet'!$E$12+1,1))-AVERAGE(OFFSET($H$3,0,0,'Données projet'!$E$12+1,1))</f>
        <v>119.88584888779422</v>
      </c>
      <c r="CE45" s="59">
        <f t="shared" si="40"/>
        <v>162.97244314258774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2.0954909073194559</v>
      </c>
      <c r="CL45" s="21">
        <f>EXP(-LN(2)/25)*CL44+(1-EXP(-LN(2)/25))/(LN(2)/25)*Calculateur!CG45*Calculateur!CI45*VLOOKUP('Données projet'!$B$12,Paramètres!$A$1:$I$89,3,0)*0.475*44/12</f>
        <v>9.0405911299821913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11.136082037301648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7</v>
      </c>
      <c r="CT45" s="12">
        <f>IF('Données projet'!$A$140&gt;35,CT44+CS45-DB44,IF(A45&lt;'Données projet'!$A$140,$CQ$205^A45,IF(A45='Données projet'!$A$140,'Données projet'!$B$140,CT44+CS45-DB44)))</f>
        <v>173</v>
      </c>
      <c r="CU45" s="17">
        <f>CT45*VLOOKUP('Données projet'!$B$13,Paramètres!$A$1:$I$89,3,0)*VLOOKUP('Données projet'!$B$13,Paramètres!$A$1:$I$89,5,0)</f>
        <v>175.422</v>
      </c>
      <c r="CV45" s="13">
        <f t="shared" si="41"/>
        <v>44.302143412304737</v>
      </c>
      <c r="CW45" s="20">
        <f t="shared" si="13"/>
        <v>382.68621644309741</v>
      </c>
      <c r="CX45" s="59">
        <f t="shared" si="14"/>
        <v>676.01954977643072</v>
      </c>
      <c r="CY45" s="59">
        <f ca="1">AVERAGE(OFFSET($CX$3,0,0,'Données projet'!$E$13+1,1))-AVERAGE(OFFSET($H$3,0,0,'Données projet'!$E$13+1,1))</f>
        <v>261.75887764015459</v>
      </c>
      <c r="CZ45" s="59">
        <f t="shared" si="42"/>
        <v>209.74127356028544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8.1999999999999993</v>
      </c>
      <c r="DO45" s="12">
        <f>IF('Données projet'!$A$166&gt;35,DO44+DN45-DW44,IF(A45&lt;'Données projet'!$A$166,$DL$205^A45,IF(A45='Données projet'!$A$166,'Données projet'!$B$166,DO44+DN45-DW44)))</f>
        <v>195.4</v>
      </c>
      <c r="DP45" s="17">
        <f>DO45*VLOOKUP('Données projet'!$B$14,Paramètres!$A$1:$I$89,3,0)*VLOOKUP('Données projet'!$B$14,Paramètres!$A$1:$I$89,5,0)</f>
        <v>155.46024000000003</v>
      </c>
      <c r="DQ45" s="13">
        <f t="shared" si="43"/>
        <v>39.81685084375372</v>
      </c>
      <c r="DR45" s="20">
        <f t="shared" si="16"/>
        <v>340.10759988620447</v>
      </c>
      <c r="DS45" s="59">
        <f t="shared" si="17"/>
        <v>633.44093321953778</v>
      </c>
      <c r="DT45" s="59">
        <f ca="1">AVERAGE(OFFSET($DS$3,0,0,'Données projet'!$E$14+1,1))-AVERAGE(OFFSET($H$3,0,0,'Données projet'!$E$14+1,1))</f>
        <v>215.37468832969444</v>
      </c>
      <c r="DU45" s="59">
        <f t="shared" si="44"/>
        <v>208.60212063136419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9.1769245750904389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9.1769245750904389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8.1999999999999993</v>
      </c>
      <c r="EJ45" s="12">
        <f>IF('Données projet'!$A$192&gt;35,EJ44+EI45-ER44,IF(A45&lt;'Données projet'!$A$192,$EG$205^A45,IF(A45='Données projet'!$A$192,'Données projet'!$B$192,EJ44+EI45-ER44)))</f>
        <v>195.4</v>
      </c>
      <c r="EK45" s="17">
        <f>EJ45*VLOOKUP('Données projet'!$B$15,Paramètres!$A$1:$I$89,3,0)*VLOOKUP('Données projet'!$B$15,Paramètres!$A$1:$I$89,5,0)</f>
        <v>155.46024000000003</v>
      </c>
      <c r="EL45" s="13">
        <f t="shared" si="45"/>
        <v>39.81685084375372</v>
      </c>
      <c r="EM45" s="20">
        <f t="shared" si="19"/>
        <v>340.10759988620447</v>
      </c>
      <c r="EN45" s="59">
        <f t="shared" si="20"/>
        <v>633.44093321953778</v>
      </c>
      <c r="EO45" s="59">
        <f ca="1">AVERAGE(OFFSET($EN$3,0,0,'Données projet'!$E$15+1,1))-AVERAGE(OFFSET($H$3,0,0,'Données projet'!$E$15+1,1))</f>
        <v>215.37468832969444</v>
      </c>
      <c r="EP45" s="59">
        <f t="shared" si="46"/>
        <v>208.60212063136419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9.1769245750904389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9.1769245750904389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8.1999999999999993</v>
      </c>
      <c r="FE45" s="12">
        <f>IF('Données projet'!$A$218&gt;35,FE44+FD45-FM44,IF(A45&lt;'Données projet'!$A$218,$FB$205^A45,IF(A45='Données projet'!$A$218,'Données projet'!$B$218,FE44+FD45-FM44)))</f>
        <v>195.4</v>
      </c>
      <c r="FF45" s="17">
        <f>FE45*VLOOKUP('Données projet'!$B$16,Paramètres!$A$1:$I$89,3,0)*VLOOKUP('Données projet'!$B$16,Paramètres!$A$1:$I$89,5,0)</f>
        <v>158.50848000000002</v>
      </c>
      <c r="FG45" s="13">
        <f t="shared" si="47"/>
        <v>40.50591575151762</v>
      </c>
      <c r="FH45" s="20">
        <f t="shared" si="22"/>
        <v>346.61673926722659</v>
      </c>
      <c r="FI45" s="59">
        <f t="shared" si="23"/>
        <v>639.95007260055991</v>
      </c>
      <c r="FJ45" s="59">
        <f ca="1">AVERAGE(OFFSET($FI$3,0,0,'Données projet'!$E$16+1,1))-AVERAGE(OFFSET($H$3,0,0,'Données projet'!$E$16+1,1))</f>
        <v>220.90439367987847</v>
      </c>
      <c r="FK45" s="59">
        <f t="shared" si="48"/>
        <v>213.66046131354858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9.3568642726412339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9.3568642726412339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1">
        <f t="shared" si="32"/>
        <v>10.631394693688584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67">
        <f t="shared" si="1"/>
        <v>372.60179909150759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</v>
      </c>
      <c r="N46" s="13">
        <f>IF('Données projet'!$A$36&gt;35,N45+M46-V45,IF(A46&lt;'Données projet'!$A$36,$K$205^A46,IF(A46='Données projet'!$A$36,'Données projet'!$B$36,N45+M46-V45)))</f>
        <v>249</v>
      </c>
      <c r="O46" s="13">
        <f>N46*VLOOKUP('Données projet'!$B$9,Paramètres!$A$1:$I$89,3,0)*VLOOKUP('Données projet'!$B$9,Paramètres!$A$1:$I$89,5,0)</f>
        <v>116.53200000000001</v>
      </c>
      <c r="P46" s="13">
        <f t="shared" si="33"/>
        <v>30.864769909522728</v>
      </c>
      <c r="Q46" s="20">
        <f t="shared" si="53"/>
        <v>256.71604092575211</v>
      </c>
      <c r="R46" s="59">
        <f t="shared" si="0"/>
        <v>550.04937425908543</v>
      </c>
      <c r="S46" s="59">
        <f ca="1">AVERAGE(OFFSET($R$3,0,0,'Données projet'!$E$9+1,1))-AVERAGE(OFFSET($H$3,0,0,'Données projet'!$E$9+1,1))</f>
        <v>196.72624686715807</v>
      </c>
      <c r="T46" s="59">
        <f t="shared" si="34"/>
        <v>37.315661698104691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24</v>
      </c>
      <c r="AI46" s="13">
        <f>IF('Données projet'!$A$62&gt;35,AI45+AH46-AQ45,IF(A46&lt;'Données projet'!$A$62,$AF$205^A46,IF(A46='Données projet'!$A$62,'Données projet'!$B$62,AI45+AH46-AQ45)))</f>
        <v>491.00000000000023</v>
      </c>
      <c r="AJ46" s="13">
        <f>AI46*VLOOKUP('Données projet'!$B$10,Paramètres!$A$1:$I$89,3,0)*VLOOKUP('Données projet'!$B$10,Paramètres!$A$1:$I$89,5,0)</f>
        <v>274.46900000000011</v>
      </c>
      <c r="AK46" s="13">
        <f t="shared" si="35"/>
        <v>65.796795812732981</v>
      </c>
      <c r="AL46" s="20">
        <f t="shared" si="4"/>
        <v>592.62959437384336</v>
      </c>
      <c r="AM46" s="59">
        <f t="shared" si="5"/>
        <v>885.96292770717673</v>
      </c>
      <c r="AN46" s="59">
        <f ca="1">AVERAGE(OFFSET($AM$3,0,0,'Données projet'!$E$10+1,1))-AVERAGE(OFFSET($H$3,0,0,'Données projet'!$E$10+1,1))</f>
        <v>325.42940802362739</v>
      </c>
      <c r="AO46" s="59">
        <f t="shared" si="36"/>
        <v>388.87198417542277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47.07797433281479</v>
      </c>
      <c r="AV46" s="21">
        <f>EXP(-LN(2)/25)*AV45+(1-EXP(-LN(2)/25))/(LN(2)/25)*Calculateur!AQ46*Calculateur!AS46*VLOOKUP('Données projet'!$B$10,Paramètres!$A$1:$I$89,3,0)*0.475*44/12</f>
        <v>23.38201882367456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70.459993156489347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197.66666666666669</v>
      </c>
      <c r="BE46" s="13">
        <f>BD46*VLOOKUP('Données projet'!$B$11,Paramètres!$A$1:$I$89,3,0)*VLOOKUP('Données projet'!$B$11,Paramètres!$A$1:$I$89,5,0)</f>
        <v>123.34400000000002</v>
      </c>
      <c r="BF46" s="13">
        <f t="shared" si="37"/>
        <v>32.453680380059183</v>
      </c>
      <c r="BG46" s="20">
        <f t="shared" si="7"/>
        <v>271.34762666193643</v>
      </c>
      <c r="BH46" s="59">
        <f t="shared" si="8"/>
        <v>564.68095999526975</v>
      </c>
      <c r="BI46" s="59">
        <f ca="1">AVERAGE(OFFSET($BH$3,0,0,'Données projet'!$E$11+1,1))-AVERAGE(OFFSET($H$3,0,0,'Données projet'!$E$11+1,1))</f>
        <v>162.87524915738271</v>
      </c>
      <c r="BJ46" s="59">
        <f t="shared" si="38"/>
        <v>249.37880137966658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36.401784526549022</v>
      </c>
      <c r="BQ46" s="21">
        <f>EXP(-LN(2)/25)*BQ45+(1-EXP(-LN(2)/25))/(LN(2)/25)*Calculateur!BL46*Calculateur!BN46*VLOOKUP('Données projet'!$B$11,Paramètres!$A$1:$I$89,3,0)*0.475*44/12</f>
        <v>46.648092042244642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83.049876568793664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8.1999999999999993</v>
      </c>
      <c r="BY46" s="12">
        <f>IF('Données projet'!$A$114&gt;35,BY45+BX46-CG45,IF(A46&lt;'Données projet'!$A$114,$BV$205^A46,IF(A46='Données projet'!$A$114,'Données projet'!$B$114,BY45+BX46-CG45)))</f>
        <v>189.6</v>
      </c>
      <c r="BZ46" s="13">
        <f>BY46*VLOOKUP('Données projet'!$B$12,Paramètres!$A$1:$I$89,3,0)*VLOOKUP('Données projet'!$B$12,Paramètres!$A$1:$I$89,5,0)</f>
        <v>124.22591999999999</v>
      </c>
      <c r="CA46" s="13">
        <f t="shared" si="39"/>
        <v>32.658631616019996</v>
      </c>
      <c r="CB46" s="20">
        <f t="shared" si="10"/>
        <v>273.24059406456814</v>
      </c>
      <c r="CC46" s="59">
        <f t="shared" si="11"/>
        <v>566.57392739790146</v>
      </c>
      <c r="CD46" s="59">
        <f ca="1">AVERAGE(OFFSET($CC$3,0,0,'Données projet'!$E$12+1,1))-AVERAGE(OFFSET($H$3,0,0,'Données projet'!$E$12+1,1))</f>
        <v>119.88584888779422</v>
      </c>
      <c r="CE46" s="59">
        <f t="shared" si="40"/>
        <v>162.97244314258774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2.0543996087501708</v>
      </c>
      <c r="CL46" s="21">
        <f>EXP(-LN(2)/25)*CL45+(1-EXP(-LN(2)/25))/(LN(2)/25)*Calculateur!CG46*Calculateur!CI46*VLOOKUP('Données projet'!$B$12,Paramètres!$A$1:$I$89,3,0)*0.475*44/12</f>
        <v>8.7933756901088032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10.847775298858974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7</v>
      </c>
      <c r="CT46" s="12">
        <f>IF('Données projet'!$A$140&gt;35,CT45+CS46-DB45,IF(A46&lt;'Données projet'!$A$140,$CQ$205^A46,IF(A46='Données projet'!$A$140,'Données projet'!$B$140,CT45+CS46-DB45)))</f>
        <v>180</v>
      </c>
      <c r="CU46" s="17">
        <f>CT46*VLOOKUP('Données projet'!$B$13,Paramètres!$A$1:$I$89,3,0)*VLOOKUP('Données projet'!$B$13,Paramètres!$A$1:$I$89,5,0)</f>
        <v>182.52</v>
      </c>
      <c r="CV46" s="13">
        <f t="shared" si="41"/>
        <v>45.882385280285632</v>
      </c>
      <c r="CW46" s="20">
        <f t="shared" si="13"/>
        <v>397.80082102983079</v>
      </c>
      <c r="CX46" s="59">
        <f t="shared" si="14"/>
        <v>691.13415436316404</v>
      </c>
      <c r="CY46" s="59">
        <f ca="1">AVERAGE(OFFSET($CX$3,0,0,'Données projet'!$E$13+1,1))-AVERAGE(OFFSET($H$3,0,0,'Données projet'!$E$13+1,1))</f>
        <v>261.75887764015459</v>
      </c>
      <c r="CZ46" s="59">
        <f t="shared" si="42"/>
        <v>209.74127356028544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8.1999999999999993</v>
      </c>
      <c r="DO46" s="12">
        <f>IF('Données projet'!$A$166&gt;35,DO45+DN46-DW45,IF(A46&lt;'Données projet'!$A$166,$DL$205^A46,IF(A46='Données projet'!$A$166,'Données projet'!$B$166,DO45+DN46-DW45)))</f>
        <v>203.6</v>
      </c>
      <c r="DP46" s="17">
        <f>DO46*VLOOKUP('Données projet'!$B$14,Paramètres!$A$1:$I$89,3,0)*VLOOKUP('Données projet'!$B$14,Paramètres!$A$1:$I$89,5,0)</f>
        <v>161.98416</v>
      </c>
      <c r="DQ46" s="13">
        <f t="shared" si="43"/>
        <v>41.289726712501803</v>
      </c>
      <c r="DR46" s="20">
        <f t="shared" si="16"/>
        <v>354.03535269094056</v>
      </c>
      <c r="DS46" s="59">
        <f t="shared" si="17"/>
        <v>647.36868602427387</v>
      </c>
      <c r="DT46" s="59">
        <f ca="1">AVERAGE(OFFSET($DS$3,0,0,'Données projet'!$E$14+1,1))-AVERAGE(OFFSET($H$3,0,0,'Données projet'!$E$14+1,1))</f>
        <v>215.37468832969444</v>
      </c>
      <c r="DU46" s="59">
        <f t="shared" si="44"/>
        <v>208.60212063136419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8.9969706815442123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8.9969706815442123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8.1999999999999993</v>
      </c>
      <c r="EJ46" s="12">
        <f>IF('Données projet'!$A$192&gt;35,EJ45+EI46-ER45,IF(A46&lt;'Données projet'!$A$192,$EG$205^A46,IF(A46='Données projet'!$A$192,'Données projet'!$B$192,EJ45+EI46-ER45)))</f>
        <v>203.6</v>
      </c>
      <c r="EK46" s="17">
        <f>EJ46*VLOOKUP('Données projet'!$B$15,Paramètres!$A$1:$I$89,3,0)*VLOOKUP('Données projet'!$B$15,Paramètres!$A$1:$I$89,5,0)</f>
        <v>161.98416</v>
      </c>
      <c r="EL46" s="13">
        <f t="shared" si="45"/>
        <v>41.289726712501803</v>
      </c>
      <c r="EM46" s="20">
        <f t="shared" si="19"/>
        <v>354.03535269094056</v>
      </c>
      <c r="EN46" s="59">
        <f t="shared" si="20"/>
        <v>647.36868602427387</v>
      </c>
      <c r="EO46" s="59">
        <f ca="1">AVERAGE(OFFSET($EN$3,0,0,'Données projet'!$E$15+1,1))-AVERAGE(OFFSET($H$3,0,0,'Données projet'!$E$15+1,1))</f>
        <v>215.37468832969444</v>
      </c>
      <c r="EP46" s="59">
        <f t="shared" si="46"/>
        <v>208.60212063136419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8.9969706815442123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8.9969706815442123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8.1999999999999993</v>
      </c>
      <c r="FE46" s="12">
        <f>IF('Données projet'!$A$218&gt;35,FE45+FD46-FM45,IF(A46&lt;'Données projet'!$A$218,$FB$205^A46,IF(A46='Données projet'!$A$218,'Données projet'!$B$218,FE45+FD46-FM45)))</f>
        <v>203.6</v>
      </c>
      <c r="FF46" s="17">
        <f>FE46*VLOOKUP('Données projet'!$B$16,Paramètres!$A$1:$I$89,3,0)*VLOOKUP('Données projet'!$B$16,Paramètres!$A$1:$I$89,5,0)</f>
        <v>165.16032000000001</v>
      </c>
      <c r="FG46" s="13">
        <f t="shared" si="47"/>
        <v>42.004281006119641</v>
      </c>
      <c r="FH46" s="20">
        <f t="shared" si="22"/>
        <v>360.81168008565834</v>
      </c>
      <c r="FI46" s="59">
        <f t="shared" si="23"/>
        <v>654.14501341899165</v>
      </c>
      <c r="FJ46" s="59">
        <f ca="1">AVERAGE(OFFSET($FI$3,0,0,'Données projet'!$E$16+1,1))-AVERAGE(OFFSET($H$3,0,0,'Données projet'!$E$16+1,1))</f>
        <v>220.90439367987847</v>
      </c>
      <c r="FK46" s="59">
        <f t="shared" si="48"/>
        <v>213.66046131354858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9.1733818713784139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9.1733818713784139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1">
        <f t="shared" si="32"/>
        <v>10.849564333613259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67">
        <f t="shared" si="1"/>
        <v>374.39461788104302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</v>
      </c>
      <c r="N47" s="13">
        <f>IF('Données projet'!$A$36&gt;35,N46+M47-V46,IF(A47&lt;'Données projet'!$A$36,$K$205^A47,IF(A47='Données projet'!$A$36,'Données projet'!$B$36,N46+M47-V46)))</f>
        <v>266</v>
      </c>
      <c r="O47" s="13">
        <f>N47*VLOOKUP('Données projet'!$B$9,Paramètres!$A$1:$I$89,3,0)*VLOOKUP('Données projet'!$B$9,Paramètres!$A$1:$I$89,5,0)</f>
        <v>124.48799999999999</v>
      </c>
      <c r="P47" s="13">
        <f t="shared" si="33"/>
        <v>32.719504245667267</v>
      </c>
      <c r="Q47" s="20">
        <f t="shared" si="53"/>
        <v>273.80306989453715</v>
      </c>
      <c r="R47" s="59">
        <f t="shared" si="0"/>
        <v>567.13640322787046</v>
      </c>
      <c r="S47" s="59">
        <f ca="1">AVERAGE(OFFSET($R$3,0,0,'Données projet'!$E$9+1,1))-AVERAGE(OFFSET($H$3,0,0,'Données projet'!$E$9+1,1))</f>
        <v>196.72624686715807</v>
      </c>
      <c r="T47" s="59">
        <f t="shared" si="34"/>
        <v>37.315661698104691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24</v>
      </c>
      <c r="AI47" s="13">
        <f>IF('Données projet'!$A$62&gt;35,AI46+AH47-AQ46,IF(A47&lt;'Données projet'!$A$62,$AF$205^A47,IF(A47='Données projet'!$A$62,'Données projet'!$B$62,AI46+AH47-AQ46)))</f>
        <v>515.00000000000023</v>
      </c>
      <c r="AJ47" s="13">
        <f>AI47*VLOOKUP('Données projet'!$B$10,Paramètres!$A$1:$I$89,3,0)*VLOOKUP('Données projet'!$B$10,Paramètres!$A$1:$I$89,5,0)</f>
        <v>287.88500000000016</v>
      </c>
      <c r="AK47" s="13">
        <f t="shared" si="35"/>
        <v>68.630633216048935</v>
      </c>
      <c r="AL47" s="20">
        <f t="shared" si="4"/>
        <v>620.93139451795207</v>
      </c>
      <c r="AM47" s="59">
        <f t="shared" si="5"/>
        <v>914.26472785128544</v>
      </c>
      <c r="AN47" s="59">
        <f ca="1">AVERAGE(OFFSET($AM$3,0,0,'Données projet'!$E$10+1,1))-AVERAGE(OFFSET($H$3,0,0,'Données projet'!$E$10+1,1))</f>
        <v>325.42940802362739</v>
      </c>
      <c r="AO47" s="59">
        <f t="shared" si="36"/>
        <v>388.87198417542277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46.154803970877289</v>
      </c>
      <c r="AV47" s="21">
        <f>EXP(-LN(2)/25)*AV46+(1-EXP(-LN(2)/25))/(LN(2)/25)*Calculateur!AQ47*Calculateur!AS47*VLOOKUP('Données projet'!$B$10,Paramètres!$A$1:$I$89,3,0)*0.475*44/12</f>
        <v>22.74263628933425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68.897440260211539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208.33333333333334</v>
      </c>
      <c r="BE47" s="13">
        <f>BD47*VLOOKUP('Données projet'!$B$11,Paramètres!$A$1:$I$89,3,0)*VLOOKUP('Données projet'!$B$11,Paramètres!$A$1:$I$89,5,0)</f>
        <v>130</v>
      </c>
      <c r="BF47" s="13">
        <f t="shared" si="37"/>
        <v>33.996359332349748</v>
      </c>
      <c r="BG47" s="20">
        <f t="shared" si="7"/>
        <v>285.62699250384247</v>
      </c>
      <c r="BH47" s="59">
        <f t="shared" si="8"/>
        <v>578.96032583717579</v>
      </c>
      <c r="BI47" s="59">
        <f ca="1">AVERAGE(OFFSET($BH$3,0,0,'Données projet'!$E$11+1,1))-AVERAGE(OFFSET($H$3,0,0,'Données projet'!$E$11+1,1))</f>
        <v>162.87524915738271</v>
      </c>
      <c r="BJ47" s="59">
        <f t="shared" si="38"/>
        <v>249.37880137966658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35.687967734879606</v>
      </c>
      <c r="BQ47" s="21">
        <f>EXP(-LN(2)/25)*BQ46+(1-EXP(-LN(2)/25))/(LN(2)/25)*Calculateur!BL47*Calculateur!BN47*VLOOKUP('Données projet'!$B$11,Paramètres!$A$1:$I$89,3,0)*0.475*44/12</f>
        <v>45.372497512232918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81.060465247112518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8.1999999999999993</v>
      </c>
      <c r="BY47" s="12">
        <f>IF('Données projet'!$A$114&gt;35,BY46+BX47-CG46,IF(A47&lt;'Données projet'!$A$114,$BV$205^A47,IF(A47='Données projet'!$A$114,'Données projet'!$B$114,BY46+BX47-CG46)))</f>
        <v>197.79999999999998</v>
      </c>
      <c r="BZ47" s="13">
        <f>BY47*VLOOKUP('Données projet'!$B$12,Paramètres!$A$1:$I$89,3,0)*VLOOKUP('Données projet'!$B$12,Paramètres!$A$1:$I$89,5,0)</f>
        <v>129.59855999999999</v>
      </c>
      <c r="CA47" s="13">
        <f t="shared" si="39"/>
        <v>33.903581644574395</v>
      </c>
      <c r="CB47" s="20">
        <f t="shared" si="10"/>
        <v>284.76623003096705</v>
      </c>
      <c r="CC47" s="59">
        <f t="shared" si="11"/>
        <v>578.09956336430037</v>
      </c>
      <c r="CD47" s="59">
        <f ca="1">AVERAGE(OFFSET($CC$3,0,0,'Données projet'!$E$12+1,1))-AVERAGE(OFFSET($H$3,0,0,'Données projet'!$E$12+1,1))</f>
        <v>119.88584888779422</v>
      </c>
      <c r="CE47" s="59">
        <f t="shared" si="40"/>
        <v>162.97244314258774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2.0141140854826118</v>
      </c>
      <c r="CL47" s="21">
        <f>EXP(-LN(2)/25)*CL46+(1-EXP(-LN(2)/25))/(LN(2)/25)*Calculateur!CG47*Calculateur!CI47*VLOOKUP('Données projet'!$B$12,Paramètres!$A$1:$I$89,3,0)*0.475*44/12</f>
        <v>8.5529203694392475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10.56703445492186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7</v>
      </c>
      <c r="CT47" s="12">
        <f>IF('Données projet'!$A$140&gt;35,CT46+CS47-DB46,IF(A47&lt;'Données projet'!$A$140,$CQ$205^A47,IF(A47='Données projet'!$A$140,'Données projet'!$B$140,CT46+CS47-DB46)))</f>
        <v>187</v>
      </c>
      <c r="CU47" s="17">
        <f>CT47*VLOOKUP('Données projet'!$B$13,Paramètres!$A$1:$I$89,3,0)*VLOOKUP('Données projet'!$B$13,Paramètres!$A$1:$I$89,5,0)</f>
        <v>189.61799999999999</v>
      </c>
      <c r="CV47" s="13">
        <f t="shared" si="41"/>
        <v>47.4554881852685</v>
      </c>
      <c r="CW47" s="20">
        <f t="shared" si="13"/>
        <v>412.90299192267594</v>
      </c>
      <c r="CX47" s="59">
        <f t="shared" si="14"/>
        <v>706.2363252560092</v>
      </c>
      <c r="CY47" s="59">
        <f ca="1">AVERAGE(OFFSET($CX$3,0,0,'Données projet'!$E$13+1,1))-AVERAGE(OFFSET($H$3,0,0,'Données projet'!$E$13+1,1))</f>
        <v>261.75887764015459</v>
      </c>
      <c r="CZ47" s="59">
        <f t="shared" si="42"/>
        <v>209.74127356028544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8.1999999999999993</v>
      </c>
      <c r="DO47" s="12">
        <f>IF('Données projet'!$A$166&gt;35,DO46+DN47-DW46,IF(A47&lt;'Données projet'!$A$166,$DL$205^A47,IF(A47='Données projet'!$A$166,'Données projet'!$B$166,DO46+DN47-DW46)))</f>
        <v>211.79999999999998</v>
      </c>
      <c r="DP47" s="17">
        <f>DO47*VLOOKUP('Données projet'!$B$14,Paramètres!$A$1:$I$89,3,0)*VLOOKUP('Données projet'!$B$14,Paramètres!$A$1:$I$89,5,0)</f>
        <v>168.50807999999998</v>
      </c>
      <c r="DQ47" s="13">
        <f t="shared" si="43"/>
        <v>42.755711908378117</v>
      </c>
      <c r="DR47" s="20">
        <f t="shared" si="16"/>
        <v>367.95110424042514</v>
      </c>
      <c r="DS47" s="59">
        <f t="shared" si="17"/>
        <v>661.2844375737584</v>
      </c>
      <c r="DT47" s="59">
        <f ca="1">AVERAGE(OFFSET($DS$3,0,0,'Données projet'!$E$14+1,1))-AVERAGE(OFFSET($H$3,0,0,'Données projet'!$E$14+1,1))</f>
        <v>215.37468832969444</v>
      </c>
      <c r="DU47" s="59">
        <f t="shared" si="44"/>
        <v>208.60212063136419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8.8205455740893903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8.8205455740893903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8.1999999999999993</v>
      </c>
      <c r="EJ47" s="12">
        <f>IF('Données projet'!$A$192&gt;35,EJ46+EI47-ER46,IF(A47&lt;'Données projet'!$A$192,$EG$205^A47,IF(A47='Données projet'!$A$192,'Données projet'!$B$192,EJ46+EI47-ER46)))</f>
        <v>211.79999999999998</v>
      </c>
      <c r="EK47" s="17">
        <f>EJ47*VLOOKUP('Données projet'!$B$15,Paramètres!$A$1:$I$89,3,0)*VLOOKUP('Données projet'!$B$15,Paramètres!$A$1:$I$89,5,0)</f>
        <v>168.50807999999998</v>
      </c>
      <c r="EL47" s="13">
        <f t="shared" si="45"/>
        <v>42.755711908378117</v>
      </c>
      <c r="EM47" s="20">
        <f t="shared" si="19"/>
        <v>367.95110424042514</v>
      </c>
      <c r="EN47" s="59">
        <f t="shared" si="20"/>
        <v>661.2844375737584</v>
      </c>
      <c r="EO47" s="59">
        <f ca="1">AVERAGE(OFFSET($EN$3,0,0,'Données projet'!$E$15+1,1))-AVERAGE(OFFSET($H$3,0,0,'Données projet'!$E$15+1,1))</f>
        <v>215.37468832969444</v>
      </c>
      <c r="EP47" s="59">
        <f t="shared" si="46"/>
        <v>208.60212063136419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8.8205455740893903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8.8205455740893903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8.1999999999999993</v>
      </c>
      <c r="FE47" s="12">
        <f>IF('Données projet'!$A$218&gt;35,FE46+FD47-FM46,IF(A47&lt;'Données projet'!$A$218,$FB$205^A47,IF(A47='Données projet'!$A$218,'Données projet'!$B$218,FE46+FD47-FM46)))</f>
        <v>211.79999999999998</v>
      </c>
      <c r="FF47" s="17">
        <f>FE47*VLOOKUP('Données projet'!$B$16,Paramètres!$A$1:$I$89,3,0)*VLOOKUP('Données projet'!$B$16,Paramètres!$A$1:$I$89,5,0)</f>
        <v>171.81216000000001</v>
      </c>
      <c r="FG47" s="13">
        <f t="shared" si="47"/>
        <v>43.49563633881931</v>
      </c>
      <c r="FH47" s="20">
        <f t="shared" si="22"/>
        <v>374.99441195677696</v>
      </c>
      <c r="FI47" s="59">
        <f t="shared" si="23"/>
        <v>668.32774529011022</v>
      </c>
      <c r="FJ47" s="59">
        <f ca="1">AVERAGE(OFFSET($FI$3,0,0,'Données projet'!$E$16+1,1))-AVERAGE(OFFSET($H$3,0,0,'Données projet'!$E$16+1,1))</f>
        <v>220.90439367987847</v>
      </c>
      <c r="FK47" s="59">
        <f t="shared" si="48"/>
        <v>213.66046131354858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8.9934974480911443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8.9934974480911443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1">
        <f t="shared" si="32"/>
        <v>11.067157525971371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67">
        <f t="shared" si="1"/>
        <v>376.18643269106678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</v>
      </c>
      <c r="N48" s="13">
        <f>IF('Données projet'!$A$36&gt;35,N47+M48-V47,IF(A48&lt;'Données projet'!$A$36,$K$205^A48,IF(A48='Données projet'!$A$36,'Données projet'!$B$36,N47+M48-V47)))</f>
        <v>283</v>
      </c>
      <c r="O48" s="13">
        <f>N48*VLOOKUP('Données projet'!$B$9,Paramètres!$A$1:$I$89,3,0)*VLOOKUP('Données projet'!$B$9,Paramètres!$A$1:$I$89,5,0)</f>
        <v>132.44399999999999</v>
      </c>
      <c r="P48" s="13">
        <f t="shared" si="33"/>
        <v>34.560482342975533</v>
      </c>
      <c r="Q48" s="20">
        <f t="shared" si="53"/>
        <v>290.86614008068233</v>
      </c>
      <c r="R48" s="59">
        <f t="shared" si="0"/>
        <v>584.19947341401564</v>
      </c>
      <c r="S48" s="59">
        <f ca="1">AVERAGE(OFFSET($R$3,0,0,'Données projet'!$E$9+1,1))-AVERAGE(OFFSET($H$3,0,0,'Données projet'!$E$9+1,1))</f>
        <v>196.72624686715807</v>
      </c>
      <c r="T48" s="59">
        <f t="shared" si="34"/>
        <v>37.315661698104691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540</v>
      </c>
      <c r="AG48" s="12">
        <f>VLOOKUP(A48,'Données projet'!$A$61:$I$81,9,0)</f>
        <v>24</v>
      </c>
      <c r="AH48" s="12">
        <f t="array" ref="AH48">INDEX(AG:AG,MIN(IF(ISNUMBER(AG48:AG244),ROW(AG48:AG244),"")))</f>
        <v>24</v>
      </c>
      <c r="AI48" s="13">
        <f>IF('Données projet'!$A$62&gt;35,AI47+AH48-AQ47,IF(A48&lt;'Données projet'!$A$62,$AF$205^A48,IF(A48='Données projet'!$A$62,'Données projet'!$B$62,AI47+AH48-AQ47)))</f>
        <v>539.00000000000023</v>
      </c>
      <c r="AJ48" s="13">
        <f>AI48*VLOOKUP('Données projet'!$B$10,Paramètres!$A$1:$I$89,3,0)*VLOOKUP('Données projet'!$B$10,Paramètres!$A$1:$I$89,5,0)</f>
        <v>301.30100000000016</v>
      </c>
      <c r="AK48" s="13">
        <f t="shared" si="35"/>
        <v>71.449134320655617</v>
      </c>
      <c r="AL48" s="20">
        <f t="shared" si="4"/>
        <v>649.20648394180876</v>
      </c>
      <c r="AM48" s="59">
        <f t="shared" si="5"/>
        <v>942.53981727514201</v>
      </c>
      <c r="AN48" s="59">
        <f ca="1">AVERAGE(OFFSET($AM$3,0,0,'Données projet'!$E$10+1,1))-AVERAGE(OFFSET($H$3,0,0,'Données projet'!$E$10+1,1))</f>
        <v>325.42940802362739</v>
      </c>
      <c r="AO48" s="59">
        <f t="shared" si="36"/>
        <v>388.87198417542277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66</v>
      </c>
      <c r="AR48" s="16">
        <f>IF(ISNA(VLOOKUP(A48,'Données projet'!$A$61:$I$81,5,0)),0%,VLOOKUP(A48,'Données projet'!$A$61:$I$81,5,0)*VLOOKUP('Données projet'!$B$10,Paramètres!$A$1:$I$89,7,0))</f>
        <v>0.35750000000000004</v>
      </c>
      <c r="AS48" s="16">
        <f>IF(ISNA(VLOOKUP(A48,'Données projet'!$A$61:$I$81,6,0)),0%,VLOOKUP(A48,'Données projet'!$A$61:$I$81,6,0)*VLOOKUP('Données projet'!$B$10,Paramètres!$A$1:$I$89,7,0))</f>
        <v>0.13750000000000001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62.746597590946706</v>
      </c>
      <c r="AV48" s="21">
        <f>EXP(-LN(2)/25)*AV47+(1-EXP(-LN(2)/25))/(LN(2)/25)*Calculateur!AQ48*Calculateur!AS48*VLOOKUP('Données projet'!$B$10,Paramètres!$A$1:$I$89,3,0)*0.475*44/12</f>
        <v>28.823802844410558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91.570400435357271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219</v>
      </c>
      <c r="BE48" s="13">
        <f>BD48*VLOOKUP('Données projet'!$B$11,Paramètres!$A$1:$I$89,3,0)*VLOOKUP('Données projet'!$B$11,Paramètres!$A$1:$I$89,5,0)</f>
        <v>136.65600000000001</v>
      </c>
      <c r="BF48" s="13">
        <f t="shared" si="37"/>
        <v>35.52986752364091</v>
      </c>
      <c r="BG48" s="20">
        <f t="shared" si="7"/>
        <v>299.89038593700792</v>
      </c>
      <c r="BH48" s="59">
        <f t="shared" si="8"/>
        <v>593.22371927034123</v>
      </c>
      <c r="BI48" s="59">
        <f ca="1">AVERAGE(OFFSET($BH$3,0,0,'Données projet'!$E$11+1,1))-AVERAGE(OFFSET($H$3,0,0,'Données projet'!$E$11+1,1))</f>
        <v>162.87524915738271</v>
      </c>
      <c r="BJ48" s="59">
        <f t="shared" si="38"/>
        <v>249.37880137966658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34.988148455109574</v>
      </c>
      <c r="BQ48" s="21">
        <f>EXP(-LN(2)/25)*BQ47+(1-EXP(-LN(2)/25))/(LN(2)/25)*Calculateur!BL48*Calculateur!BN48*VLOOKUP('Données projet'!$B$11,Paramètres!$A$1:$I$89,3,0)*0.475*44/12</f>
        <v>44.131784181724967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79.119932636834534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206</v>
      </c>
      <c r="BW48" s="12">
        <f>VLOOKUP(A48,'Données projet'!$A$113:$I$133,9,0)</f>
        <v>8.1999999999999993</v>
      </c>
      <c r="BX48" s="12">
        <f t="array" ref="BX48">INDEX(BW:BW,MIN(IF(ISNUMBER(BW48:BW244),ROW(BW48:BW244),"")))</f>
        <v>8.1999999999999993</v>
      </c>
      <c r="BY48" s="12">
        <f>IF('Données projet'!$A$114&gt;35,BY47+BX48-CG47,IF(A48&lt;'Données projet'!$A$114,$BV$205^A48,IF(A48='Données projet'!$A$114,'Données projet'!$B$114,BY47+BX48-CG47)))</f>
        <v>205.99999999999997</v>
      </c>
      <c r="BZ48" s="13">
        <f>BY48*VLOOKUP('Données projet'!$B$12,Paramètres!$A$1:$I$89,3,0)*VLOOKUP('Données projet'!$B$12,Paramètres!$A$1:$I$89,5,0)</f>
        <v>134.97119999999998</v>
      </c>
      <c r="CA48" s="13">
        <f t="shared" si="39"/>
        <v>35.142536849088657</v>
      </c>
      <c r="CB48" s="20">
        <f t="shared" si="10"/>
        <v>296.28142501216269</v>
      </c>
      <c r="CC48" s="59">
        <f t="shared" si="11"/>
        <v>589.61475834549606</v>
      </c>
      <c r="CD48" s="59">
        <f ca="1">AVERAGE(OFFSET($CC$3,0,0,'Données projet'!$E$12+1,1))-AVERAGE(OFFSET($H$3,0,0,'Données projet'!$E$12+1,1))</f>
        <v>119.88584888779422</v>
      </c>
      <c r="CE48" s="59">
        <f t="shared" si="40"/>
        <v>162.97244314258774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30</v>
      </c>
      <c r="CH48" s="16">
        <f>IF(ISNA(VLOOKUP(A48,'Données projet'!$A$113:$I$133,5,0)),0%,VLOOKUP(A48,'Données projet'!$A$113:$I$133,5,0)*VLOOKUP('Données projet'!$B$12,Paramètres!$A$1:$I$89,7,0))</f>
        <v>0.129</v>
      </c>
      <c r="CI48" s="16">
        <f>IF(ISNA(VLOOKUP(A48,'Données projet'!$A$113:$I$133,6,0)),0%,VLOOKUP(A48,'Données projet'!$A$113:$I$133,6,0)*VLOOKUP('Données projet'!$B$12,Paramètres!$A$1:$I$89,7,0))</f>
        <v>0.15049999999999999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4.7776757623874433</v>
      </c>
      <c r="CL48" s="21">
        <f>EXP(-LN(2)/25)*CL47+(1-EXP(-LN(2)/25))/(LN(2)/25)*Calculateur!CG48*Calculateur!CI48*VLOOKUP('Données projet'!$B$12,Paramètres!$A$1:$I$89,3,0)*0.475*44/12</f>
        <v>11.576397586993235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16.354073349380677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194</v>
      </c>
      <c r="CR48" s="12">
        <f>VLOOKUP(A48,'Données projet'!$A$139:$I$159,9,0)</f>
        <v>7</v>
      </c>
      <c r="CS48" s="12">
        <f t="array" ref="CS48">INDEX(CR:CR,MIN(IF(ISNUMBER(CR48:CR244),ROW(CR48:CR244),"")))</f>
        <v>7</v>
      </c>
      <c r="CT48" s="12">
        <f>IF('Données projet'!$A$140&gt;35,CT47+CS48-DB47,IF(A48&lt;'Données projet'!$A$140,$CQ$205^A48,IF(A48='Données projet'!$A$140,'Données projet'!$B$140,CT47+CS48-DB47)))</f>
        <v>194</v>
      </c>
      <c r="CU48" s="17">
        <f>CT48*VLOOKUP('Données projet'!$B$13,Paramètres!$A$1:$I$89,3,0)*VLOOKUP('Données projet'!$B$13,Paramètres!$A$1:$I$89,5,0)</f>
        <v>196.71600000000001</v>
      </c>
      <c r="CV48" s="13">
        <f t="shared" si="41"/>
        <v>49.021749959730009</v>
      </c>
      <c r="CW48" s="20">
        <f t="shared" si="13"/>
        <v>427.99324784652981</v>
      </c>
      <c r="CX48" s="59">
        <f t="shared" si="14"/>
        <v>721.32658117986307</v>
      </c>
      <c r="CY48" s="59">
        <f ca="1">AVERAGE(OFFSET($CX$3,0,0,'Données projet'!$E$13+1,1))-AVERAGE(OFFSET($H$3,0,0,'Données projet'!$E$13+1,1))</f>
        <v>261.75887764015459</v>
      </c>
      <c r="CZ48" s="59">
        <f t="shared" si="42"/>
        <v>209.74127356028544</v>
      </c>
      <c r="DA48" s="15">
        <f>IF(ISNA(VLOOKUP(A48,'Données projet'!$A$139:$I$159,3,0)),0,VLOOKUP(A48,'Données projet'!$A$139:$I$159,3,0))</f>
        <v>2</v>
      </c>
      <c r="DB48" s="15">
        <f>IF(ISNA(VLOOKUP(A48,'Données projet'!$A$139:$I$159,4,0)),0,VLOOKUP(A48,'Données projet'!$A$139:$I$159,4,0))</f>
        <v>35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0.15049999999999999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5.8813395240073456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5.8813395240073456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220</v>
      </c>
      <c r="DM48" s="12">
        <f>VLOOKUP(A48,'Données projet'!$A$165:$I$185,9,0)</f>
        <v>8.1999999999999993</v>
      </c>
      <c r="DN48" s="12">
        <f t="array" ref="DN48">INDEX(DM:DM,MIN(IF(ISNUMBER(DM48:DM244),ROW(DM48:DM244),"")))</f>
        <v>8.1999999999999993</v>
      </c>
      <c r="DO48" s="12">
        <f>IF('Données projet'!$A$166&gt;35,DO47+DN48-DW47,IF(A48&lt;'Données projet'!$A$166,$DL$205^A48,IF(A48='Données projet'!$A$166,'Données projet'!$B$166,DO47+DN48-DW47)))</f>
        <v>219.99999999999997</v>
      </c>
      <c r="DP48" s="17">
        <f>DO48*VLOOKUP('Données projet'!$B$14,Paramètres!$A$1:$I$89,3,0)*VLOOKUP('Données projet'!$B$14,Paramètres!$A$1:$I$89,5,0)</f>
        <v>175.03199999999998</v>
      </c>
      <c r="DQ48" s="13">
        <f t="shared" si="43"/>
        <v>44.215103743191008</v>
      </c>
      <c r="DR48" s="20">
        <f t="shared" si="16"/>
        <v>381.85537235272432</v>
      </c>
      <c r="DS48" s="59">
        <f t="shared" si="17"/>
        <v>675.18870568605757</v>
      </c>
      <c r="DT48" s="59">
        <f ca="1">AVERAGE(OFFSET($DS$3,0,0,'Données projet'!$E$14+1,1))-AVERAGE(OFFSET($H$3,0,0,'Données projet'!$E$14+1,1))</f>
        <v>215.37468832969444</v>
      </c>
      <c r="DU48" s="59">
        <f t="shared" si="44"/>
        <v>208.60212063136419</v>
      </c>
      <c r="DV48" s="15">
        <f>IF(ISNA(VLOOKUP(A48,'Données projet'!$A$165:$I$185,3,0)),0,VLOOKUP(A48,'Données projet'!$A$165:$I$185,3,0))</f>
        <v>6</v>
      </c>
      <c r="DW48" s="15">
        <f>IF(ISNA(VLOOKUP(A48,'Données projet'!$A$165:$I$185,4,0)),0,VLOOKUP(A48,'Données projet'!$A$165:$I$185,4,0))</f>
        <v>22</v>
      </c>
      <c r="DX48" s="16">
        <f>IF(ISNA(VLOOKUP(A48,'Données projet'!$A$165:$I$185,5,0)),0%,VLOOKUP(A48,'Données projet'!$A$165:$I$185,5,0)*VLOOKUP('Données projet'!$B$14,Paramètres!$A$1:$I$89,7,0))</f>
        <v>0.159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11.724113849762608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11.724113849762608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220</v>
      </c>
      <c r="EH48" s="12">
        <f>VLOOKUP(A48,'Données projet'!$A$191:$I$211,9,0)</f>
        <v>8.1999999999999993</v>
      </c>
      <c r="EI48" s="12">
        <f t="array" ref="EI48">INDEX(EH:EH,MIN(IF(ISNUMBER(EH48:EH244),ROW(EH48:EH244),"")))</f>
        <v>8.1999999999999993</v>
      </c>
      <c r="EJ48" s="12">
        <f>IF('Données projet'!$A$192&gt;35,EJ47+EI48-ER47,IF(A48&lt;'Données projet'!$A$192,$EG$205^A48,IF(A48='Données projet'!$A$192,'Données projet'!$B$192,EJ47+EI48-ER47)))</f>
        <v>219.99999999999997</v>
      </c>
      <c r="EK48" s="17">
        <f>EJ48*VLOOKUP('Données projet'!$B$15,Paramètres!$A$1:$I$89,3,0)*VLOOKUP('Données projet'!$B$15,Paramètres!$A$1:$I$89,5,0)</f>
        <v>175.03199999999998</v>
      </c>
      <c r="EL48" s="13">
        <f t="shared" si="45"/>
        <v>44.215103743191008</v>
      </c>
      <c r="EM48" s="20">
        <f t="shared" si="19"/>
        <v>381.85537235272432</v>
      </c>
      <c r="EN48" s="59">
        <f t="shared" si="20"/>
        <v>675.18870568605757</v>
      </c>
      <c r="EO48" s="59">
        <f ca="1">AVERAGE(OFFSET($EN$3,0,0,'Données projet'!$E$15+1,1))-AVERAGE(OFFSET($H$3,0,0,'Données projet'!$E$15+1,1))</f>
        <v>215.37468832969444</v>
      </c>
      <c r="EP48" s="59">
        <f t="shared" si="46"/>
        <v>208.60212063136419</v>
      </c>
      <c r="EQ48" s="15">
        <f>IF(ISNA(VLOOKUP(A48,'Données projet'!$A$191:$I$211,3,0)),0,VLOOKUP(A48,'Données projet'!$A$191:$I$211,3,0))</f>
        <v>6</v>
      </c>
      <c r="ER48" s="15">
        <f>IF(ISNA(VLOOKUP(A48,'Données projet'!$A$191:$I$211,4,0)),0,VLOOKUP(A48,'Données projet'!$A$191:$I$211,4,0))</f>
        <v>22</v>
      </c>
      <c r="ES48" s="16">
        <f>IF(ISNA(VLOOKUP(A48,'Données projet'!$A$191:$I$211,5,0)),0%,VLOOKUP(A48,'Données projet'!$A$191:$I$211,5,0)*VLOOKUP('Données projet'!$B$15,Paramètres!$A$1:$I$89,7,0))</f>
        <v>0.159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11.724113849762608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11.724113849762608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220</v>
      </c>
      <c r="FC48" s="12">
        <f>VLOOKUP(A48,'Données projet'!$A$217:$I$237,9,0)</f>
        <v>8.1999999999999993</v>
      </c>
      <c r="FD48" s="12">
        <f t="array" ref="FD48">INDEX(FC:FC,MIN(IF(ISNUMBER(FC48:FC244),ROW(FC48:FC244),"")))</f>
        <v>8.1999999999999993</v>
      </c>
      <c r="FE48" s="12">
        <f>IF('Données projet'!$A$218&gt;35,FE47+FD48-FM47,IF(A48&lt;'Données projet'!$A$218,$FB$205^A48,IF(A48='Données projet'!$A$218,'Données projet'!$B$218,FE47+FD48-FM47)))</f>
        <v>219.99999999999997</v>
      </c>
      <c r="FF48" s="17">
        <f>FE48*VLOOKUP('Données projet'!$B$16,Paramètres!$A$1:$I$89,3,0)*VLOOKUP('Données projet'!$B$16,Paramètres!$A$1:$I$89,5,0)</f>
        <v>178.464</v>
      </c>
      <c r="FG48" s="13">
        <f t="shared" si="47"/>
        <v>44.980284206661857</v>
      </c>
      <c r="FH48" s="20">
        <f t="shared" si="22"/>
        <v>389.16546165993606</v>
      </c>
      <c r="FI48" s="59">
        <f t="shared" si="23"/>
        <v>682.49879499326937</v>
      </c>
      <c r="FJ48" s="59">
        <f ca="1">AVERAGE(OFFSET($FI$3,0,0,'Données projet'!$E$16+1,1))-AVERAGE(OFFSET($H$3,0,0,'Données projet'!$E$16+1,1))</f>
        <v>220.90439367987847</v>
      </c>
      <c r="FK48" s="59">
        <f t="shared" si="48"/>
        <v>213.66046131354858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0.159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11.953998435052071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11.953998435052071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1">
        <f t="shared" si="32"/>
        <v>11.284188555681862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67">
        <f t="shared" si="1"/>
        <v>377.97726840114586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300</v>
      </c>
      <c r="L49" s="12">
        <f>VLOOKUP(A49,'Données projet'!$A$35:$I$55,9,0)</f>
        <v>17</v>
      </c>
      <c r="M49" s="12">
        <f t="array" ref="M49">INDEX(L:L,MIN(IF(ISNUMBER(L49:L245),ROW(L49:L245),"")))</f>
        <v>17</v>
      </c>
      <c r="N49" s="13">
        <f>IF('Données projet'!$A$36&gt;35,N48+M49-V48,IF(A49&lt;'Données projet'!$A$36,$K$205^A49,IF(A49='Données projet'!$A$36,'Données projet'!$B$36,N48+M49-V48)))</f>
        <v>300</v>
      </c>
      <c r="O49" s="13">
        <f>N49*VLOOKUP('Données projet'!$B$9,Paramètres!$A$1:$I$89,3,0)*VLOOKUP('Données projet'!$B$9,Paramètres!$A$1:$I$89,5,0)</f>
        <v>140.4</v>
      </c>
      <c r="P49" s="13">
        <f t="shared" si="33"/>
        <v>36.388624656711201</v>
      </c>
      <c r="Q49" s="20">
        <f t="shared" si="53"/>
        <v>307.90685461043864</v>
      </c>
      <c r="R49" s="59">
        <f t="shared" si="0"/>
        <v>601.24018794377196</v>
      </c>
      <c r="S49" s="59">
        <f ca="1">AVERAGE(OFFSET($R$3,0,0,'Données projet'!$E$9+1,1))-AVERAGE(OFFSET($H$3,0,0,'Données projet'!$E$9+1,1))</f>
        <v>196.72624686715807</v>
      </c>
      <c r="T49" s="59">
        <f t="shared" si="34"/>
        <v>37.315661698104691</v>
      </c>
      <c r="U49" s="15">
        <f>IF(ISNA(VLOOKUP(A49,'Données projet'!$A$35:$I$55,3,0)),0,VLOOKUP(A49,'Données projet'!$A$35:$I$55,3,0))</f>
        <v>1</v>
      </c>
      <c r="V49" s="15">
        <f>IF(ISNA(VLOOKUP(A49,'Données projet'!$A$35:$I$55,4,0)),0,VLOOKUP(A49,'Données projet'!$A$35:$I$55,4,0))</f>
        <v>102</v>
      </c>
      <c r="W49" s="16">
        <f>IF(ISNA(VLOOKUP(A49,'Données projet'!$A$35:$I$55,5,0)),0%,VLOOKUP(A49,'Données projet'!$A$35:$I$55,5,0)*VLOOKUP('Données projet'!$B$9,Paramètres!$A$1:$I$89,7,0))</f>
        <v>0.22000000000000003</v>
      </c>
      <c r="X49" s="16">
        <f>IF(ISNA(VLOOKUP(A49,'Données projet'!$A$35:$I$55,6,0)),0%,VLOOKUP(A49,'Données projet'!$A$35:$I$55,6,0)*VLOOKUP('Données projet'!$B$9,Paramètres!$A$1:$I$89,7,0))</f>
        <v>0.22000000000000003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13.931473785869619</v>
      </c>
      <c r="AA49" s="21">
        <f>EXP(-LN(2)/25)*AA48+(1-EXP(-LN(2)/25))/(LN(2)/25)*Calculateur!V49*Calculateur!X49*VLOOKUP('Données projet'!$B$9,Paramètres!$A$1:$I$89,3,0)*0.475*44/12</f>
        <v>13.876620265266972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27.808094051136592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21.4</v>
      </c>
      <c r="AI49" s="13">
        <f>IF('Données projet'!$A$62&gt;35,AI48+AH49-AQ48,IF(A49&lt;'Données projet'!$A$62,$AF$205^A49,IF(A49='Données projet'!$A$62,'Données projet'!$B$62,AI48+AH49-AQ48)))</f>
        <v>494.4000000000002</v>
      </c>
      <c r="AJ49" s="13">
        <f>AI49*VLOOKUP('Données projet'!$B$10,Paramètres!$A$1:$I$89,3,0)*VLOOKUP('Données projet'!$B$10,Paramètres!$A$1:$I$89,5,0)</f>
        <v>276.36960000000016</v>
      </c>
      <c r="AK49" s="13">
        <f t="shared" si="35"/>
        <v>66.199219248202112</v>
      </c>
      <c r="AL49" s="20">
        <f t="shared" si="4"/>
        <v>596.64069352395222</v>
      </c>
      <c r="AM49" s="59">
        <f t="shared" si="5"/>
        <v>889.97402685728548</v>
      </c>
      <c r="AN49" s="59">
        <f ca="1">AVERAGE(OFFSET($AM$3,0,0,'Données projet'!$E$10+1,1))-AVERAGE(OFFSET($H$3,0,0,'Données projet'!$E$10+1,1))</f>
        <v>325.42940802362739</v>
      </c>
      <c r="AO49" s="59">
        <f t="shared" si="36"/>
        <v>388.87198417542277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61.516175083833758</v>
      </c>
      <c r="AV49" s="21">
        <f>EXP(-LN(2)/25)*AV48+(1-EXP(-LN(2)/25))/(LN(2)/25)*Calculateur!AQ49*Calculateur!AS49*VLOOKUP('Données projet'!$B$10,Paramètres!$A$1:$I$89,3,0)*0.475*44/12</f>
        <v>28.035614439852239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89.551789523685997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229.66666666666666</v>
      </c>
      <c r="BE49" s="13">
        <f>BD49*VLOOKUP('Données projet'!$B$11,Paramètres!$A$1:$I$89,3,0)*VLOOKUP('Données projet'!$B$11,Paramètres!$A$1:$I$89,5,0)</f>
        <v>143.31200000000001</v>
      </c>
      <c r="BF49" s="13">
        <f t="shared" si="37"/>
        <v>37.054702611837413</v>
      </c>
      <c r="BG49" s="20">
        <f t="shared" si="7"/>
        <v>314.13867371561679</v>
      </c>
      <c r="BH49" s="59">
        <f t="shared" si="8"/>
        <v>607.4720070489501</v>
      </c>
      <c r="BI49" s="59">
        <f ca="1">AVERAGE(OFFSET($BH$3,0,0,'Données projet'!$E$11+1,1))-AVERAGE(OFFSET($H$3,0,0,'Données projet'!$E$11+1,1))</f>
        <v>162.87524915738271</v>
      </c>
      <c r="BJ49" s="59">
        <f t="shared" si="38"/>
        <v>249.37880137966658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34.30205220456822</v>
      </c>
      <c r="BQ49" s="21">
        <f>EXP(-LN(2)/25)*BQ48+(1-EXP(-LN(2)/25))/(LN(2)/25)*Calculateur!BL49*Calculateur!BN49*VLOOKUP('Données projet'!$B$11,Paramètres!$A$1:$I$89,3,0)*0.475*44/12</f>
        <v>42.924998222486032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77.227050427054252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7.2</v>
      </c>
      <c r="BY49" s="12">
        <f>IF('Données projet'!$A$114&gt;35,BY48+BX49-CG48,IF(A49&lt;'Données projet'!$A$114,$BV$205^A49,IF(A49='Données projet'!$A$114,'Données projet'!$B$114,BY48+BX49-CG48)))</f>
        <v>183.19999999999996</v>
      </c>
      <c r="BZ49" s="13">
        <f>BY49*VLOOKUP('Données projet'!$B$12,Paramètres!$A$1:$I$89,3,0)*VLOOKUP('Données projet'!$B$12,Paramètres!$A$1:$I$89,5,0)</f>
        <v>120.03263999999996</v>
      </c>
      <c r="CA49" s="13">
        <f t="shared" si="39"/>
        <v>31.682611917612821</v>
      </c>
      <c r="CB49" s="20">
        <f t="shared" si="10"/>
        <v>264.23739708984226</v>
      </c>
      <c r="CC49" s="59">
        <f t="shared" si="11"/>
        <v>557.57073042317552</v>
      </c>
      <c r="CD49" s="59">
        <f ca="1">AVERAGE(OFFSET($CC$3,0,0,'Données projet'!$E$12+1,1))-AVERAGE(OFFSET($H$3,0,0,'Données projet'!$E$12+1,1))</f>
        <v>119.88584888779422</v>
      </c>
      <c r="CE49" s="59">
        <f t="shared" si="40"/>
        <v>162.97244314258774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4.6839884547814981</v>
      </c>
      <c r="CL49" s="21">
        <f>EXP(-LN(2)/25)*CL48+(1-EXP(-LN(2)/25))/(LN(2)/25)*Calculateur!CG49*Calculateur!CI49*VLOOKUP('Données projet'!$B$12,Paramètres!$A$1:$I$89,3,0)*0.475*44/12</f>
        <v>11.259840386200613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15.943828840982111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</v>
      </c>
      <c r="CT49" s="12">
        <f>IF('Données projet'!$A$140&gt;35,CT48+CS49-DB48,IF(A49&lt;'Données projet'!$A$140,$CQ$205^A49,IF(A49='Données projet'!$A$140,'Données projet'!$B$140,CT48+CS49-DB48)))</f>
        <v>166</v>
      </c>
      <c r="CU49" s="17">
        <f>CT49*VLOOKUP('Données projet'!$B$13,Paramètres!$A$1:$I$89,3,0)*VLOOKUP('Données projet'!$B$13,Paramètres!$A$1:$I$89,5,0)</f>
        <v>168.32400000000001</v>
      </c>
      <c r="CV49" s="13">
        <f t="shared" si="41"/>
        <v>42.71443916408608</v>
      </c>
      <c r="CW49" s="20">
        <f t="shared" si="13"/>
        <v>367.55861487745</v>
      </c>
      <c r="CX49" s="59">
        <f t="shared" si="14"/>
        <v>660.89194821078331</v>
      </c>
      <c r="CY49" s="59">
        <f ca="1">AVERAGE(OFFSET($CX$3,0,0,'Données projet'!$E$13+1,1))-AVERAGE(OFFSET($H$3,0,0,'Données projet'!$E$13+1,1))</f>
        <v>261.75887764015459</v>
      </c>
      <c r="CZ49" s="59">
        <f t="shared" si="42"/>
        <v>209.74127356028544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5.7205139854371607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5.7205139854371607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7.2</v>
      </c>
      <c r="DO49" s="12">
        <f>IF('Données projet'!$A$166&gt;35,DO48+DN49-DW48,IF(A49&lt;'Données projet'!$A$166,$DL$205^A49,IF(A49='Données projet'!$A$166,'Données projet'!$B$166,DO48+DN49-DW48)))</f>
        <v>205.19999999999996</v>
      </c>
      <c r="DP49" s="17">
        <f>DO49*VLOOKUP('Données projet'!$B$14,Paramètres!$A$1:$I$89,3,0)*VLOOKUP('Données projet'!$B$14,Paramètres!$A$1:$I$89,5,0)</f>
        <v>163.25711999999999</v>
      </c>
      <c r="DQ49" s="13">
        <f t="shared" si="43"/>
        <v>41.576304038313076</v>
      </c>
      <c r="DR49" s="20">
        <f t="shared" si="16"/>
        <v>356.75154686672857</v>
      </c>
      <c r="DS49" s="59">
        <f t="shared" si="17"/>
        <v>650.08488020006189</v>
      </c>
      <c r="DT49" s="59">
        <f ca="1">AVERAGE(OFFSET($DS$3,0,0,'Données projet'!$E$14+1,1))-AVERAGE(OFFSET($H$3,0,0,'Données projet'!$E$14+1,1))</f>
        <v>215.37468832969444</v>
      </c>
      <c r="DU49" s="59">
        <f t="shared" si="44"/>
        <v>208.60212063136419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11.494211128172109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11.494211128172109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7.2</v>
      </c>
      <c r="EJ49" s="12">
        <f>IF('Données projet'!$A$192&gt;35,EJ48+EI49-ER48,IF(A49&lt;'Données projet'!$A$192,$EG$205^A49,IF(A49='Données projet'!$A$192,'Données projet'!$B$192,EJ48+EI49-ER48)))</f>
        <v>205.19999999999996</v>
      </c>
      <c r="EK49" s="17">
        <f>EJ49*VLOOKUP('Données projet'!$B$15,Paramètres!$A$1:$I$89,3,0)*VLOOKUP('Données projet'!$B$15,Paramètres!$A$1:$I$89,5,0)</f>
        <v>163.25711999999999</v>
      </c>
      <c r="EL49" s="13">
        <f t="shared" si="45"/>
        <v>41.576304038313076</v>
      </c>
      <c r="EM49" s="20">
        <f t="shared" si="19"/>
        <v>356.75154686672857</v>
      </c>
      <c r="EN49" s="59">
        <f t="shared" si="20"/>
        <v>650.08488020006189</v>
      </c>
      <c r="EO49" s="59">
        <f ca="1">AVERAGE(OFFSET($EN$3,0,0,'Données projet'!$E$15+1,1))-AVERAGE(OFFSET($H$3,0,0,'Données projet'!$E$15+1,1))</f>
        <v>215.37468832969444</v>
      </c>
      <c r="EP49" s="59">
        <f t="shared" si="46"/>
        <v>208.60212063136419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11.494211128172109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11.494211128172109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7.2</v>
      </c>
      <c r="FE49" s="12">
        <f>IF('Données projet'!$A$218&gt;35,FE48+FD49-FM48,IF(A49&lt;'Données projet'!$A$218,$FB$205^A49,IF(A49='Données projet'!$A$218,'Données projet'!$B$218,FE48+FD49-FM48)))</f>
        <v>205.19999999999996</v>
      </c>
      <c r="FF49" s="17">
        <f>FE49*VLOOKUP('Données projet'!$B$16,Paramètres!$A$1:$I$89,3,0)*VLOOKUP('Données projet'!$B$16,Paramètres!$A$1:$I$89,5,0)</f>
        <v>166.45823999999996</v>
      </c>
      <c r="FG49" s="13">
        <f t="shared" si="47"/>
        <v>42.295817799452642</v>
      </c>
      <c r="FH49" s="20">
        <f t="shared" si="22"/>
        <v>363.5799840007133</v>
      </c>
      <c r="FI49" s="59">
        <f t="shared" si="23"/>
        <v>656.91331733404661</v>
      </c>
      <c r="FJ49" s="59">
        <f ca="1">AVERAGE(OFFSET($FI$3,0,0,'Données projet'!$E$16+1,1))-AVERAGE(OFFSET($H$3,0,0,'Données projet'!$E$16+1,1))</f>
        <v>220.90439367987847</v>
      </c>
      <c r="FK49" s="59">
        <f t="shared" si="48"/>
        <v>213.66046131354858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11.719587816959796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11.719587816959796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1">
        <f t="shared" si="32"/>
        <v>11.500671051108629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67">
        <f t="shared" si="1"/>
        <v>379.76714874734751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18.100000000000001</v>
      </c>
      <c r="N50" s="13">
        <f>IF('Données projet'!$A$36&gt;35,N49+M50-V49,IF(A50&lt;'Données projet'!$A$36,$K$205^A50,IF(A50='Données projet'!$A$36,'Données projet'!$B$36,N49+M50-V49)))</f>
        <v>216.10000000000002</v>
      </c>
      <c r="O50" s="13">
        <f>N50*VLOOKUP('Données projet'!$B$9,Paramètres!$A$1:$I$89,3,0)*VLOOKUP('Données projet'!$B$9,Paramètres!$A$1:$I$89,5,0)</f>
        <v>101.13480000000001</v>
      </c>
      <c r="P50" s="13">
        <f t="shared" si="33"/>
        <v>27.232170195444869</v>
      </c>
      <c r="Q50" s="20">
        <f t="shared" si="53"/>
        <v>223.57247309039982</v>
      </c>
      <c r="R50" s="59">
        <f t="shared" si="0"/>
        <v>516.90580642373311</v>
      </c>
      <c r="S50" s="59">
        <f ca="1">AVERAGE(OFFSET($R$3,0,0,'Données projet'!$E$9+1,1))-AVERAGE(OFFSET($H$3,0,0,'Données projet'!$E$9+1,1))</f>
        <v>196.72624686715807</v>
      </c>
      <c r="T50" s="59">
        <f t="shared" si="34"/>
        <v>37.315661698104691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13.658286082288681</v>
      </c>
      <c r="AA50" s="21">
        <f>EXP(-LN(2)/25)*AA49+(1-EXP(-LN(2)/25))/(LN(2)/25)*Calculateur!V50*Calculateur!X50*VLOOKUP('Données projet'!$B$9,Paramètres!$A$1:$I$89,3,0)*0.475*44/12</f>
        <v>13.497163354373502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27.155449436662181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21.4</v>
      </c>
      <c r="AI50" s="13">
        <f>IF('Données projet'!$A$62&gt;35,AI49+AH50-AQ49,IF(A50&lt;'Données projet'!$A$62,$AF$205^A50,IF(A50='Données projet'!$A$62,'Données projet'!$B$62,AI49+AH50-AQ49)))</f>
        <v>515.80000000000018</v>
      </c>
      <c r="AJ50" s="13">
        <f>AI50*VLOOKUP('Données projet'!$B$10,Paramètres!$A$1:$I$89,3,0)*VLOOKUP('Données projet'!$B$10,Paramètres!$A$1:$I$89,5,0)</f>
        <v>288.33220000000011</v>
      </c>
      <c r="AK50" s="13">
        <f t="shared" si="35"/>
        <v>68.724825912229278</v>
      </c>
      <c r="AL50" s="20">
        <f t="shared" si="4"/>
        <v>621.87432013046623</v>
      </c>
      <c r="AM50" s="59">
        <f t="shared" si="5"/>
        <v>915.20765346379949</v>
      </c>
      <c r="AN50" s="59">
        <f ca="1">AVERAGE(OFFSET($AM$3,0,0,'Données projet'!$E$10+1,1))-AVERAGE(OFFSET($H$3,0,0,'Données projet'!$E$10+1,1))</f>
        <v>325.42940802362739</v>
      </c>
      <c r="AO50" s="59">
        <f t="shared" si="36"/>
        <v>388.87198417542277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60.309880411601675</v>
      </c>
      <c r="AV50" s="21">
        <f>EXP(-LN(2)/25)*AV49+(1-EXP(-LN(2)/25))/(LN(2)/25)*Calculateur!AQ50*Calculateur!AS50*VLOOKUP('Données projet'!$B$10,Paramètres!$A$1:$I$89,3,0)*0.475*44/12</f>
        <v>27.268979088665592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87.578859500267271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240.33333333333331</v>
      </c>
      <c r="BE50" s="13">
        <f>BD50*VLOOKUP('Données projet'!$B$11,Paramètres!$A$1:$I$89,3,0)*VLOOKUP('Données projet'!$B$11,Paramètres!$A$1:$I$89,5,0)</f>
        <v>149.96799999999999</v>
      </c>
      <c r="BF50" s="13">
        <f t="shared" si="37"/>
        <v>38.571313415728291</v>
      </c>
      <c r="BG50" s="20">
        <f t="shared" si="7"/>
        <v>328.37263753239341</v>
      </c>
      <c r="BH50" s="59">
        <f t="shared" si="8"/>
        <v>621.70597086572673</v>
      </c>
      <c r="BI50" s="59">
        <f ca="1">AVERAGE(OFFSET($BH$3,0,0,'Données projet'!$E$11+1,1))-AVERAGE(OFFSET($H$3,0,0,'Données projet'!$E$11+1,1))</f>
        <v>162.87524915738271</v>
      </c>
      <c r="BJ50" s="59">
        <f t="shared" si="38"/>
        <v>249.37880137966658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33.629409883022589</v>
      </c>
      <c r="BQ50" s="21">
        <f>EXP(-LN(2)/25)*BQ49+(1-EXP(-LN(2)/25))/(LN(2)/25)*Calculateur!BL50*Calculateur!BN50*VLOOKUP('Données projet'!$B$11,Paramètres!$A$1:$I$89,3,0)*0.475*44/12</f>
        <v>41.751211888764601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75.38062177178719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7.2</v>
      </c>
      <c r="BY50" s="12">
        <f>IF('Données projet'!$A$114&gt;35,BY49+BX50-CG49,IF(A50&lt;'Données projet'!$A$114,$BV$205^A50,IF(A50='Données projet'!$A$114,'Données projet'!$B$114,BY49+BX50-CG49)))</f>
        <v>190.39999999999995</v>
      </c>
      <c r="BZ50" s="13">
        <f>BY50*VLOOKUP('Données projet'!$B$12,Paramètres!$A$1:$I$89,3,0)*VLOOKUP('Données projet'!$B$12,Paramètres!$A$1:$I$89,5,0)</f>
        <v>124.75007999999997</v>
      </c>
      <c r="CA50" s="13">
        <f t="shared" si="39"/>
        <v>32.780361960132396</v>
      </c>
      <c r="CB50" s="20">
        <f t="shared" si="10"/>
        <v>274.36551974723051</v>
      </c>
      <c r="CC50" s="59">
        <f t="shared" si="11"/>
        <v>567.69885308056382</v>
      </c>
      <c r="CD50" s="59">
        <f ca="1">AVERAGE(OFFSET($CC$3,0,0,'Données projet'!$E$12+1,1))-AVERAGE(OFFSET($H$3,0,0,'Données projet'!$E$12+1,1))</f>
        <v>119.88584888779422</v>
      </c>
      <c r="CE50" s="59">
        <f t="shared" si="40"/>
        <v>162.97244314258774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4.5921382981340901</v>
      </c>
      <c r="CL50" s="21">
        <f>EXP(-LN(2)/25)*CL49+(1-EXP(-LN(2)/25))/(LN(2)/25)*Calculateur!CG50*Calculateur!CI50*VLOOKUP('Données projet'!$B$12,Paramètres!$A$1:$I$89,3,0)*0.475*44/12</f>
        <v>10.951939458710687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15.544077756844777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</v>
      </c>
      <c r="CT50" s="12">
        <f>IF('Données projet'!$A$140&gt;35,CT49+CS50-DB49,IF(A50&lt;'Données projet'!$A$140,$CQ$205^A50,IF(A50='Données projet'!$A$140,'Données projet'!$B$140,CT49+CS50-DB49)))</f>
        <v>173</v>
      </c>
      <c r="CU50" s="17">
        <f>CT50*VLOOKUP('Données projet'!$B$13,Paramètres!$A$1:$I$89,3,0)*VLOOKUP('Données projet'!$B$13,Paramètres!$A$1:$I$89,5,0)</f>
        <v>175.422</v>
      </c>
      <c r="CV50" s="13">
        <f t="shared" si="41"/>
        <v>44.302143412304737</v>
      </c>
      <c r="CW50" s="20">
        <f t="shared" si="13"/>
        <v>382.68621644309741</v>
      </c>
      <c r="CX50" s="59">
        <f t="shared" si="14"/>
        <v>676.01954977643072</v>
      </c>
      <c r="CY50" s="59">
        <f ca="1">AVERAGE(OFFSET($CX$3,0,0,'Données projet'!$E$13+1,1))-AVERAGE(OFFSET($H$3,0,0,'Données projet'!$E$13+1,1))</f>
        <v>261.75887764015459</v>
      </c>
      <c r="CZ50" s="59">
        <f t="shared" si="42"/>
        <v>209.74127356028544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5.5640862296766258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5.5640862296766258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7.2</v>
      </c>
      <c r="DO50" s="12">
        <f>IF('Données projet'!$A$166&gt;35,DO49+DN50-DW49,IF(A50&lt;'Données projet'!$A$166,$DL$205^A50,IF(A50='Données projet'!$A$166,'Données projet'!$B$166,DO49+DN50-DW49)))</f>
        <v>212.39999999999995</v>
      </c>
      <c r="DP50" s="17">
        <f>DO50*VLOOKUP('Données projet'!$B$14,Paramètres!$A$1:$I$89,3,0)*VLOOKUP('Données projet'!$B$14,Paramètres!$A$1:$I$89,5,0)</f>
        <v>168.98543999999995</v>
      </c>
      <c r="DQ50" s="13">
        <f t="shared" si="43"/>
        <v>42.862716794747783</v>
      </c>
      <c r="DR50" s="20">
        <f t="shared" si="16"/>
        <v>368.96887308418565</v>
      </c>
      <c r="DS50" s="59">
        <f t="shared" si="17"/>
        <v>662.30220641751896</v>
      </c>
      <c r="DT50" s="59">
        <f ca="1">AVERAGE(OFFSET($DS$3,0,0,'Données projet'!$E$14+1,1))-AVERAGE(OFFSET($H$3,0,0,'Données projet'!$E$14+1,1))</f>
        <v>215.37468832969444</v>
      </c>
      <c r="DU50" s="59">
        <f t="shared" si="44"/>
        <v>208.60212063136419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11.268816658725186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11.268816658725186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7.2</v>
      </c>
      <c r="EJ50" s="12">
        <f>IF('Données projet'!$A$192&gt;35,EJ49+EI50-ER49,IF(A50&lt;'Données projet'!$A$192,$EG$205^A50,IF(A50='Données projet'!$A$192,'Données projet'!$B$192,EJ49+EI50-ER49)))</f>
        <v>212.39999999999995</v>
      </c>
      <c r="EK50" s="17">
        <f>EJ50*VLOOKUP('Données projet'!$B$15,Paramètres!$A$1:$I$89,3,0)*VLOOKUP('Données projet'!$B$15,Paramètres!$A$1:$I$89,5,0)</f>
        <v>168.98543999999995</v>
      </c>
      <c r="EL50" s="13">
        <f t="shared" si="45"/>
        <v>42.862716794747783</v>
      </c>
      <c r="EM50" s="20">
        <f t="shared" si="19"/>
        <v>368.96887308418565</v>
      </c>
      <c r="EN50" s="59">
        <f t="shared" si="20"/>
        <v>662.30220641751896</v>
      </c>
      <c r="EO50" s="59">
        <f ca="1">AVERAGE(OFFSET($EN$3,0,0,'Données projet'!$E$15+1,1))-AVERAGE(OFFSET($H$3,0,0,'Données projet'!$E$15+1,1))</f>
        <v>215.37468832969444</v>
      </c>
      <c r="EP50" s="59">
        <f t="shared" si="46"/>
        <v>208.60212063136419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11.268816658725186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11.268816658725186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7.2</v>
      </c>
      <c r="FE50" s="12">
        <f>IF('Données projet'!$A$218&gt;35,FE49+FD50-FM49,IF(A50&lt;'Données projet'!$A$218,$FB$205^A50,IF(A50='Données projet'!$A$218,'Données projet'!$B$218,FE49+FD50-FM49)))</f>
        <v>212.39999999999995</v>
      </c>
      <c r="FF50" s="17">
        <f>FE50*VLOOKUP('Données projet'!$B$16,Paramètres!$A$1:$I$89,3,0)*VLOOKUP('Données projet'!$B$16,Paramètres!$A$1:$I$89,5,0)</f>
        <v>172.29887999999997</v>
      </c>
      <c r="FG50" s="13">
        <f t="shared" si="47"/>
        <v>43.604493036936837</v>
      </c>
      <c r="FH50" s="20">
        <f t="shared" si="22"/>
        <v>376.03170803933159</v>
      </c>
      <c r="FI50" s="59">
        <f t="shared" si="23"/>
        <v>669.3650413726649</v>
      </c>
      <c r="FJ50" s="59">
        <f ca="1">AVERAGE(OFFSET($FI$3,0,0,'Données projet'!$E$16+1,1))-AVERAGE(OFFSET($H$3,0,0,'Données projet'!$E$16+1,1))</f>
        <v>220.90439367987847</v>
      </c>
      <c r="FK50" s="59">
        <f t="shared" si="48"/>
        <v>213.66046131354858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11.489773848111954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11.489773848111954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1">
        <f t="shared" si="32"/>
        <v>11.716618027553629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67">
        <f t="shared" si="1"/>
        <v>381.55609639798917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18.100000000000001</v>
      </c>
      <c r="N51" s="13">
        <f>IF('Données projet'!$A$36&gt;35,N50+M51-V50,IF(A51&lt;'Données projet'!$A$36,$K$205^A51,IF(A51='Données projet'!$A$36,'Données projet'!$B$36,N50+M51-V50)))</f>
        <v>234.20000000000002</v>
      </c>
      <c r="O51" s="13">
        <f>N51*VLOOKUP('Données projet'!$B$9,Paramètres!$A$1:$I$89,3,0)*VLOOKUP('Données projet'!$B$9,Paramètres!$A$1:$I$89,5,0)</f>
        <v>109.6056</v>
      </c>
      <c r="P51" s="13">
        <f t="shared" si="33"/>
        <v>29.238041439718209</v>
      </c>
      <c r="Q51" s="20">
        <f t="shared" si="53"/>
        <v>241.81934217417586</v>
      </c>
      <c r="R51" s="59">
        <f t="shared" si="0"/>
        <v>535.15267550750923</v>
      </c>
      <c r="S51" s="59">
        <f ca="1">AVERAGE(OFFSET($R$3,0,0,'Données projet'!$E$9+1,1))-AVERAGE(OFFSET($H$3,0,0,'Données projet'!$E$9+1,1))</f>
        <v>196.72624686715807</v>
      </c>
      <c r="T51" s="59">
        <f t="shared" si="34"/>
        <v>37.315661698104691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13.390455422946919</v>
      </c>
      <c r="AA51" s="21">
        <f>EXP(-LN(2)/25)*AA50+(1-EXP(-LN(2)/25))/(LN(2)/25)*Calculateur!V51*Calculateur!X51*VLOOKUP('Données projet'!$B$9,Paramètres!$A$1:$I$89,3,0)*0.475*44/12</f>
        <v>13.128082712663186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26.518538135610108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21.4</v>
      </c>
      <c r="AI51" s="13">
        <f>IF('Données projet'!$A$62&gt;35,AI50+AH51-AQ50,IF(A51&lt;'Données projet'!$A$62,$AF$205^A51,IF(A51='Données projet'!$A$62,'Données projet'!$B$62,AI50+AH51-AQ50)))</f>
        <v>537.20000000000016</v>
      </c>
      <c r="AJ51" s="13">
        <f>AI51*VLOOKUP('Données projet'!$B$10,Paramètres!$A$1:$I$89,3,0)*VLOOKUP('Données projet'!$B$10,Paramètres!$A$1:$I$89,5,0)</f>
        <v>300.29480000000012</v>
      </c>
      <c r="AK51" s="13">
        <f t="shared" si="35"/>
        <v>71.238261345876637</v>
      </c>
      <c r="AL51" s="20">
        <f t="shared" si="4"/>
        <v>647.08674851073533</v>
      </c>
      <c r="AM51" s="59">
        <f t="shared" si="5"/>
        <v>940.42008184406859</v>
      </c>
      <c r="AN51" s="59">
        <f ca="1">AVERAGE(OFFSET($AM$3,0,0,'Données projet'!$E$10+1,1))-AVERAGE(OFFSET($H$3,0,0,'Données projet'!$E$10+1,1))</f>
        <v>325.42940802362739</v>
      </c>
      <c r="AO51" s="59">
        <f t="shared" si="36"/>
        <v>388.87198417542277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59.127240442124965</v>
      </c>
      <c r="AV51" s="21">
        <f>EXP(-LN(2)/25)*AV50+(1-EXP(-LN(2)/25))/(LN(2)/25)*Calculateur!AQ51*Calculateur!AS51*VLOOKUP('Données projet'!$B$10,Paramètres!$A$1:$I$89,3,0)*0.475*44/12</f>
        <v>26.523307421472744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85.650547863597708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250.99999999999997</v>
      </c>
      <c r="BE51" s="13">
        <f>BD51*VLOOKUP('Données projet'!$B$11,Paramètres!$A$1:$I$89,3,0)*VLOOKUP('Données projet'!$B$11,Paramètres!$A$1:$I$89,5,0)</f>
        <v>156.62399999999997</v>
      </c>
      <c r="BF51" s="13">
        <f t="shared" si="37"/>
        <v>40.080106661953565</v>
      </c>
      <c r="BG51" s="20">
        <f t="shared" si="7"/>
        <v>342.592985769569</v>
      </c>
      <c r="BH51" s="59">
        <f t="shared" si="8"/>
        <v>635.92631910290231</v>
      </c>
      <c r="BI51" s="59">
        <f ca="1">AVERAGE(OFFSET($BH$3,0,0,'Données projet'!$E$11+1,1))-AVERAGE(OFFSET($H$3,0,0,'Données projet'!$E$11+1,1))</f>
        <v>162.87524915738271</v>
      </c>
      <c r="BJ51" s="59">
        <f t="shared" si="38"/>
        <v>249.37880137966658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0.42</v>
      </c>
      <c r="BN51" s="16">
        <f>IF(ISNA(VLOOKUP(A51,'Données projet'!$A$87:$I$107,6,0)),0%,VLOOKUP(A51,'Données projet'!$A$87:$I$107,6,0)*VLOOKUP('Données projet'!$B$11,Paramètres!$A$1:$I$89,7,0))</f>
        <v>0.12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55.568248478434818</v>
      </c>
      <c r="BQ51" s="21">
        <f>EXP(-LN(2)/25)*BQ50+(1-EXP(-LN(2)/25))/(LN(2)/25)*Calculateur!BL51*Calculateur!BN51*VLOOKUP('Données projet'!$B$11,Paramètres!$A$1:$I$89,3,0)*0.475*44/12</f>
        <v>47.040755012567146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102.60900349100197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7.2</v>
      </c>
      <c r="BY51" s="12">
        <f>IF('Données projet'!$A$114&gt;35,BY50+BX51-CG50,IF(A51&lt;'Données projet'!$A$114,$BV$205^A51,IF(A51='Données projet'!$A$114,'Données projet'!$B$114,BY50+BX51-CG50)))</f>
        <v>197.59999999999994</v>
      </c>
      <c r="BZ51" s="13">
        <f>BY51*VLOOKUP('Données projet'!$B$12,Paramètres!$A$1:$I$89,3,0)*VLOOKUP('Données projet'!$B$12,Paramètres!$A$1:$I$89,5,0)</f>
        <v>129.46751999999998</v>
      </c>
      <c r="CA51" s="13">
        <f t="shared" si="39"/>
        <v>33.873289462262882</v>
      </c>
      <c r="CB51" s="20">
        <f t="shared" si="10"/>
        <v>284.48524314677445</v>
      </c>
      <c r="CC51" s="59">
        <f t="shared" si="11"/>
        <v>577.81857648010782</v>
      </c>
      <c r="CD51" s="59">
        <f ca="1">AVERAGE(OFFSET($CC$3,0,0,'Données projet'!$E$12+1,1))-AVERAGE(OFFSET($H$3,0,0,'Données projet'!$E$12+1,1))</f>
        <v>119.88584888779422</v>
      </c>
      <c r="CE51" s="59">
        <f t="shared" si="40"/>
        <v>162.97244314258774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4.5020892670354735</v>
      </c>
      <c r="CL51" s="21">
        <f>EXP(-LN(2)/25)*CL50+(1-EXP(-LN(2)/25))/(LN(2)/25)*Calculateur!CG51*Calculateur!CI51*VLOOKUP('Données projet'!$B$12,Paramètres!$A$1:$I$89,3,0)*0.475*44/12</f>
        <v>10.652458098274778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15.15454736531025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</v>
      </c>
      <c r="CT51" s="12">
        <f>IF('Données projet'!$A$140&gt;35,CT50+CS51-DB50,IF(A51&lt;'Données projet'!$A$140,$CQ$205^A51,IF(A51='Données projet'!$A$140,'Données projet'!$B$140,CT50+CS51-DB50)))</f>
        <v>180</v>
      </c>
      <c r="CU51" s="17">
        <f>CT51*VLOOKUP('Données projet'!$B$13,Paramètres!$A$1:$I$89,3,0)*VLOOKUP('Données projet'!$B$13,Paramètres!$A$1:$I$89,5,0)</f>
        <v>182.52</v>
      </c>
      <c r="CV51" s="13">
        <f t="shared" si="41"/>
        <v>45.882385280285632</v>
      </c>
      <c r="CW51" s="20">
        <f t="shared" si="13"/>
        <v>397.80082102983079</v>
      </c>
      <c r="CX51" s="59">
        <f t="shared" si="14"/>
        <v>691.13415436316404</v>
      </c>
      <c r="CY51" s="59">
        <f ca="1">AVERAGE(OFFSET($CX$3,0,0,'Données projet'!$E$13+1,1))-AVERAGE(OFFSET($H$3,0,0,'Données projet'!$E$13+1,1))</f>
        <v>261.75887764015459</v>
      </c>
      <c r="CZ51" s="59">
        <f t="shared" si="42"/>
        <v>209.74127356028544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5.411935999123541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5.411935999123541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7.2</v>
      </c>
      <c r="DO51" s="12">
        <f>IF('Données projet'!$A$166&gt;35,DO50+DN51-DW50,IF(A51&lt;'Données projet'!$A$166,$DL$205^A51,IF(A51='Données projet'!$A$166,'Données projet'!$B$166,DO50+DN51-DW50)))</f>
        <v>219.59999999999994</v>
      </c>
      <c r="DP51" s="17">
        <f>DO51*VLOOKUP('Données projet'!$B$14,Paramètres!$A$1:$I$89,3,0)*VLOOKUP('Données projet'!$B$14,Paramètres!$A$1:$I$89,5,0)</f>
        <v>174.71375999999995</v>
      </c>
      <c r="DQ51" s="13">
        <f t="shared" si="43"/>
        <v>44.144062647515781</v>
      </c>
      <c r="DR51" s="20">
        <f t="shared" si="16"/>
        <v>381.17737444442315</v>
      </c>
      <c r="DS51" s="59">
        <f t="shared" si="17"/>
        <v>674.51070777775647</v>
      </c>
      <c r="DT51" s="59">
        <f ca="1">AVERAGE(OFFSET($DS$3,0,0,'Données projet'!$E$14+1,1))-AVERAGE(OFFSET($H$3,0,0,'Données projet'!$E$14+1,1))</f>
        <v>215.37468832969444</v>
      </c>
      <c r="DU51" s="59">
        <f t="shared" si="44"/>
        <v>208.60212063136419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11.047842037347065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11.047842037347065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7.2</v>
      </c>
      <c r="EJ51" s="12">
        <f>IF('Données projet'!$A$192&gt;35,EJ50+EI51-ER50,IF(A51&lt;'Données projet'!$A$192,$EG$205^A51,IF(A51='Données projet'!$A$192,'Données projet'!$B$192,EJ50+EI51-ER50)))</f>
        <v>219.59999999999994</v>
      </c>
      <c r="EK51" s="17">
        <f>EJ51*VLOOKUP('Données projet'!$B$15,Paramètres!$A$1:$I$89,3,0)*VLOOKUP('Données projet'!$B$15,Paramètres!$A$1:$I$89,5,0)</f>
        <v>174.71375999999995</v>
      </c>
      <c r="EL51" s="13">
        <f t="shared" si="45"/>
        <v>44.144062647515781</v>
      </c>
      <c r="EM51" s="20">
        <f t="shared" si="19"/>
        <v>381.17737444442315</v>
      </c>
      <c r="EN51" s="59">
        <f t="shared" si="20"/>
        <v>674.51070777775647</v>
      </c>
      <c r="EO51" s="59">
        <f ca="1">AVERAGE(OFFSET($EN$3,0,0,'Données projet'!$E$15+1,1))-AVERAGE(OFFSET($H$3,0,0,'Données projet'!$E$15+1,1))</f>
        <v>215.37468832969444</v>
      </c>
      <c r="EP51" s="59">
        <f t="shared" si="46"/>
        <v>208.60212063136419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11.047842037347065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11.047842037347065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7.2</v>
      </c>
      <c r="FE51" s="12">
        <f>IF('Données projet'!$A$218&gt;35,FE50+FD51-FM50,IF(A51&lt;'Données projet'!$A$218,$FB$205^A51,IF(A51='Données projet'!$A$218,'Données projet'!$B$218,FE50+FD51-FM50)))</f>
        <v>219.59999999999994</v>
      </c>
      <c r="FF51" s="17">
        <f>FE51*VLOOKUP('Données projet'!$B$16,Paramètres!$A$1:$I$89,3,0)*VLOOKUP('Données projet'!$B$16,Paramètres!$A$1:$I$89,5,0)</f>
        <v>178.13951999999995</v>
      </c>
      <c r="FG51" s="13">
        <f t="shared" si="47"/>
        <v>44.908013683621</v>
      </c>
      <c r="FH51" s="20">
        <f t="shared" si="22"/>
        <v>388.4744544989731</v>
      </c>
      <c r="FI51" s="59">
        <f t="shared" si="23"/>
        <v>681.80778783230642</v>
      </c>
      <c r="FJ51" s="59">
        <f ca="1">AVERAGE(OFFSET($FI$3,0,0,'Données projet'!$E$16+1,1))-AVERAGE(OFFSET($H$3,0,0,'Données projet'!$E$16+1,1))</f>
        <v>220.90439367987847</v>
      </c>
      <c r="FK51" s="59">
        <f t="shared" si="48"/>
        <v>213.66046131354858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11.264466391020536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11.264466391020536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1">
        <f t="shared" si="32"/>
        <v>11.93204192702321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67">
        <f t="shared" si="1"/>
        <v>383.34413302289869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18.100000000000001</v>
      </c>
      <c r="N52" s="13">
        <f>IF('Données projet'!$A$36&gt;35,N51+M52-V51,IF(A52&lt;'Données projet'!$A$36,$K$205^A52,IF(A52='Données projet'!$A$36,'Données projet'!$B$36,N51+M52-V51)))</f>
        <v>252.3</v>
      </c>
      <c r="O52" s="13">
        <f>N52*VLOOKUP('Données projet'!$B$9,Paramètres!$A$1:$I$89,3,0)*VLOOKUP('Données projet'!$B$9,Paramètres!$A$1:$I$89,5,0)</f>
        <v>118.07640000000001</v>
      </c>
      <c r="P52" s="13">
        <f t="shared" si="33"/>
        <v>31.225930100508233</v>
      </c>
      <c r="Q52" s="20">
        <f t="shared" si="53"/>
        <v>260.03489159171852</v>
      </c>
      <c r="R52" s="59">
        <f t="shared" si="0"/>
        <v>553.36822492505189</v>
      </c>
      <c r="S52" s="59">
        <f ca="1">AVERAGE(OFFSET($R$3,0,0,'Données projet'!$E$9+1,1))-AVERAGE(OFFSET($H$3,0,0,'Données projet'!$E$9+1,1))</f>
        <v>196.72624686715807</v>
      </c>
      <c r="T52" s="59">
        <f t="shared" si="34"/>
        <v>37.315661698104691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13.127876759474278</v>
      </c>
      <c r="AA52" s="21">
        <f>EXP(-LN(2)/25)*AA51+(1-EXP(-LN(2)/25))/(LN(2)/25)*Calculateur!V52*Calculateur!X52*VLOOKUP('Données projet'!$B$9,Paramètres!$A$1:$I$89,3,0)*0.475*44/12</f>
        <v>12.769094600509547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25.896971359983823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21.4</v>
      </c>
      <c r="AI52" s="13">
        <f>IF('Données projet'!$A$62&gt;35,AI51+AH52-AQ51,IF(A52&lt;'Données projet'!$A$62,$AF$205^A52,IF(A52='Données projet'!$A$62,'Données projet'!$B$62,AI51+AH52-AQ51)))</f>
        <v>558.60000000000014</v>
      </c>
      <c r="AJ52" s="13">
        <f>AI52*VLOOKUP('Données projet'!$B$10,Paramètres!$A$1:$I$89,3,0)*VLOOKUP('Données projet'!$B$10,Paramètres!$A$1:$I$89,5,0)</f>
        <v>312.25740000000008</v>
      </c>
      <c r="AK52" s="13">
        <f t="shared" si="35"/>
        <v>73.74006587990722</v>
      </c>
      <c r="AL52" s="20">
        <f t="shared" si="4"/>
        <v>672.27891974083843</v>
      </c>
      <c r="AM52" s="59">
        <f t="shared" si="5"/>
        <v>965.6122530741718</v>
      </c>
      <c r="AN52" s="59">
        <f ca="1">AVERAGE(OFFSET($AM$3,0,0,'Données projet'!$E$10+1,1))-AVERAGE(OFFSET($H$3,0,0,'Données projet'!$E$10+1,1))</f>
        <v>325.42940802362739</v>
      </c>
      <c r="AO52" s="59">
        <f t="shared" si="36"/>
        <v>388.87198417542277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57.967791321110532</v>
      </c>
      <c r="AV52" s="21">
        <f>EXP(-LN(2)/25)*AV51+(1-EXP(-LN(2)/25))/(LN(2)/25)*Calculateur!AQ52*Calculateur!AS52*VLOOKUP('Données projet'!$B$10,Paramètres!$A$1:$I$89,3,0)*0.475*44/12</f>
        <v>25.798026185232455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83.765817506342984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195.75</v>
      </c>
      <c r="BE52" s="13">
        <f>BD52*VLOOKUP('Données projet'!$B$11,Paramètres!$A$1:$I$89,3,0)*VLOOKUP('Données projet'!$B$11,Paramètres!$A$1:$I$89,5,0)</f>
        <v>122.148</v>
      </c>
      <c r="BF52" s="13">
        <f t="shared" si="37"/>
        <v>32.175466547071615</v>
      </c>
      <c r="BG52" s="20">
        <f t="shared" si="7"/>
        <v>268.78003756948306</v>
      </c>
      <c r="BH52" s="59">
        <f t="shared" si="8"/>
        <v>562.11337090281631</v>
      </c>
      <c r="BI52" s="59">
        <f ca="1">AVERAGE(OFFSET($BH$3,0,0,'Données projet'!$E$11+1,1))-AVERAGE(OFFSET($H$3,0,0,'Données projet'!$E$11+1,1))</f>
        <v>162.87524915738271</v>
      </c>
      <c r="BJ52" s="59">
        <f t="shared" si="38"/>
        <v>249.37880137966658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54.478589019057601</v>
      </c>
      <c r="BQ52" s="21">
        <f>EXP(-LN(2)/25)*BQ51+(1-EXP(-LN(2)/25))/(LN(2)/25)*Calculateur!BL52*Calculateur!BN52*VLOOKUP('Données projet'!$B$11,Paramètres!$A$1:$I$89,3,0)*0.475*44/12</f>
        <v>45.754423092982705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100.23301211204031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7.2</v>
      </c>
      <c r="BY52" s="12">
        <f>IF('Données projet'!$A$114&gt;35,BY51+BX52-CG51,IF(A52&lt;'Données projet'!$A$114,$BV$205^A52,IF(A52='Données projet'!$A$114,'Données projet'!$B$114,BY51+BX52-CG51)))</f>
        <v>204.79999999999993</v>
      </c>
      <c r="BZ52" s="13">
        <f>BY52*VLOOKUP('Données projet'!$B$12,Paramètres!$A$1:$I$89,3,0)*VLOOKUP('Données projet'!$B$12,Paramètres!$A$1:$I$89,5,0)</f>
        <v>134.18495999999993</v>
      </c>
      <c r="CA52" s="13">
        <f t="shared" si="39"/>
        <v>34.96159027064818</v>
      </c>
      <c r="CB52" s="20">
        <f t="shared" si="10"/>
        <v>294.59690838804539</v>
      </c>
      <c r="CC52" s="59">
        <f t="shared" si="11"/>
        <v>587.93024172137871</v>
      </c>
      <c r="CD52" s="59">
        <f ca="1">AVERAGE(OFFSET($CC$3,0,0,'Données projet'!$E$12+1,1))-AVERAGE(OFFSET($H$3,0,0,'Données projet'!$E$12+1,1))</f>
        <v>119.88584888779422</v>
      </c>
      <c r="CE52" s="59">
        <f t="shared" si="40"/>
        <v>162.97244314258774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4.4138060425122152</v>
      </c>
      <c r="CL52" s="21">
        <f>EXP(-LN(2)/25)*CL51+(1-EXP(-LN(2)/25))/(LN(2)/25)*Calculateur!CG52*Calculateur!CI52*VLOOKUP('Données projet'!$B$12,Paramètres!$A$1:$I$89,3,0)*0.475*44/12</f>
        <v>10.361166071389029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14.774972113901244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</v>
      </c>
      <c r="CT52" s="12">
        <f>IF('Données projet'!$A$140&gt;35,CT51+CS52-DB51,IF(A52&lt;'Données projet'!$A$140,$CQ$205^A52,IF(A52='Données projet'!$A$140,'Données projet'!$B$140,CT51+CS52-DB51)))</f>
        <v>187</v>
      </c>
      <c r="CU52" s="17">
        <f>CT52*VLOOKUP('Données projet'!$B$13,Paramètres!$A$1:$I$89,3,0)*VLOOKUP('Données projet'!$B$13,Paramètres!$A$1:$I$89,5,0)</f>
        <v>189.61799999999999</v>
      </c>
      <c r="CV52" s="13">
        <f t="shared" si="41"/>
        <v>47.4554881852685</v>
      </c>
      <c r="CW52" s="20">
        <f t="shared" si="13"/>
        <v>412.90299192267594</v>
      </c>
      <c r="CX52" s="59">
        <f t="shared" si="14"/>
        <v>706.2363252560092</v>
      </c>
      <c r="CY52" s="59">
        <f ca="1">AVERAGE(OFFSET($CX$3,0,0,'Données projet'!$E$13+1,1))-AVERAGE(OFFSET($H$3,0,0,'Données projet'!$E$13+1,1))</f>
        <v>261.75887764015459</v>
      </c>
      <c r="CZ52" s="59">
        <f t="shared" si="42"/>
        <v>209.74127356028544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5.2639463246261631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5.2639463246261631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7.2</v>
      </c>
      <c r="DO52" s="12">
        <f>IF('Données projet'!$A$166&gt;35,DO51+DN52-DW51,IF(A52&lt;'Données projet'!$A$166,$DL$205^A52,IF(A52='Données projet'!$A$166,'Données projet'!$B$166,DO51+DN52-DW51)))</f>
        <v>226.79999999999993</v>
      </c>
      <c r="DP52" s="17">
        <f>DO52*VLOOKUP('Données projet'!$B$14,Paramètres!$A$1:$I$89,3,0)*VLOOKUP('Données projet'!$B$14,Paramètres!$A$1:$I$89,5,0)</f>
        <v>180.44207999999995</v>
      </c>
      <c r="DQ52" s="13">
        <f t="shared" si="43"/>
        <v>45.420526775820029</v>
      </c>
      <c r="DR52" s="20">
        <f t="shared" si="16"/>
        <v>393.37737346788646</v>
      </c>
      <c r="DS52" s="59">
        <f t="shared" si="17"/>
        <v>686.71070680121977</v>
      </c>
      <c r="DT52" s="59">
        <f ca="1">AVERAGE(OFFSET($DS$3,0,0,'Données projet'!$E$14+1,1))-AVERAGE(OFFSET($H$3,0,0,'Données projet'!$E$14+1,1))</f>
        <v>215.37468832969444</v>
      </c>
      <c r="DU52" s="59">
        <f t="shared" si="44"/>
        <v>208.60212063136419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10.831200593512959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10.831200593512959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7.2</v>
      </c>
      <c r="EJ52" s="12">
        <f>IF('Données projet'!$A$192&gt;35,EJ51+EI52-ER51,IF(A52&lt;'Données projet'!$A$192,$EG$205^A52,IF(A52='Données projet'!$A$192,'Données projet'!$B$192,EJ51+EI52-ER51)))</f>
        <v>226.79999999999993</v>
      </c>
      <c r="EK52" s="17">
        <f>EJ52*VLOOKUP('Données projet'!$B$15,Paramètres!$A$1:$I$89,3,0)*VLOOKUP('Données projet'!$B$15,Paramètres!$A$1:$I$89,5,0)</f>
        <v>180.44207999999995</v>
      </c>
      <c r="EL52" s="13">
        <f t="shared" si="45"/>
        <v>45.420526775820029</v>
      </c>
      <c r="EM52" s="20">
        <f t="shared" si="19"/>
        <v>393.37737346788646</v>
      </c>
      <c r="EN52" s="59">
        <f t="shared" si="20"/>
        <v>686.71070680121977</v>
      </c>
      <c r="EO52" s="59">
        <f ca="1">AVERAGE(OFFSET($EN$3,0,0,'Données projet'!$E$15+1,1))-AVERAGE(OFFSET($H$3,0,0,'Données projet'!$E$15+1,1))</f>
        <v>215.37468832969444</v>
      </c>
      <c r="EP52" s="59">
        <f t="shared" si="46"/>
        <v>208.60212063136419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10.831200593512959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10.831200593512959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7.2</v>
      </c>
      <c r="FE52" s="12">
        <f>IF('Données projet'!$A$218&gt;35,FE51+FD52-FM51,IF(A52&lt;'Données projet'!$A$218,$FB$205^A52,IF(A52='Données projet'!$A$218,'Données projet'!$B$218,FE51+FD52-FM51)))</f>
        <v>226.79999999999993</v>
      </c>
      <c r="FF52" s="17">
        <f>FE52*VLOOKUP('Données projet'!$B$16,Paramètres!$A$1:$I$89,3,0)*VLOOKUP('Données projet'!$B$16,Paramètres!$A$1:$I$89,5,0)</f>
        <v>183.98015999999996</v>
      </c>
      <c r="FG52" s="13">
        <f t="shared" si="47"/>
        <v>46.206568123393723</v>
      </c>
      <c r="FH52" s="20">
        <f t="shared" si="22"/>
        <v>400.90855148157726</v>
      </c>
      <c r="FI52" s="59">
        <f t="shared" si="23"/>
        <v>694.24188481491058</v>
      </c>
      <c r="FJ52" s="59">
        <f ca="1">AVERAGE(OFFSET($FI$3,0,0,'Données projet'!$E$16+1,1))-AVERAGE(OFFSET($H$3,0,0,'Données projet'!$E$16+1,1))</f>
        <v>220.90439367987847</v>
      </c>
      <c r="FK52" s="59">
        <f t="shared" si="48"/>
        <v>213.66046131354858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11.043577075738702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11.043577075738702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1">
        <f t="shared" si="32"/>
        <v>12.146954654656575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67">
        <f t="shared" si="1"/>
        <v>385.13127935686015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18.100000000000001</v>
      </c>
      <c r="N53" s="13">
        <f>IF('Données projet'!$A$36&gt;35,N52+M53-V52,IF(A53&lt;'Données projet'!$A$36,$K$205^A53,IF(A53='Données projet'!$A$36,'Données projet'!$B$36,N52+M53-V52)))</f>
        <v>270.40000000000003</v>
      </c>
      <c r="O53" s="13">
        <f>N53*VLOOKUP('Données projet'!$B$9,Paramètres!$A$1:$I$89,3,0)*VLOOKUP('Données projet'!$B$9,Paramètres!$A$1:$I$89,5,0)</f>
        <v>126.54720000000002</v>
      </c>
      <c r="P53" s="13">
        <f t="shared" si="33"/>
        <v>33.19727296936243</v>
      </c>
      <c r="Q53" s="20">
        <f t="shared" si="53"/>
        <v>278.22162375497288</v>
      </c>
      <c r="R53" s="59">
        <f t="shared" si="0"/>
        <v>571.5549570883062</v>
      </c>
      <c r="S53" s="59">
        <f ca="1">AVERAGE(OFFSET($R$3,0,0,'Données projet'!$E$9+1,1))-AVERAGE(OFFSET($H$3,0,0,'Données projet'!$E$9+1,1))</f>
        <v>196.72624686715807</v>
      </c>
      <c r="T53" s="59">
        <f t="shared" si="34"/>
        <v>37.315661698104691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12.870447103435163</v>
      </c>
      <c r="AA53" s="21">
        <f>EXP(-LN(2)/25)*AA52+(1-EXP(-LN(2)/25))/(LN(2)/25)*Calculateur!V53*Calculateur!X53*VLOOKUP('Données projet'!$B$9,Paramètres!$A$1:$I$89,3,0)*0.475*44/12</f>
        <v>12.419923037161112</v>
      </c>
      <c r="AB53" s="21">
        <f>EXP(-LN(2)/2)*AB52+(1-EXP(-LN(2)/2))/(LN(2)/2)*V53*Y53*VLOOKUP('Données projet'!$B$9,Paramètres!$A$1:$I$89,3,0)*0.475*44/12</f>
        <v>0</v>
      </c>
      <c r="AC53" s="22">
        <f t="shared" si="3"/>
        <v>25.290370140596274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581</v>
      </c>
      <c r="AG53" s="12">
        <f>VLOOKUP(A53,'Données projet'!$A$61:$I$81,9,0)</f>
        <v>21.4</v>
      </c>
      <c r="AH53" s="12">
        <f t="array" ref="AH53">INDEX(AG:AG,MIN(IF(ISNUMBER(AG53:AG249),ROW(AG53:AG249),"")))</f>
        <v>21.4</v>
      </c>
      <c r="AI53" s="13">
        <f>IF('Données projet'!$A$62&gt;35,AI52+AH53-AQ52,IF(A53&lt;'Données projet'!$A$62,$AF$205^A53,IF(A53='Données projet'!$A$62,'Données projet'!$B$62,AI52+AH53-AQ52)))</f>
        <v>580.00000000000011</v>
      </c>
      <c r="AJ53" s="13">
        <f>AI53*VLOOKUP('Données projet'!$B$10,Paramètres!$A$1:$I$89,3,0)*VLOOKUP('Données projet'!$B$10,Paramètres!$A$1:$I$89,5,0)</f>
        <v>324.22000000000003</v>
      </c>
      <c r="AK53" s="13">
        <f t="shared" si="35"/>
        <v>76.230736100208233</v>
      </c>
      <c r="AL53" s="20">
        <f t="shared" si="4"/>
        <v>697.45169870786265</v>
      </c>
      <c r="AM53" s="59">
        <f t="shared" si="5"/>
        <v>990.78503204119602</v>
      </c>
      <c r="AN53" s="59">
        <f ca="1">AVERAGE(OFFSET($AM$3,0,0,'Données projet'!$E$10+1,1))-AVERAGE(OFFSET($H$3,0,0,'Données projet'!$E$10+1,1))</f>
        <v>325.42940802362739</v>
      </c>
      <c r="AO53" s="59">
        <f t="shared" si="36"/>
        <v>388.87198417542277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48</v>
      </c>
      <c r="AR53" s="16">
        <f>IF(ISNA(VLOOKUP(A53,'Données projet'!$A$61:$I$81,5,0)),0%,VLOOKUP(A53,'Données projet'!$A$61:$I$81,5,0)*VLOOKUP('Données projet'!$B$10,Paramètres!$A$1:$I$89,7,0))</f>
        <v>0.35750000000000004</v>
      </c>
      <c r="AS53" s="16">
        <f>IF(ISNA(VLOOKUP(A53,'Données projet'!$A$61:$I$81,6,0)),0%,VLOOKUP(A53,'Données projet'!$A$61:$I$81,6,0)*VLOOKUP('Données projet'!$B$10,Paramètres!$A$1:$I$89,7,0))</f>
        <v>0.13750000000000001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69.55606823510152</v>
      </c>
      <c r="AV53" s="21">
        <f>EXP(-LN(2)/25)*AV52+(1-EXP(-LN(2)/25))/(LN(2)/25)*Calculateur!AQ53*Calculateur!AS53*VLOOKUP('Données projet'!$B$10,Paramètres!$A$1:$I$89,3,0)*0.475*44/12</f>
        <v>29.967534268277252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99.523602503378768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205.5</v>
      </c>
      <c r="BE53" s="13">
        <f>BD53*VLOOKUP('Données projet'!$B$11,Paramètres!$A$1:$I$89,3,0)*VLOOKUP('Données projet'!$B$11,Paramètres!$A$1:$I$89,5,0)</f>
        <v>128.232</v>
      </c>
      <c r="BF53" s="13">
        <f t="shared" si="37"/>
        <v>33.587501431737927</v>
      </c>
      <c r="BG53" s="20">
        <f t="shared" si="7"/>
        <v>281.83563166027687</v>
      </c>
      <c r="BH53" s="59">
        <f t="shared" si="8"/>
        <v>575.16896499361019</v>
      </c>
      <c r="BI53" s="59">
        <f ca="1">AVERAGE(OFFSET($BH$3,0,0,'Données projet'!$E$11+1,1))-AVERAGE(OFFSET($H$3,0,0,'Données projet'!$E$11+1,1))</f>
        <v>162.87524915738271</v>
      </c>
      <c r="BJ53" s="59">
        <f t="shared" si="38"/>
        <v>249.37880137966658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53.410297117052124</v>
      </c>
      <c r="BQ53" s="21">
        <f>EXP(-LN(2)/25)*BQ52+(1-EXP(-LN(2)/25))/(LN(2)/25)*Calculateur!BL53*Calculateur!BN53*VLOOKUP('Données projet'!$B$11,Paramètres!$A$1:$I$89,3,0)*0.475*44/12</f>
        <v>44.503265987384559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97.91356310443669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212</v>
      </c>
      <c r="BW53" s="12">
        <f>VLOOKUP(A53,'Données projet'!$A$113:$I$133,9,0)</f>
        <v>7.2</v>
      </c>
      <c r="BX53" s="12">
        <f t="array" ref="BX53">INDEX(BW:BW,MIN(IF(ISNUMBER(BW53:BW249),ROW(BW53:BW249),"")))</f>
        <v>7.2</v>
      </c>
      <c r="BY53" s="12">
        <f>IF('Données projet'!$A$114&gt;35,BY52+BX53-CG52,IF(A53&lt;'Données projet'!$A$114,$BV$205^A53,IF(A53='Données projet'!$A$114,'Données projet'!$B$114,BY52+BX53-CG52)))</f>
        <v>211.99999999999991</v>
      </c>
      <c r="BZ53" s="13">
        <f>BY53*VLOOKUP('Données projet'!$B$12,Paramètres!$A$1:$I$89,3,0)*VLOOKUP('Données projet'!$B$12,Paramètres!$A$1:$I$89,5,0)</f>
        <v>138.90239999999994</v>
      </c>
      <c r="CA53" s="13">
        <f t="shared" si="39"/>
        <v>36.045445680666425</v>
      </c>
      <c r="CB53" s="20">
        <f t="shared" si="10"/>
        <v>304.70083122716056</v>
      </c>
      <c r="CC53" s="59">
        <f t="shared" si="11"/>
        <v>598.03416456049388</v>
      </c>
      <c r="CD53" s="59">
        <f ca="1">AVERAGE(OFFSET($CC$3,0,0,'Données projet'!$E$12+1,1))-AVERAGE(OFFSET($H$3,0,0,'Données projet'!$E$12+1,1))</f>
        <v>119.88584888779422</v>
      </c>
      <c r="CE53" s="59">
        <f t="shared" si="40"/>
        <v>162.97244314258774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30</v>
      </c>
      <c r="CH53" s="16">
        <f>IF(ISNA(VLOOKUP(A53,'Données projet'!$A$113:$I$133,5,0)),0%,VLOOKUP(A53,'Données projet'!$A$113:$I$133,5,0)*VLOOKUP('Données projet'!$B$12,Paramètres!$A$1:$I$89,7,0))</f>
        <v>0.17200000000000001</v>
      </c>
      <c r="CI53" s="16">
        <f>IF(ISNA(VLOOKUP(A53,'Données projet'!$A$113:$I$133,6,0)),0%,VLOOKUP(A53,'Données projet'!$A$113:$I$133,6,0)*VLOOKUP('Données projet'!$B$12,Paramètres!$A$1:$I$89,7,0))</f>
        <v>0.129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8.0646636323515519</v>
      </c>
      <c r="CL53" s="21">
        <f>EXP(-LN(2)/25)*CL52+(1-EXP(-LN(2)/25))/(LN(2)/25)*Calculateur!CG53*Calculateur!CI53*VLOOKUP('Données projet'!$B$12,Paramètres!$A$1:$I$89,3,0)*0.475*44/12</f>
        <v>12.869859961583856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20.93452359393541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7</v>
      </c>
      <c r="CT53" s="12">
        <f>IF('Données projet'!$A$140&gt;35,CT52+CS53-DB52,IF(A53&lt;'Données projet'!$A$140,$CQ$205^A53,IF(A53='Données projet'!$A$140,'Données projet'!$B$140,CT52+CS53-DB52)))</f>
        <v>194</v>
      </c>
      <c r="CU53" s="17">
        <f>CT53*VLOOKUP('Données projet'!$B$13,Paramètres!$A$1:$I$89,3,0)*VLOOKUP('Données projet'!$B$13,Paramètres!$A$1:$I$89,5,0)</f>
        <v>196.71600000000001</v>
      </c>
      <c r="CV53" s="13">
        <f t="shared" si="41"/>
        <v>49.021749959730009</v>
      </c>
      <c r="CW53" s="20">
        <f t="shared" si="13"/>
        <v>427.99324784652981</v>
      </c>
      <c r="CX53" s="59">
        <f t="shared" si="14"/>
        <v>721.32658117986307</v>
      </c>
      <c r="CY53" s="59">
        <f ca="1">AVERAGE(OFFSET($CX$3,0,0,'Données projet'!$E$13+1,1))-AVERAGE(OFFSET($H$3,0,0,'Données projet'!$E$13+1,1))</f>
        <v>261.75887764015459</v>
      </c>
      <c r="CZ53" s="59">
        <f t="shared" si="42"/>
        <v>209.74127356028544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5.1200034355603545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5.1200034355603545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234</v>
      </c>
      <c r="DM53" s="12">
        <f>VLOOKUP(A53,'Données projet'!$A$165:$I$185,9,0)</f>
        <v>7.2</v>
      </c>
      <c r="DN53" s="12">
        <f t="array" ref="DN53">INDEX(DM:DM,MIN(IF(ISNUMBER(DM53:DM249),ROW(DM53:DM249),"")))</f>
        <v>7.2</v>
      </c>
      <c r="DO53" s="12">
        <f>IF('Données projet'!$A$166&gt;35,DO52+DN53-DW52,IF(A53&lt;'Données projet'!$A$166,$DL$205^A53,IF(A53='Données projet'!$A$166,'Données projet'!$B$166,DO52+DN53-DW52)))</f>
        <v>233.99999999999991</v>
      </c>
      <c r="DP53" s="17">
        <f>DO53*VLOOKUP('Données projet'!$B$14,Paramètres!$A$1:$I$89,3,0)*VLOOKUP('Données projet'!$B$14,Paramètres!$A$1:$I$89,5,0)</f>
        <v>186.17039999999994</v>
      </c>
      <c r="DQ53" s="13">
        <f t="shared" si="43"/>
        <v>46.692281933796018</v>
      </c>
      <c r="DR53" s="20">
        <f t="shared" si="16"/>
        <v>405.56917103469459</v>
      </c>
      <c r="DS53" s="59">
        <f t="shared" si="17"/>
        <v>698.90250436802785</v>
      </c>
      <c r="DT53" s="59">
        <f ca="1">AVERAGE(OFFSET($DS$3,0,0,'Données projet'!$E$14+1,1))-AVERAGE(OFFSET($H$3,0,0,'Données projet'!$E$14+1,1))</f>
        <v>215.37468832969444</v>
      </c>
      <c r="DU53" s="59">
        <f t="shared" si="44"/>
        <v>208.60212063136419</v>
      </c>
      <c r="DV53" s="15">
        <f>IF(ISNA(VLOOKUP(A53,'Données projet'!$A$165:$I$185,3,0)),0,VLOOKUP(A53,'Données projet'!$A$165:$I$185,3,0))</f>
        <v>7</v>
      </c>
      <c r="DW53" s="15">
        <f>IF(ISNA(VLOOKUP(A53,'Données projet'!$A$165:$I$185,4,0)),0,VLOOKUP(A53,'Données projet'!$A$165:$I$185,4,0))</f>
        <v>17</v>
      </c>
      <c r="DX53" s="16">
        <f>IF(ISNA(VLOOKUP(A53,'Données projet'!$A$165:$I$185,5,0)),0%,VLOOKUP(A53,'Données projet'!$A$165:$I$185,5,0)*VLOOKUP('Données projet'!$B$14,Paramètres!$A$1:$I$89,7,0))</f>
        <v>0.1855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13.39234918603576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13.39234918603576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234</v>
      </c>
      <c r="EH53" s="12">
        <f>VLOOKUP(A53,'Données projet'!$A$191:$I$211,9,0)</f>
        <v>7.2</v>
      </c>
      <c r="EI53" s="12">
        <f t="array" ref="EI53">INDEX(EH:EH,MIN(IF(ISNUMBER(EH53:EH249),ROW(EH53:EH249),"")))</f>
        <v>7.2</v>
      </c>
      <c r="EJ53" s="12">
        <f>IF('Données projet'!$A$192&gt;35,EJ52+EI53-ER52,IF(A53&lt;'Données projet'!$A$192,$EG$205^A53,IF(A53='Données projet'!$A$192,'Données projet'!$B$192,EJ52+EI53-ER52)))</f>
        <v>233.99999999999991</v>
      </c>
      <c r="EK53" s="17">
        <f>EJ53*VLOOKUP('Données projet'!$B$15,Paramètres!$A$1:$I$89,3,0)*VLOOKUP('Données projet'!$B$15,Paramètres!$A$1:$I$89,5,0)</f>
        <v>186.17039999999994</v>
      </c>
      <c r="EL53" s="13">
        <f t="shared" si="45"/>
        <v>46.692281933796018</v>
      </c>
      <c r="EM53" s="20">
        <f t="shared" si="19"/>
        <v>405.56917103469459</v>
      </c>
      <c r="EN53" s="59">
        <f t="shared" si="20"/>
        <v>698.90250436802785</v>
      </c>
      <c r="EO53" s="59">
        <f ca="1">AVERAGE(OFFSET($EN$3,0,0,'Données projet'!$E$15+1,1))-AVERAGE(OFFSET($H$3,0,0,'Données projet'!$E$15+1,1))</f>
        <v>215.37468832969444</v>
      </c>
      <c r="EP53" s="59">
        <f t="shared" si="46"/>
        <v>208.60212063136419</v>
      </c>
      <c r="EQ53" s="15">
        <f>IF(ISNA(VLOOKUP(A53,'Données projet'!$A$191:$I$211,3,0)),0,VLOOKUP(A53,'Données projet'!$A$191:$I$211,3,0))</f>
        <v>7</v>
      </c>
      <c r="ER53" s="15">
        <f>IF(ISNA(VLOOKUP(A53,'Données projet'!$A$191:$I$211,4,0)),0,VLOOKUP(A53,'Données projet'!$A$191:$I$211,4,0))</f>
        <v>17</v>
      </c>
      <c r="ES53" s="16">
        <f>IF(ISNA(VLOOKUP(A53,'Données projet'!$A$191:$I$211,5,0)),0%,VLOOKUP(A53,'Données projet'!$A$191:$I$211,5,0)*VLOOKUP('Données projet'!$B$15,Paramètres!$A$1:$I$89,7,0))</f>
        <v>0.1855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13.39234918603576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13.39234918603576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234</v>
      </c>
      <c r="FC53" s="12">
        <f>VLOOKUP(A53,'Données projet'!$A$217:$I$237,9,0)</f>
        <v>7.2</v>
      </c>
      <c r="FD53" s="12">
        <f t="array" ref="FD53">INDEX(FC:FC,MIN(IF(ISNUMBER(FC53:FC249),ROW(FC53:FC249),"")))</f>
        <v>7.2</v>
      </c>
      <c r="FE53" s="12">
        <f>IF('Données projet'!$A$218&gt;35,FE52+FD53-FM52,IF(A53&lt;'Données projet'!$A$218,$FB$205^A53,IF(A53='Données projet'!$A$218,'Données projet'!$B$218,FE52+FD53-FM52)))</f>
        <v>233.99999999999991</v>
      </c>
      <c r="FF53" s="17">
        <f>FE53*VLOOKUP('Données projet'!$B$16,Paramètres!$A$1:$I$89,3,0)*VLOOKUP('Données projet'!$B$16,Paramètres!$A$1:$I$89,5,0)</f>
        <v>189.82079999999996</v>
      </c>
      <c r="FG53" s="13">
        <f t="shared" si="47"/>
        <v>47.500332100049796</v>
      </c>
      <c r="FH53" s="20">
        <f t="shared" si="22"/>
        <v>413.33430507425328</v>
      </c>
      <c r="FI53" s="59">
        <f t="shared" si="23"/>
        <v>706.66763840758654</v>
      </c>
      <c r="FJ53" s="59">
        <f ca="1">AVERAGE(OFFSET($FI$3,0,0,'Données projet'!$E$16+1,1))-AVERAGE(OFFSET($H$3,0,0,'Données projet'!$E$16+1,1))</f>
        <v>220.90439367987847</v>
      </c>
      <c r="FK53" s="59">
        <f t="shared" si="48"/>
        <v>213.66046131354858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0.1855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13.654944268114891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13.654944268114891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1">
        <f t="shared" si="32"/>
        <v>12.361367612157633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67">
        <f t="shared" si="1"/>
        <v>386.91755525784112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18.100000000000001</v>
      </c>
      <c r="N54" s="13">
        <f>IF('Données projet'!$A$36&gt;35,N53+M54-V53,IF(A54&lt;'Données projet'!$A$36,$K$205^A54,IF(A54='Données projet'!$A$36,'Données projet'!$B$36,N53+M54-V53)))</f>
        <v>288.50000000000006</v>
      </c>
      <c r="O54" s="13">
        <f>N54*VLOOKUP('Données projet'!$B$9,Paramètres!$A$1:$I$89,3,0)*VLOOKUP('Données projet'!$B$9,Paramètres!$A$1:$I$89,5,0)</f>
        <v>135.01800000000003</v>
      </c>
      <c r="P54" s="13">
        <f t="shared" si="33"/>
        <v>35.153303603250578</v>
      </c>
      <c r="Q54" s="20">
        <f t="shared" si="53"/>
        <v>296.38168710899475</v>
      </c>
      <c r="R54" s="59">
        <f t="shared" si="0"/>
        <v>589.71502044232807</v>
      </c>
      <c r="S54" s="59">
        <f ca="1">AVERAGE(OFFSET($R$3,0,0,'Données projet'!$E$9+1,1))-AVERAGE(OFFSET($H$3,0,0,'Données projet'!$E$9+1,1))</f>
        <v>196.72624686715807</v>
      </c>
      <c r="T54" s="59">
        <f t="shared" si="34"/>
        <v>37.315661698104691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12.618065485934389</v>
      </c>
      <c r="AA54" s="21">
        <f>EXP(-LN(2)/25)*AA53+(1-EXP(-LN(2)/25))/(LN(2)/25)*Calculateur!V54*Calculateur!X54*VLOOKUP('Données projet'!$B$9,Paramètres!$A$1:$I$89,3,0)*0.475*44/12</f>
        <v>12.080299588574576</v>
      </c>
      <c r="AB54" s="21">
        <f>EXP(-LN(2)/2)*AB53+(1-EXP(-LN(2)/2))/(LN(2)/2)*V54*Y54*VLOOKUP('Données projet'!$B$9,Paramètres!$A$1:$I$89,3,0)*0.475*44/12</f>
        <v>0</v>
      </c>
      <c r="AC54" s="22">
        <f t="shared" si="3"/>
        <v>24.698365074508963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16.399999999999999</v>
      </c>
      <c r="AI54" s="13">
        <f>IF('Données projet'!$A$62&gt;35,AI53+AH54-AQ53,IF(A54&lt;'Données projet'!$A$62,$AF$205^A54,IF(A54='Données projet'!$A$62,'Données projet'!$B$62,AI53+AH54-AQ53)))</f>
        <v>548.40000000000009</v>
      </c>
      <c r="AJ54" s="13">
        <f>AI54*VLOOKUP('Données projet'!$B$10,Paramètres!$A$1:$I$89,3,0)*VLOOKUP('Données projet'!$B$10,Paramètres!$A$1:$I$89,5,0)</f>
        <v>306.55560000000008</v>
      </c>
      <c r="AK54" s="13">
        <f t="shared" si="35"/>
        <v>72.549035266861267</v>
      </c>
      <c r="AL54" s="20">
        <f t="shared" si="4"/>
        <v>660.27390642311684</v>
      </c>
      <c r="AM54" s="59">
        <f t="shared" si="5"/>
        <v>953.6072397564501</v>
      </c>
      <c r="AN54" s="59">
        <f ca="1">AVERAGE(OFFSET($AM$3,0,0,'Données projet'!$E$10+1,1))-AVERAGE(OFFSET($H$3,0,0,'Données projet'!$E$10+1,1))</f>
        <v>325.42940802362739</v>
      </c>
      <c r="AO54" s="59">
        <f t="shared" si="36"/>
        <v>388.87198417542277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68.19211616202368</v>
      </c>
      <c r="AV54" s="21">
        <f>EXP(-LN(2)/25)*AV53+(1-EXP(-LN(2)/25))/(LN(2)/25)*Calculateur!AQ54*Calculateur!AS54*VLOOKUP('Données projet'!$B$10,Paramètres!$A$1:$I$89,3,0)*0.475*44/12</f>
        <v>29.148070467787075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97.340186629810759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215.25</v>
      </c>
      <c r="BE54" s="13">
        <f>BD54*VLOOKUP('Données projet'!$B$11,Paramètres!$A$1:$I$89,3,0)*VLOOKUP('Données projet'!$B$11,Paramètres!$A$1:$I$89,5,0)</f>
        <v>134.316</v>
      </c>
      <c r="BF54" s="13">
        <f t="shared" si="37"/>
        <v>34.991756585122445</v>
      </c>
      <c r="BG54" s="20">
        <f t="shared" si="7"/>
        <v>294.87767605242158</v>
      </c>
      <c r="BH54" s="59">
        <f t="shared" si="8"/>
        <v>588.21100938575489</v>
      </c>
      <c r="BI54" s="59">
        <f ca="1">AVERAGE(OFFSET($BH$3,0,0,'Données projet'!$E$11+1,1))-AVERAGE(OFFSET($H$3,0,0,'Données projet'!$E$11+1,1))</f>
        <v>162.87524915738271</v>
      </c>
      <c r="BJ54" s="59">
        <f t="shared" si="38"/>
        <v>249.37880137966658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52.362953767651256</v>
      </c>
      <c r="BQ54" s="21">
        <f>EXP(-LN(2)/25)*BQ53+(1-EXP(-LN(2)/25))/(LN(2)/25)*Calculateur!BL54*Calculateur!BN54*VLOOKUP('Données projet'!$B$11,Paramètres!$A$1:$I$89,3,0)*0.475*44/12</f>
        <v>43.286321838634485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95.649275606285741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</v>
      </c>
      <c r="BY54" s="12">
        <f>IF('Données projet'!$A$114&gt;35,BY53+BX54-CG53,IF(A54&lt;'Données projet'!$A$114,$BV$205^A54,IF(A54='Données projet'!$A$114,'Données projet'!$B$114,BY53+BX54-CG53)))</f>
        <v>187.99999999999991</v>
      </c>
      <c r="BZ54" s="13">
        <f>BY54*VLOOKUP('Données projet'!$B$12,Paramètres!$A$1:$I$89,3,0)*VLOOKUP('Données projet'!$B$12,Paramètres!$A$1:$I$89,5,0)</f>
        <v>123.17759999999996</v>
      </c>
      <c r="CA54" s="13">
        <f t="shared" si="39"/>
        <v>32.414991240570416</v>
      </c>
      <c r="CB54" s="20">
        <f t="shared" si="10"/>
        <v>270.99042974399333</v>
      </c>
      <c r="CC54" s="59">
        <f t="shared" si="11"/>
        <v>564.3237630773267</v>
      </c>
      <c r="CD54" s="59">
        <f ca="1">AVERAGE(OFFSET($CC$3,0,0,'Données projet'!$E$12+1,1))-AVERAGE(OFFSET($H$3,0,0,'Données projet'!$E$12+1,1))</f>
        <v>119.88584888779422</v>
      </c>
      <c r="CE54" s="59">
        <f t="shared" si="40"/>
        <v>162.97244314258774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7.9065204974802468</v>
      </c>
      <c r="CL54" s="21">
        <f>EXP(-LN(2)/25)*CL53+(1-EXP(-LN(2)/25))/(LN(2)/25)*Calculateur!CG54*Calculateur!CI54*VLOOKUP('Données projet'!$B$12,Paramètres!$A$1:$I$89,3,0)*0.475*44/12</f>
        <v>12.517932964137824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20.424453461618072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</v>
      </c>
      <c r="CT54" s="12">
        <f>IF('Données projet'!$A$140&gt;35,CT53+CS54-DB53,IF(A54&lt;'Données projet'!$A$140,$CQ$205^A54,IF(A54='Données projet'!$A$140,'Données projet'!$B$140,CT53+CS54-DB53)))</f>
        <v>201</v>
      </c>
      <c r="CU54" s="17">
        <f>CT54*VLOOKUP('Données projet'!$B$13,Paramètres!$A$1:$I$89,3,0)*VLOOKUP('Données projet'!$B$13,Paramètres!$A$1:$I$89,5,0)</f>
        <v>203.81400000000002</v>
      </c>
      <c r="CV54" s="13">
        <f t="shared" si="41"/>
        <v>50.581445724851562</v>
      </c>
      <c r="CW54" s="20">
        <f t="shared" si="13"/>
        <v>443.07206797078311</v>
      </c>
      <c r="CX54" s="59">
        <f t="shared" si="14"/>
        <v>736.40540130411637</v>
      </c>
      <c r="CY54" s="59">
        <f ca="1">AVERAGE(OFFSET($CX$3,0,0,'Données projet'!$E$13+1,1))-AVERAGE(OFFSET($H$3,0,0,'Données projet'!$E$13+1,1))</f>
        <v>261.75887764015459</v>
      </c>
      <c r="CZ54" s="59">
        <f t="shared" si="42"/>
        <v>209.74127356028544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4.9799966723656777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4.9799966723656777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</v>
      </c>
      <c r="DO54" s="12">
        <f>IF('Données projet'!$A$166&gt;35,DO53+DN54-DW53,IF(A54&lt;'Données projet'!$A$166,$DL$205^A54,IF(A54='Données projet'!$A$166,'Données projet'!$B$166,DO53+DN54-DW53)))</f>
        <v>222.99999999999991</v>
      </c>
      <c r="DP54" s="17">
        <f>DO54*VLOOKUP('Données projet'!$B$14,Paramètres!$A$1:$I$89,3,0)*VLOOKUP('Données projet'!$B$14,Paramètres!$A$1:$I$89,5,0)</f>
        <v>177.41879999999995</v>
      </c>
      <c r="DQ54" s="13">
        <f t="shared" si="43"/>
        <v>44.747434866767406</v>
      </c>
      <c r="DR54" s="20">
        <f t="shared" si="16"/>
        <v>386.93952572628649</v>
      </c>
      <c r="DS54" s="59">
        <f t="shared" si="17"/>
        <v>680.2728590596198</v>
      </c>
      <c r="DT54" s="59">
        <f ca="1">AVERAGE(OFFSET($DS$3,0,0,'Données projet'!$E$14+1,1))-AVERAGE(OFFSET($H$3,0,0,'Données projet'!$E$14+1,1))</f>
        <v>215.37468832969444</v>
      </c>
      <c r="DU54" s="59">
        <f t="shared" si="44"/>
        <v>208.60212063136419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13.129733387024027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13.129733387024027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</v>
      </c>
      <c r="EJ54" s="12">
        <f>IF('Données projet'!$A$192&gt;35,EJ53+EI54-ER53,IF(A54&lt;'Données projet'!$A$192,$EG$205^A54,IF(A54='Données projet'!$A$192,'Données projet'!$B$192,EJ53+EI54-ER53)))</f>
        <v>222.99999999999991</v>
      </c>
      <c r="EK54" s="17">
        <f>EJ54*VLOOKUP('Données projet'!$B$15,Paramètres!$A$1:$I$89,3,0)*VLOOKUP('Données projet'!$B$15,Paramètres!$A$1:$I$89,5,0)</f>
        <v>177.41879999999995</v>
      </c>
      <c r="EL54" s="13">
        <f t="shared" si="45"/>
        <v>44.747434866767406</v>
      </c>
      <c r="EM54" s="20">
        <f t="shared" si="19"/>
        <v>386.93952572628649</v>
      </c>
      <c r="EN54" s="59">
        <f t="shared" si="20"/>
        <v>680.2728590596198</v>
      </c>
      <c r="EO54" s="59">
        <f ca="1">AVERAGE(OFFSET($EN$3,0,0,'Données projet'!$E$15+1,1))-AVERAGE(OFFSET($H$3,0,0,'Données projet'!$E$15+1,1))</f>
        <v>215.37468832969444</v>
      </c>
      <c r="EP54" s="59">
        <f t="shared" si="46"/>
        <v>208.60212063136419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13.129733387024027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13.129733387024027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</v>
      </c>
      <c r="FE54" s="12">
        <f>IF('Données projet'!$A$218&gt;35,FE53+FD54-FM53,IF(A54&lt;'Données projet'!$A$218,$FB$205^A54,IF(A54='Données projet'!$A$218,'Données projet'!$B$218,FE53+FD54-FM53)))</f>
        <v>222.99999999999991</v>
      </c>
      <c r="FF54" s="17">
        <f>FE54*VLOOKUP('Données projet'!$B$16,Paramètres!$A$1:$I$89,3,0)*VLOOKUP('Données projet'!$B$16,Paramètres!$A$1:$I$89,5,0)</f>
        <v>180.89759999999995</v>
      </c>
      <c r="FG54" s="13">
        <f t="shared" si="47"/>
        <v>45.521827778957686</v>
      </c>
      <c r="FH54" s="20">
        <f t="shared" si="22"/>
        <v>394.34717004835119</v>
      </c>
      <c r="FI54" s="59">
        <f t="shared" si="23"/>
        <v>687.6805033816845</v>
      </c>
      <c r="FJ54" s="59">
        <f ca="1">AVERAGE(OFFSET($FI$3,0,0,'Données projet'!$E$16+1,1))-AVERAGE(OFFSET($H$3,0,0,'Données projet'!$E$16+1,1))</f>
        <v>220.90439367987847</v>
      </c>
      <c r="FK54" s="59">
        <f t="shared" si="48"/>
        <v>213.66046131354858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13.387179139710771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13.387179139710771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1">
        <f t="shared" si="32"/>
        <v>12.575291728530665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67">
        <f t="shared" si="1"/>
        <v>388.70297976052422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18.100000000000001</v>
      </c>
      <c r="N55" s="13">
        <f>IF('Données projet'!$A$36&gt;35,N54+M55-V54,IF(A55&lt;'Données projet'!$A$36,$K$205^A55,IF(A55='Données projet'!$A$36,'Données projet'!$B$36,N54+M55-V54)))</f>
        <v>306.60000000000008</v>
      </c>
      <c r="O55" s="13">
        <f>N55*VLOOKUP('Données projet'!$B$9,Paramètres!$A$1:$I$89,3,0)*VLOOKUP('Données projet'!$B$9,Paramètres!$A$1:$I$89,5,0)</f>
        <v>143.48880000000003</v>
      </c>
      <c r="P55" s="13">
        <f t="shared" si="33"/>
        <v>37.095092027878884</v>
      </c>
      <c r="Q55" s="20">
        <f t="shared" si="53"/>
        <v>314.51694528188909</v>
      </c>
      <c r="R55" s="59">
        <f t="shared" si="0"/>
        <v>607.85027861522235</v>
      </c>
      <c r="S55" s="59">
        <f ca="1">AVERAGE(OFFSET($R$3,0,0,'Données projet'!$E$9+1,1))-AVERAGE(OFFSET($H$3,0,0,'Données projet'!$E$9+1,1))</f>
        <v>196.72624686715807</v>
      </c>
      <c r="T55" s="59">
        <f t="shared" si="34"/>
        <v>37.315661698104691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12.37063291801522</v>
      </c>
      <c r="AA55" s="21">
        <f>EXP(-LN(2)/25)*AA54+(1-EXP(-LN(2)/25))/(LN(2)/25)*Calculateur!V55*Calculateur!X55*VLOOKUP('Données projet'!$B$9,Paramètres!$A$1:$I$89,3,0)*0.475*44/12</f>
        <v>11.749963161049658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24.120596079064878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16.399999999999999</v>
      </c>
      <c r="AI55" s="13">
        <f>IF('Données projet'!$A$62&gt;35,AI54+AH55-AQ54,IF(A55&lt;'Données projet'!$A$62,$AF$205^A55,IF(A55='Données projet'!$A$62,'Données projet'!$B$62,AI54+AH55-AQ54)))</f>
        <v>564.80000000000007</v>
      </c>
      <c r="AJ55" s="13">
        <f>AI55*VLOOKUP('Données projet'!$B$10,Paramètres!$A$1:$I$89,3,0)*VLOOKUP('Données projet'!$B$10,Paramètres!$A$1:$I$89,5,0)</f>
        <v>315.72320000000008</v>
      </c>
      <c r="AK55" s="13">
        <f t="shared" si="35"/>
        <v>74.462786601071031</v>
      </c>
      <c r="AL55" s="20">
        <f t="shared" si="4"/>
        <v>679.57392666353223</v>
      </c>
      <c r="AM55" s="59">
        <f t="shared" si="5"/>
        <v>972.9072599968656</v>
      </c>
      <c r="AN55" s="59">
        <f ca="1">AVERAGE(OFFSET($AM$3,0,0,'Données projet'!$E$10+1,1))-AVERAGE(OFFSET($H$3,0,0,'Données projet'!$E$10+1,1))</f>
        <v>325.42940802362739</v>
      </c>
      <c r="AO55" s="59">
        <f t="shared" si="36"/>
        <v>388.87198417542277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66.854910357170283</v>
      </c>
      <c r="AV55" s="21">
        <f>EXP(-LN(2)/25)*AV54+(1-EXP(-LN(2)/25))/(LN(2)/25)*Calculateur!AQ55*Calculateur!AS55*VLOOKUP('Données projet'!$B$10,Paramètres!$A$1:$I$89,3,0)*0.475*44/12</f>
        <v>28.351014948015031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95.205925305185318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225</v>
      </c>
      <c r="BE55" s="13">
        <f>BD55*VLOOKUP('Données projet'!$B$11,Paramètres!$A$1:$I$89,3,0)*VLOOKUP('Données projet'!$B$11,Paramètres!$A$1:$I$89,5,0)</f>
        <v>140.4</v>
      </c>
      <c r="BF55" s="13">
        <f t="shared" si="37"/>
        <v>36.388624656711201</v>
      </c>
      <c r="BG55" s="20">
        <f t="shared" si="7"/>
        <v>307.90685461043864</v>
      </c>
      <c r="BH55" s="59">
        <f t="shared" si="8"/>
        <v>601.24018794377196</v>
      </c>
      <c r="BI55" s="59">
        <f ca="1">AVERAGE(OFFSET($BH$3,0,0,'Données projet'!$E$11+1,1))-AVERAGE(OFFSET($H$3,0,0,'Données projet'!$E$11+1,1))</f>
        <v>162.87524915738271</v>
      </c>
      <c r="BJ55" s="59">
        <f t="shared" si="38"/>
        <v>249.37880137966658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51.336148182515771</v>
      </c>
      <c r="BQ55" s="21">
        <f>EXP(-LN(2)/25)*BQ54+(1-EXP(-LN(2)/25))/(LN(2)/25)*Calculateur!BL55*Calculateur!BN55*VLOOKUP('Données projet'!$B$11,Paramètres!$A$1:$I$89,3,0)*0.475*44/12</f>
        <v>42.102655091628293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93.438803274144064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</v>
      </c>
      <c r="BY55" s="12">
        <f>IF('Données projet'!$A$114&gt;35,BY54+BX55-CG54,IF(A55&lt;'Données projet'!$A$114,$BV$205^A55,IF(A55='Données projet'!$A$114,'Données projet'!$B$114,BY54+BX55-CG54)))</f>
        <v>193.99999999999991</v>
      </c>
      <c r="BZ55" s="13">
        <f>BY55*VLOOKUP('Données projet'!$B$12,Paramètres!$A$1:$I$89,3,0)*VLOOKUP('Données projet'!$B$12,Paramètres!$A$1:$I$89,5,0)</f>
        <v>127.10879999999995</v>
      </c>
      <c r="CA55" s="13">
        <f t="shared" si="39"/>
        <v>33.32741592766736</v>
      </c>
      <c r="CB55" s="20">
        <f t="shared" si="10"/>
        <v>279.4264094073539</v>
      </c>
      <c r="CC55" s="59">
        <f t="shared" si="11"/>
        <v>572.75974274068722</v>
      </c>
      <c r="CD55" s="59">
        <f ca="1">AVERAGE(OFFSET($CC$3,0,0,'Données projet'!$E$12+1,1))-AVERAGE(OFFSET($H$3,0,0,'Données projet'!$E$12+1,1))</f>
        <v>119.88584888779422</v>
      </c>
      <c r="CE55" s="59">
        <f t="shared" si="40"/>
        <v>162.97244314258774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7.7514784530259799</v>
      </c>
      <c r="CL55" s="21">
        <f>EXP(-LN(2)/25)*CL54+(1-EXP(-LN(2)/25))/(LN(2)/25)*Calculateur!CG55*Calculateur!CI55*VLOOKUP('Données projet'!$B$12,Paramètres!$A$1:$I$89,3,0)*0.475*44/12</f>
        <v>12.17562942894399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19.92710788196997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</v>
      </c>
      <c r="CT55" s="12">
        <f>IF('Données projet'!$A$140&gt;35,CT54+CS55-DB54,IF(A55&lt;'Données projet'!$A$140,$CQ$205^A55,IF(A55='Données projet'!$A$140,'Données projet'!$B$140,CT54+CS55-DB54)))</f>
        <v>208</v>
      </c>
      <c r="CU55" s="17">
        <f>CT55*VLOOKUP('Données projet'!$B$13,Paramètres!$A$1:$I$89,3,0)*VLOOKUP('Données projet'!$B$13,Paramètres!$A$1:$I$89,5,0)</f>
        <v>210.91200000000003</v>
      </c>
      <c r="CV55" s="13">
        <f t="shared" si="41"/>
        <v>52.134830352456831</v>
      </c>
      <c r="CW55" s="20">
        <f t="shared" si="13"/>
        <v>458.1398961971957</v>
      </c>
      <c r="CX55" s="59">
        <f t="shared" si="14"/>
        <v>751.47322953052901</v>
      </c>
      <c r="CY55" s="59">
        <f ca="1">AVERAGE(OFFSET($CX$3,0,0,'Données projet'!$E$13+1,1))-AVERAGE(OFFSET($H$3,0,0,'Données projet'!$E$13+1,1))</f>
        <v>261.75887764015459</v>
      </c>
      <c r="CZ55" s="59">
        <f t="shared" si="42"/>
        <v>209.74127356028544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4.8438184014731949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4.8438184014731949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</v>
      </c>
      <c r="DO55" s="12">
        <f>IF('Données projet'!$A$166&gt;35,DO54+DN55-DW54,IF(A55&lt;'Données projet'!$A$166,$DL$205^A55,IF(A55='Données projet'!$A$166,'Données projet'!$B$166,DO54+DN55-DW54)))</f>
        <v>228.99999999999991</v>
      </c>
      <c r="DP55" s="17">
        <f>DO55*VLOOKUP('Données projet'!$B$14,Paramètres!$A$1:$I$89,3,0)*VLOOKUP('Données projet'!$B$14,Paramètres!$A$1:$I$89,5,0)</f>
        <v>182.19239999999994</v>
      </c>
      <c r="DQ55" s="13">
        <f t="shared" si="43"/>
        <v>45.809610563727631</v>
      </c>
      <c r="DR55" s="20">
        <f t="shared" si="16"/>
        <v>397.10350173182547</v>
      </c>
      <c r="DS55" s="59">
        <f t="shared" si="17"/>
        <v>690.43683506515879</v>
      </c>
      <c r="DT55" s="59">
        <f ca="1">AVERAGE(OFFSET($DS$3,0,0,'Données projet'!$E$14+1,1))-AVERAGE(OFFSET($H$3,0,0,'Données projet'!$E$14+1,1))</f>
        <v>215.37468832969444</v>
      </c>
      <c r="DU55" s="59">
        <f t="shared" si="44"/>
        <v>208.60212063136419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12.872267323651092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12.872267323651092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</v>
      </c>
      <c r="EJ55" s="12">
        <f>IF('Données projet'!$A$192&gt;35,EJ54+EI55-ER54,IF(A55&lt;'Données projet'!$A$192,$EG$205^A55,IF(A55='Données projet'!$A$192,'Données projet'!$B$192,EJ54+EI55-ER54)))</f>
        <v>228.99999999999991</v>
      </c>
      <c r="EK55" s="17">
        <f>EJ55*VLOOKUP('Données projet'!$B$15,Paramètres!$A$1:$I$89,3,0)*VLOOKUP('Données projet'!$B$15,Paramètres!$A$1:$I$89,5,0)</f>
        <v>182.19239999999994</v>
      </c>
      <c r="EL55" s="13">
        <f t="shared" si="45"/>
        <v>45.809610563727631</v>
      </c>
      <c r="EM55" s="20">
        <f t="shared" si="19"/>
        <v>397.10350173182547</v>
      </c>
      <c r="EN55" s="59">
        <f t="shared" si="20"/>
        <v>690.43683506515879</v>
      </c>
      <c r="EO55" s="59">
        <f ca="1">AVERAGE(OFFSET($EN$3,0,0,'Données projet'!$E$15+1,1))-AVERAGE(OFFSET($H$3,0,0,'Données projet'!$E$15+1,1))</f>
        <v>215.37468832969444</v>
      </c>
      <c r="EP55" s="59">
        <f t="shared" si="46"/>
        <v>208.60212063136419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12.872267323651092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12.872267323651092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</v>
      </c>
      <c r="FE55" s="12">
        <f>IF('Données projet'!$A$218&gt;35,FE54+FD55-FM54,IF(A55&lt;'Données projet'!$A$218,$FB$205^A55,IF(A55='Données projet'!$A$218,'Données projet'!$B$218,FE54+FD55-FM54)))</f>
        <v>228.99999999999991</v>
      </c>
      <c r="FF55" s="17">
        <f>FE55*VLOOKUP('Données projet'!$B$16,Paramètres!$A$1:$I$89,3,0)*VLOOKUP('Données projet'!$B$16,Paramètres!$A$1:$I$89,5,0)</f>
        <v>185.76479999999995</v>
      </c>
      <c r="FG55" s="13">
        <f t="shared" si="47"/>
        <v>46.602385341463361</v>
      </c>
      <c r="FH55" s="20">
        <f t="shared" si="22"/>
        <v>404.70618113638193</v>
      </c>
      <c r="FI55" s="59">
        <f t="shared" si="23"/>
        <v>698.03951446971519</v>
      </c>
      <c r="FJ55" s="59">
        <f ca="1">AVERAGE(OFFSET($FI$3,0,0,'Données projet'!$E$16+1,1))-AVERAGE(OFFSET($H$3,0,0,'Données projet'!$E$16+1,1))</f>
        <v>220.90439367987847</v>
      </c>
      <c r="FK55" s="59">
        <f t="shared" si="48"/>
        <v>213.66046131354858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13.124664722154055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13.124664722154055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1">
        <f t="shared" si="32"/>
        <v>12.788737488384839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67">
        <f t="shared" si="1"/>
        <v>390.48757112560355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18.100000000000001</v>
      </c>
      <c r="N56" s="13">
        <f>IF('Données projet'!$A$36&gt;35,N55+M56-V55,IF(A56&lt;'Données projet'!$A$36,$K$205^A56,IF(A56='Données projet'!$A$36,'Données projet'!$B$36,N55+M56-V55)))</f>
        <v>324.7000000000001</v>
      </c>
      <c r="O56" s="13">
        <f>N56*VLOOKUP('Données projet'!$B$9,Paramètres!$A$1:$I$89,3,0)*VLOOKUP('Données projet'!$B$9,Paramètres!$A$1:$I$89,5,0)</f>
        <v>151.95960000000005</v>
      </c>
      <c r="P56" s="13">
        <f t="shared" si="33"/>
        <v>39.023574794907688</v>
      </c>
      <c r="Q56" s="20">
        <f t="shared" si="53"/>
        <v>332.62902943446431</v>
      </c>
      <c r="R56" s="59">
        <f t="shared" si="0"/>
        <v>625.96236276779769</v>
      </c>
      <c r="S56" s="59">
        <f ca="1">AVERAGE(OFFSET($R$3,0,0,'Données projet'!$E$9+1,1))-AVERAGE(OFFSET($H$3,0,0,'Données projet'!$E$9+1,1))</f>
        <v>196.72624686715807</v>
      </c>
      <c r="T56" s="59">
        <f t="shared" si="34"/>
        <v>37.315661698104691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12.128052351833981</v>
      </c>
      <c r="AA56" s="21">
        <f>EXP(-LN(2)/25)*AA55+(1-EXP(-LN(2)/25))/(LN(2)/25)*Calculateur!V56*Calculateur!X56*VLOOKUP('Données projet'!$B$9,Paramètres!$A$1:$I$89,3,0)*0.475*44/12</f>
        <v>11.428659800507047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23.556712152341028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16.399999999999999</v>
      </c>
      <c r="AI56" s="13">
        <f>IF('Données projet'!$A$62&gt;35,AI55+AH56-AQ55,IF(A56&lt;'Données projet'!$A$62,$AF$205^A56,IF(A56='Données projet'!$A$62,'Données projet'!$B$62,AI55+AH56-AQ55)))</f>
        <v>581.20000000000005</v>
      </c>
      <c r="AJ56" s="13">
        <f>AI56*VLOOKUP('Données projet'!$B$10,Paramètres!$A$1:$I$89,3,0)*VLOOKUP('Données projet'!$B$10,Paramètres!$A$1:$I$89,5,0)</f>
        <v>324.89080000000007</v>
      </c>
      <c r="AK56" s="13">
        <f t="shared" si="35"/>
        <v>76.370079632387387</v>
      </c>
      <c r="AL56" s="20">
        <f t="shared" si="4"/>
        <v>698.86269869307478</v>
      </c>
      <c r="AM56" s="59">
        <f t="shared" si="5"/>
        <v>992.19603202640815</v>
      </c>
      <c r="AN56" s="59">
        <f ca="1">AVERAGE(OFFSET($AM$3,0,0,'Données projet'!$E$10+1,1))-AVERAGE(OFFSET($H$3,0,0,'Données projet'!$E$10+1,1))</f>
        <v>325.42940802362739</v>
      </c>
      <c r="AO56" s="59">
        <f t="shared" si="36"/>
        <v>388.87198417542277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65.543926342535045</v>
      </c>
      <c r="AV56" s="21">
        <f>EXP(-LN(2)/25)*AV55+(1-EXP(-LN(2)/25))/(LN(2)/25)*Calculateur!AQ56*Calculateur!AS56*VLOOKUP('Données projet'!$B$10,Paramètres!$A$1:$I$89,3,0)*0.475*44/12</f>
        <v>27.575754953346483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93.11968129588152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234.75</v>
      </c>
      <c r="BE56" s="13">
        <f>BD56*VLOOKUP('Données projet'!$B$11,Paramètres!$A$1:$I$89,3,0)*VLOOKUP('Données projet'!$B$11,Paramètres!$A$1:$I$89,5,0)</f>
        <v>146.48400000000001</v>
      </c>
      <c r="BF56" s="13">
        <f t="shared" si="37"/>
        <v>37.778462341926023</v>
      </c>
      <c r="BG56" s="20">
        <f t="shared" si="7"/>
        <v>320.9237885788545</v>
      </c>
      <c r="BH56" s="59">
        <f t="shared" si="8"/>
        <v>614.25712191218781</v>
      </c>
      <c r="BI56" s="59">
        <f ca="1">AVERAGE(OFFSET($BH$3,0,0,'Données projet'!$E$11+1,1))-AVERAGE(OFFSET($H$3,0,0,'Données projet'!$E$11+1,1))</f>
        <v>162.87524915738271</v>
      </c>
      <c r="BJ56" s="59">
        <f t="shared" si="38"/>
        <v>249.37880137966658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50.32947762861523</v>
      </c>
      <c r="BQ56" s="21">
        <f>EXP(-LN(2)/25)*BQ55+(1-EXP(-LN(2)/25))/(LN(2)/25)*Calculateur!BL56*Calculateur!BN56*VLOOKUP('Données projet'!$B$11,Paramètres!$A$1:$I$89,3,0)*0.475*44/12</f>
        <v>40.951355774065313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91.280833402680543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</v>
      </c>
      <c r="BY56" s="12">
        <f>IF('Données projet'!$A$114&gt;35,BY55+BX56-CG55,IF(A56&lt;'Données projet'!$A$114,$BV$205^A56,IF(A56='Données projet'!$A$114,'Données projet'!$B$114,BY55+BX56-CG55)))</f>
        <v>199.99999999999991</v>
      </c>
      <c r="BZ56" s="13">
        <f>BY56*VLOOKUP('Données projet'!$B$12,Paramètres!$A$1:$I$89,3,0)*VLOOKUP('Données projet'!$B$12,Paramètres!$A$1:$I$89,5,0)</f>
        <v>131.03999999999994</v>
      </c>
      <c r="CA56" s="13">
        <f t="shared" si="39"/>
        <v>34.236561238949889</v>
      </c>
      <c r="CB56" s="20">
        <f t="shared" si="10"/>
        <v>287.85667749117096</v>
      </c>
      <c r="CC56" s="59">
        <f t="shared" si="11"/>
        <v>581.19001082450427</v>
      </c>
      <c r="CD56" s="59">
        <f ca="1">AVERAGE(OFFSET($CC$3,0,0,'Données projet'!$E$12+1,1))-AVERAGE(OFFSET($H$3,0,0,'Données projet'!$E$12+1,1))</f>
        <v>119.88584888779422</v>
      </c>
      <c r="CE56" s="59">
        <f t="shared" si="40"/>
        <v>162.97244314258774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7.5994766884971519</v>
      </c>
      <c r="CL56" s="21">
        <f>EXP(-LN(2)/25)*CL55+(1-EXP(-LN(2)/25))/(LN(2)/25)*Calculateur!CG56*Calculateur!CI56*VLOOKUP('Données projet'!$B$12,Paramètres!$A$1:$I$89,3,0)*0.475*44/12</f>
        <v>11.842686201920992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19.442162890418146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</v>
      </c>
      <c r="CT56" s="12">
        <f>IF('Données projet'!$A$140&gt;35,CT55+CS56-DB55,IF(A56&lt;'Données projet'!$A$140,$CQ$205^A56,IF(A56='Données projet'!$A$140,'Données projet'!$B$140,CT55+CS56-DB55)))</f>
        <v>215</v>
      </c>
      <c r="CU56" s="17">
        <f>CT56*VLOOKUP('Données projet'!$B$13,Paramètres!$A$1:$I$89,3,0)*VLOOKUP('Données projet'!$B$13,Paramètres!$A$1:$I$89,5,0)</f>
        <v>218.01000000000002</v>
      </c>
      <c r="CV56" s="13">
        <f t="shared" si="41"/>
        <v>53.682140586224406</v>
      </c>
      <c r="CW56" s="20">
        <f t="shared" si="13"/>
        <v>473.19714485434082</v>
      </c>
      <c r="CX56" s="59">
        <f t="shared" si="14"/>
        <v>766.53047818767413</v>
      </c>
      <c r="CY56" s="59">
        <f ca="1">AVERAGE(OFFSET($CX$3,0,0,'Données projet'!$E$13+1,1))-AVERAGE(OFFSET($H$3,0,0,'Données projet'!$E$13+1,1))</f>
        <v>261.75887764015459</v>
      </c>
      <c r="CZ56" s="59">
        <f t="shared" si="42"/>
        <v>209.74127356028544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4.7113639325595713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4.7113639325595713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</v>
      </c>
      <c r="DO56" s="12">
        <f>IF('Données projet'!$A$166&gt;35,DO55+DN56-DW55,IF(A56&lt;'Données projet'!$A$166,$DL$205^A56,IF(A56='Données projet'!$A$166,'Données projet'!$B$166,DO55+DN56-DW55)))</f>
        <v>234.99999999999991</v>
      </c>
      <c r="DP56" s="17">
        <f>DO56*VLOOKUP('Données projet'!$B$14,Paramètres!$A$1:$I$89,3,0)*VLOOKUP('Données projet'!$B$14,Paramètres!$A$1:$I$89,5,0)</f>
        <v>186.96599999999992</v>
      </c>
      <c r="DQ56" s="13">
        <f t="shared" si="43"/>
        <v>46.868551400324606</v>
      </c>
      <c r="DR56" s="20">
        <f t="shared" si="16"/>
        <v>407.26184368889852</v>
      </c>
      <c r="DS56" s="59">
        <f t="shared" si="17"/>
        <v>700.59517702223184</v>
      </c>
      <c r="DT56" s="59">
        <f ca="1">AVERAGE(OFFSET($DS$3,0,0,'Données projet'!$E$14+1,1))-AVERAGE(OFFSET($H$3,0,0,'Données projet'!$E$14+1,1))</f>
        <v>215.37468832969444</v>
      </c>
      <c r="DU56" s="59">
        <f t="shared" si="44"/>
        <v>208.60212063136419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12.619850012742109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12.619850012742109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</v>
      </c>
      <c r="EJ56" s="12">
        <f>IF('Données projet'!$A$192&gt;35,EJ55+EI56-ER55,IF(A56&lt;'Données projet'!$A$192,$EG$205^A56,IF(A56='Données projet'!$A$192,'Données projet'!$B$192,EJ55+EI56-ER55)))</f>
        <v>234.99999999999991</v>
      </c>
      <c r="EK56" s="17">
        <f>EJ56*VLOOKUP('Données projet'!$B$15,Paramètres!$A$1:$I$89,3,0)*VLOOKUP('Données projet'!$B$15,Paramètres!$A$1:$I$89,5,0)</f>
        <v>186.96599999999992</v>
      </c>
      <c r="EL56" s="13">
        <f t="shared" si="45"/>
        <v>46.868551400324606</v>
      </c>
      <c r="EM56" s="20">
        <f t="shared" si="19"/>
        <v>407.26184368889852</v>
      </c>
      <c r="EN56" s="59">
        <f t="shared" si="20"/>
        <v>700.59517702223184</v>
      </c>
      <c r="EO56" s="59">
        <f ca="1">AVERAGE(OFFSET($EN$3,0,0,'Données projet'!$E$15+1,1))-AVERAGE(OFFSET($H$3,0,0,'Données projet'!$E$15+1,1))</f>
        <v>215.37468832969444</v>
      </c>
      <c r="EP56" s="59">
        <f t="shared" si="46"/>
        <v>208.60212063136419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12.619850012742109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12.619850012742109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</v>
      </c>
      <c r="FE56" s="12">
        <f>IF('Données projet'!$A$218&gt;35,FE55+FD56-FM55,IF(A56&lt;'Données projet'!$A$218,$FB$205^A56,IF(A56='Données projet'!$A$218,'Données projet'!$B$218,FE55+FD56-FM55)))</f>
        <v>234.99999999999991</v>
      </c>
      <c r="FF56" s="17">
        <f>FE56*VLOOKUP('Données projet'!$B$16,Paramètres!$A$1:$I$89,3,0)*VLOOKUP('Données projet'!$B$16,Paramètres!$A$1:$I$89,5,0)</f>
        <v>190.63199999999995</v>
      </c>
      <c r="FG56" s="13">
        <f t="shared" si="47"/>
        <v>47.679652061560311</v>
      </c>
      <c r="FH56" s="20">
        <f t="shared" si="22"/>
        <v>415.05946067388408</v>
      </c>
      <c r="FI56" s="59">
        <f t="shared" si="23"/>
        <v>708.39279400721739</v>
      </c>
      <c r="FJ56" s="59">
        <f ca="1">AVERAGE(OFFSET($FI$3,0,0,'Données projet'!$E$16+1,1))-AVERAGE(OFFSET($H$3,0,0,'Données projet'!$E$16+1,1))</f>
        <v>220.90439367987847</v>
      </c>
      <c r="FK56" s="59">
        <f t="shared" si="48"/>
        <v>213.66046131354858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12.867298052207641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12.867298052207641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1">
        <f t="shared" si="32"/>
        <v>13.001714958042184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67">
        <f t="shared" si="1"/>
        <v>392.27134688525672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18.100000000000001</v>
      </c>
      <c r="N57" s="13">
        <f>IF('Données projet'!$A$36&gt;35,N56+M57-V56,IF(A57&lt;'Données projet'!$A$36,$K$205^A57,IF(A57='Données projet'!$A$36,'Données projet'!$B$36,N56+M57-V56)))</f>
        <v>342.80000000000013</v>
      </c>
      <c r="O57" s="13">
        <f>N57*VLOOKUP('Données projet'!$B$9,Paramètres!$A$1:$I$89,3,0)*VLOOKUP('Données projet'!$B$9,Paramètres!$A$1:$I$89,5,0)</f>
        <v>160.43040000000005</v>
      </c>
      <c r="P57" s="13">
        <f t="shared" si="33"/>
        <v>40.939578144953074</v>
      </c>
      <c r="Q57" s="20">
        <f t="shared" si="53"/>
        <v>350.71937860245998</v>
      </c>
      <c r="R57" s="59">
        <f t="shared" si="0"/>
        <v>644.05271193579324</v>
      </c>
      <c r="S57" s="59">
        <f ca="1">AVERAGE(OFFSET($R$3,0,0,'Données projet'!$E$9+1,1))-AVERAGE(OFFSET($H$3,0,0,'Données projet'!$E$9+1,1))</f>
        <v>196.72624686715807</v>
      </c>
      <c r="T57" s="59">
        <f t="shared" si="34"/>
        <v>37.315661698104691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11.89022864259602</v>
      </c>
      <c r="AA57" s="21">
        <f>EXP(-LN(2)/25)*AA56+(1-EXP(-LN(2)/25))/(LN(2)/25)*Calculateur!V57*Calculateur!X57*VLOOKUP('Données projet'!$B$9,Paramètres!$A$1:$I$89,3,0)*0.475*44/12</f>
        <v>11.116142497255083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23.006371139851105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16.399999999999999</v>
      </c>
      <c r="AI57" s="13">
        <f>IF('Données projet'!$A$62&gt;35,AI56+AH57-AQ56,IF(A57&lt;'Données projet'!$A$62,$AF$205^A57,IF(A57='Données projet'!$A$62,'Données projet'!$B$62,AI56+AH57-AQ56)))</f>
        <v>597.6</v>
      </c>
      <c r="AJ57" s="13">
        <f>AI57*VLOOKUP('Données projet'!$B$10,Paramètres!$A$1:$I$89,3,0)*VLOOKUP('Données projet'!$B$10,Paramètres!$A$1:$I$89,5,0)</f>
        <v>334.05840000000006</v>
      </c>
      <c r="AK57" s="13">
        <f t="shared" si="35"/>
        <v>78.271117531118165</v>
      </c>
      <c r="AL57" s="20">
        <f t="shared" si="4"/>
        <v>718.14057636669759</v>
      </c>
      <c r="AM57" s="59">
        <f t="shared" si="5"/>
        <v>1011.4739097000308</v>
      </c>
      <c r="AN57" s="59">
        <f ca="1">AVERAGE(OFFSET($AM$3,0,0,'Données projet'!$E$10+1,1))-AVERAGE(OFFSET($H$3,0,0,'Données projet'!$E$10+1,1))</f>
        <v>325.42940802362739</v>
      </c>
      <c r="AO57" s="59">
        <f t="shared" si="36"/>
        <v>388.87198417542277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64.258649924805511</v>
      </c>
      <c r="AV57" s="21">
        <f>EXP(-LN(2)/25)*AV56+(1-EXP(-LN(2)/25))/(LN(2)/25)*Calculateur!AQ57*Calculateur!AS57*VLOOKUP('Données projet'!$B$10,Paramètres!$A$1:$I$89,3,0)*0.475*44/12</f>
        <v>26.821694484001295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91.080344408806809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244.5</v>
      </c>
      <c r="BE57" s="13">
        <f>BD57*VLOOKUP('Données projet'!$B$11,Paramètres!$A$1:$I$89,3,0)*VLOOKUP('Données projet'!$B$11,Paramètres!$A$1:$I$89,5,0)</f>
        <v>152.56800000000001</v>
      </c>
      <c r="BF57" s="13">
        <f t="shared" si="37"/>
        <v>39.161595030150863</v>
      </c>
      <c r="BG57" s="20">
        <f t="shared" si="7"/>
        <v>333.92904467751276</v>
      </c>
      <c r="BH57" s="59">
        <f t="shared" si="8"/>
        <v>627.26237801084608</v>
      </c>
      <c r="BI57" s="59">
        <f ca="1">AVERAGE(OFFSET($BH$3,0,0,'Données projet'!$E$11+1,1))-AVERAGE(OFFSET($H$3,0,0,'Données projet'!$E$11+1,1))</f>
        <v>162.87524915738271</v>
      </c>
      <c r="BJ57" s="59">
        <f t="shared" si="38"/>
        <v>249.37880137966658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49.34254727026827</v>
      </c>
      <c r="BQ57" s="21">
        <f>EXP(-LN(2)/25)*BQ56+(1-EXP(-LN(2)/25))/(LN(2)/25)*Calculateur!BL57*Calculateur!BN57*VLOOKUP('Données projet'!$B$11,Paramètres!$A$1:$I$89,3,0)*0.475*44/12</f>
        <v>39.83153879688529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89.174086067153553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</v>
      </c>
      <c r="BY57" s="12">
        <f>IF('Données projet'!$A$114&gt;35,BY56+BX57-CG56,IF(A57&lt;'Données projet'!$A$114,$BV$205^A57,IF(A57='Données projet'!$A$114,'Données projet'!$B$114,BY56+BX57-CG56)))</f>
        <v>205.99999999999991</v>
      </c>
      <c r="BZ57" s="13">
        <f>BY57*VLOOKUP('Données projet'!$B$12,Paramètres!$A$1:$I$89,3,0)*VLOOKUP('Données projet'!$B$12,Paramètres!$A$1:$I$89,5,0)</f>
        <v>134.97119999999995</v>
      </c>
      <c r="CA57" s="13">
        <f t="shared" si="39"/>
        <v>35.142536849088657</v>
      </c>
      <c r="CB57" s="20">
        <f t="shared" si="10"/>
        <v>296.28142501216263</v>
      </c>
      <c r="CC57" s="59">
        <f t="shared" si="11"/>
        <v>589.61475834549594</v>
      </c>
      <c r="CD57" s="59">
        <f ca="1">AVERAGE(OFFSET($CC$3,0,0,'Données projet'!$E$12+1,1))-AVERAGE(OFFSET($H$3,0,0,'Données projet'!$E$12+1,1))</f>
        <v>119.88584888779422</v>
      </c>
      <c r="CE57" s="59">
        <f t="shared" si="40"/>
        <v>162.97244314258774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7.4504555858588128</v>
      </c>
      <c r="CL57" s="21">
        <f>EXP(-LN(2)/25)*CL56+(1-EXP(-LN(2)/25))/(LN(2)/25)*Calculateur!CG57*Calculateur!CI57*VLOOKUP('Données projet'!$B$12,Paramètres!$A$1:$I$89,3,0)*0.475*44/12</f>
        <v>11.518847324949663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18.969302910808477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</v>
      </c>
      <c r="CT57" s="12">
        <f>IF('Données projet'!$A$140&gt;35,CT56+CS57-DB56,IF(A57&lt;'Données projet'!$A$140,$CQ$205^A57,IF(A57='Données projet'!$A$140,'Données projet'!$B$140,CT56+CS57-DB56)))</f>
        <v>222</v>
      </c>
      <c r="CU57" s="17">
        <f>CT57*VLOOKUP('Données projet'!$B$13,Paramètres!$A$1:$I$89,3,0)*VLOOKUP('Données projet'!$B$13,Paramètres!$A$1:$I$89,5,0)</f>
        <v>225.10800000000003</v>
      </c>
      <c r="CV57" s="13">
        <f t="shared" si="41"/>
        <v>55.22359687888963</v>
      </c>
      <c r="CW57" s="20">
        <f t="shared" si="13"/>
        <v>488.24419789739949</v>
      </c>
      <c r="CX57" s="59">
        <f t="shared" si="14"/>
        <v>781.5775312307328</v>
      </c>
      <c r="CY57" s="59">
        <f ca="1">AVERAGE(OFFSET($CX$3,0,0,'Données projet'!$E$13+1,1))-AVERAGE(OFFSET($H$3,0,0,'Données projet'!$E$13+1,1))</f>
        <v>261.75887764015459</v>
      </c>
      <c r="CZ57" s="59">
        <f t="shared" si="42"/>
        <v>209.74127356028544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4.5825314380638682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4.5825314380638682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</v>
      </c>
      <c r="DO57" s="12">
        <f>IF('Données projet'!$A$166&gt;35,DO56+DN57-DW56,IF(A57&lt;'Données projet'!$A$166,$DL$205^A57,IF(A57='Données projet'!$A$166,'Données projet'!$B$166,DO56+DN57-DW56)))</f>
        <v>240.99999999999991</v>
      </c>
      <c r="DP57" s="17">
        <f>DO57*VLOOKUP('Données projet'!$B$14,Paramètres!$A$1:$I$89,3,0)*VLOOKUP('Données projet'!$B$14,Paramètres!$A$1:$I$89,5,0)</f>
        <v>191.73959999999994</v>
      </c>
      <c r="DQ57" s="13">
        <f t="shared" si="43"/>
        <v>47.924349465834901</v>
      </c>
      <c r="DR57" s="20">
        <f t="shared" si="16"/>
        <v>417.414711986329</v>
      </c>
      <c r="DS57" s="59">
        <f t="shared" si="17"/>
        <v>710.74804531966231</v>
      </c>
      <c r="DT57" s="59">
        <f ca="1">AVERAGE(OFFSET($DS$3,0,0,'Données projet'!$E$14+1,1))-AVERAGE(OFFSET($H$3,0,0,'Données projet'!$E$14+1,1))</f>
        <v>215.37468832969444</v>
      </c>
      <c r="DU57" s="59">
        <f t="shared" si="44"/>
        <v>208.60212063136419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12.372382451340695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12.372382451340695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</v>
      </c>
      <c r="EJ57" s="12">
        <f>IF('Données projet'!$A$192&gt;35,EJ56+EI57-ER56,IF(A57&lt;'Données projet'!$A$192,$EG$205^A57,IF(A57='Données projet'!$A$192,'Données projet'!$B$192,EJ56+EI57-ER56)))</f>
        <v>240.99999999999991</v>
      </c>
      <c r="EK57" s="17">
        <f>EJ57*VLOOKUP('Données projet'!$B$15,Paramètres!$A$1:$I$89,3,0)*VLOOKUP('Données projet'!$B$15,Paramètres!$A$1:$I$89,5,0)</f>
        <v>191.73959999999994</v>
      </c>
      <c r="EL57" s="13">
        <f t="shared" si="45"/>
        <v>47.924349465834901</v>
      </c>
      <c r="EM57" s="20">
        <f t="shared" si="19"/>
        <v>417.414711986329</v>
      </c>
      <c r="EN57" s="59">
        <f t="shared" si="20"/>
        <v>710.74804531966231</v>
      </c>
      <c r="EO57" s="59">
        <f ca="1">AVERAGE(OFFSET($EN$3,0,0,'Données projet'!$E$15+1,1))-AVERAGE(OFFSET($H$3,0,0,'Données projet'!$E$15+1,1))</f>
        <v>215.37468832969444</v>
      </c>
      <c r="EP57" s="59">
        <f t="shared" si="46"/>
        <v>208.60212063136419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12.372382451340695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12.372382451340695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</v>
      </c>
      <c r="FE57" s="12">
        <f>IF('Données projet'!$A$218&gt;35,FE56+FD57-FM56,IF(A57&lt;'Données projet'!$A$218,$FB$205^A57,IF(A57='Données projet'!$A$218,'Données projet'!$B$218,FE56+FD57-FM56)))</f>
        <v>240.99999999999991</v>
      </c>
      <c r="FF57" s="17">
        <f>FE57*VLOOKUP('Données projet'!$B$16,Paramètres!$A$1:$I$89,3,0)*VLOOKUP('Données projet'!$B$16,Paramètres!$A$1:$I$89,5,0)</f>
        <v>195.49919999999995</v>
      </c>
      <c r="FG57" s="13">
        <f t="shared" si="47"/>
        <v>48.753721622209262</v>
      </c>
      <c r="FH57" s="20">
        <f t="shared" si="22"/>
        <v>425.40717182534769</v>
      </c>
      <c r="FI57" s="59">
        <f t="shared" si="23"/>
        <v>718.740505158681</v>
      </c>
      <c r="FJ57" s="59">
        <f ca="1">AVERAGE(OFFSET($FI$3,0,0,'Données projet'!$E$16+1,1))-AVERAGE(OFFSET($H$3,0,0,'Données projet'!$E$16+1,1))</f>
        <v>220.90439367987847</v>
      </c>
      <c r="FK57" s="59">
        <f t="shared" si="48"/>
        <v>213.66046131354858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12.614978185680707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12.614978185680707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1">
        <f t="shared" si="32"/>
        <v>13.214233809656902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67">
        <f t="shared" si="1"/>
        <v>394.05432388515237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18.100000000000001</v>
      </c>
      <c r="N58" s="13">
        <f>IF('Données projet'!$A$36&gt;35,N57+M58-V57,IF(A58&lt;'Données projet'!$A$36,$K$205^A58,IF(A58='Données projet'!$A$36,'Données projet'!$B$36,N57+M58-V57)))</f>
        <v>360.90000000000015</v>
      </c>
      <c r="O58" s="13">
        <f>N58*VLOOKUP('Données projet'!$B$9,Paramètres!$A$1:$I$89,3,0)*VLOOKUP('Données projet'!$B$9,Paramètres!$A$1:$I$89,5,0)</f>
        <v>168.90120000000005</v>
      </c>
      <c r="P58" s="13">
        <f t="shared" si="33"/>
        <v>42.843836138922292</v>
      </c>
      <c r="Q58" s="20">
        <f t="shared" si="53"/>
        <v>368.78927127528976</v>
      </c>
      <c r="R58" s="59">
        <f t="shared" si="0"/>
        <v>662.12260460862308</v>
      </c>
      <c r="S58" s="59">
        <f ca="1">AVERAGE(OFFSET($R$3,0,0,'Données projet'!$E$9+1,1))-AVERAGE(OFFSET($H$3,0,0,'Données projet'!$E$9+1,1))</f>
        <v>196.72624686715807</v>
      </c>
      <c r="T58" s="59">
        <f t="shared" si="34"/>
        <v>37.315661698104691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11.657068511238077</v>
      </c>
      <c r="AA58" s="21">
        <f>EXP(-LN(2)/25)*AA57+(1-EXP(-LN(2)/25))/(LN(2)/25)*Calculateur!V58*Calculateur!X58*VLOOKUP('Données projet'!$B$9,Paramètres!$A$1:$I$89,3,0)*0.475*44/12</f>
        <v>10.812170996095116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22.469239507333192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615</v>
      </c>
      <c r="AG58" s="12">
        <f>VLOOKUP(A58,'Données projet'!$A$61:$I$81,9,0)</f>
        <v>16.399999999999999</v>
      </c>
      <c r="AH58" s="12">
        <f t="array" ref="AH58">INDEX(AG:AG,MIN(IF(ISNUMBER(AG58:AG254),ROW(AG58:AG254),"")))</f>
        <v>16.399999999999999</v>
      </c>
      <c r="AI58" s="13">
        <f>IF('Données projet'!$A$62&gt;35,AI57+AH58-AQ57,IF(A58&lt;'Données projet'!$A$62,$AF$205^A58,IF(A58='Données projet'!$A$62,'Données projet'!$B$62,AI57+AH58-AQ57)))</f>
        <v>614</v>
      </c>
      <c r="AJ58" s="13">
        <f>AI58*VLOOKUP('Données projet'!$B$10,Paramètres!$A$1:$I$89,3,0)*VLOOKUP('Données projet'!$B$10,Paramètres!$A$1:$I$89,5,0)</f>
        <v>343.226</v>
      </c>
      <c r="AK58" s="13">
        <f t="shared" si="35"/>
        <v>80.166091681676448</v>
      </c>
      <c r="AL58" s="20">
        <f t="shared" si="4"/>
        <v>737.40789301225311</v>
      </c>
      <c r="AM58" s="59">
        <f t="shared" si="5"/>
        <v>1030.7412263455865</v>
      </c>
      <c r="AN58" s="59">
        <f ca="1">AVERAGE(OFFSET($AM$3,0,0,'Données projet'!$E$10+1,1))-AVERAGE(OFFSET($H$3,0,0,'Données projet'!$E$10+1,1))</f>
        <v>325.42940802362739</v>
      </c>
      <c r="AO58" s="59">
        <f t="shared" si="36"/>
        <v>388.87198417542277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35</v>
      </c>
      <c r="AR58" s="16">
        <f>IF(ISNA(VLOOKUP(A58,'Données projet'!$A$61:$I$81,5,0)),0%,VLOOKUP(A58,'Données projet'!$A$61:$I$81,5,0)*VLOOKUP('Données projet'!$B$10,Paramètres!$A$1:$I$89,7,0))</f>
        <v>0.35750000000000004</v>
      </c>
      <c r="AS58" s="16">
        <f>IF(ISNA(VLOOKUP(A58,'Données projet'!$A$61:$I$81,6,0)),0%,VLOOKUP(A58,'Données projet'!$A$61:$I$81,6,0)*VLOOKUP('Données projet'!$B$10,Paramètres!$A$1:$I$89,7,0))</f>
        <v>0.13750000000000001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72.277215495202626</v>
      </c>
      <c r="AV58" s="21">
        <f>EXP(-LN(2)/25)*AV57+(1-EXP(-LN(2)/25))/(LN(2)/25)*Calculateur!AQ58*Calculateur!AS58*VLOOKUP('Données projet'!$B$10,Paramètres!$A$1:$I$89,3,0)*0.475*44/12</f>
        <v>29.642909594112844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101.92012508931546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254.25</v>
      </c>
      <c r="BE58" s="13">
        <f>BD58*VLOOKUP('Données projet'!$B$11,Paramètres!$A$1:$I$89,3,0)*VLOOKUP('Données projet'!$B$11,Paramètres!$A$1:$I$89,5,0)</f>
        <v>158.65199999999999</v>
      </c>
      <c r="BF58" s="13">
        <f t="shared" si="37"/>
        <v>40.538320690487296</v>
      </c>
      <c r="BG58" s="20">
        <f t="shared" si="7"/>
        <v>346.92314186926529</v>
      </c>
      <c r="BH58" s="59">
        <f t="shared" si="8"/>
        <v>640.25647520259861</v>
      </c>
      <c r="BI58" s="59">
        <f ca="1">AVERAGE(OFFSET($BH$3,0,0,'Données projet'!$E$11+1,1))-AVERAGE(OFFSET($H$3,0,0,'Données projet'!$E$11+1,1))</f>
        <v>162.87524915738271</v>
      </c>
      <c r="BJ58" s="59">
        <f t="shared" si="38"/>
        <v>249.37880137966658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48.374970014280414</v>
      </c>
      <c r="BQ58" s="21">
        <f>EXP(-LN(2)/25)*BQ57+(1-EXP(-LN(2)/25))/(LN(2)/25)*Calculateur!BL58*Calculateur!BN58*VLOOKUP('Données projet'!$B$11,Paramètres!$A$1:$I$89,3,0)*0.475*44/12</f>
        <v>38.742343273834869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87.117313288115284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212</v>
      </c>
      <c r="BW58" s="12">
        <f>VLOOKUP(A58,'Données projet'!$A$113:$I$133,9,0)</f>
        <v>6</v>
      </c>
      <c r="BX58" s="12">
        <f t="array" ref="BX58">INDEX(BW:BW,MIN(IF(ISNUMBER(BW58:BW254),ROW(BW58:BW254),"")))</f>
        <v>6</v>
      </c>
      <c r="BY58" s="12">
        <f>IF('Données projet'!$A$114&gt;35,BY57+BX58-CG57,IF(A58&lt;'Données projet'!$A$114,$BV$205^A58,IF(A58='Données projet'!$A$114,'Données projet'!$B$114,BY57+BX58-CG57)))</f>
        <v>211.99999999999991</v>
      </c>
      <c r="BZ58" s="13">
        <f>BY58*VLOOKUP('Données projet'!$B$12,Paramètres!$A$1:$I$89,3,0)*VLOOKUP('Données projet'!$B$12,Paramètres!$A$1:$I$89,5,0)</f>
        <v>138.90239999999994</v>
      </c>
      <c r="CA58" s="13">
        <f t="shared" si="39"/>
        <v>36.045445680666425</v>
      </c>
      <c r="CB58" s="20">
        <f t="shared" si="10"/>
        <v>304.70083122716056</v>
      </c>
      <c r="CC58" s="59">
        <f t="shared" si="11"/>
        <v>598.03416456049388</v>
      </c>
      <c r="CD58" s="59">
        <f ca="1">AVERAGE(OFFSET($CC$3,0,0,'Données projet'!$E$12+1,1))-AVERAGE(OFFSET($H$3,0,0,'Données projet'!$E$12+1,1))</f>
        <v>119.88584888779422</v>
      </c>
      <c r="CE58" s="59">
        <f t="shared" si="40"/>
        <v>162.97244314258774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20</v>
      </c>
      <c r="CH58" s="16">
        <f>IF(ISNA(VLOOKUP(A58,'Données projet'!$A$113:$I$133,5,0)),0%,VLOOKUP(A58,'Données projet'!$A$113:$I$133,5,0)*VLOOKUP('Données projet'!$B$12,Paramètres!$A$1:$I$89,7,0))</f>
        <v>0.215</v>
      </c>
      <c r="CI58" s="16">
        <f>IF(ISNA(VLOOKUP(A58,'Données projet'!$A$113:$I$133,6,0)),0%,VLOOKUP(A58,'Données projet'!$A$113:$I$133,6,0)*VLOOKUP('Données projet'!$B$12,Paramètres!$A$1:$I$89,7,0))</f>
        <v>0.1075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10.418864724630264</v>
      </c>
      <c r="CL58" s="21">
        <f>EXP(-LN(2)/25)*CL57+(1-EXP(-LN(2)/25))/(LN(2)/25)*Calculateur!CG58*Calculateur!CI58*VLOOKUP('Données projet'!$B$12,Paramètres!$A$1:$I$89,3,0)*0.475*44/12</f>
        <v>12.754986350925174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23.17385107555544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229</v>
      </c>
      <c r="CR58" s="12">
        <f>VLOOKUP(A58,'Données projet'!$A$139:$I$159,9,0)</f>
        <v>7</v>
      </c>
      <c r="CS58" s="12">
        <f t="array" ref="CS58">INDEX(CR:CR,MIN(IF(ISNUMBER(CR58:CR254),ROW(CR58:CR254),"")))</f>
        <v>7</v>
      </c>
      <c r="CT58" s="12">
        <f>IF('Données projet'!$A$140&gt;35,CT57+CS58-DB57,IF(A58&lt;'Données projet'!$A$140,$CQ$205^A58,IF(A58='Données projet'!$A$140,'Données projet'!$B$140,CT57+CS58-DB57)))</f>
        <v>229</v>
      </c>
      <c r="CU58" s="17">
        <f>CT58*VLOOKUP('Données projet'!$B$13,Paramètres!$A$1:$I$89,3,0)*VLOOKUP('Données projet'!$B$13,Paramètres!$A$1:$I$89,5,0)</f>
        <v>232.20599999999999</v>
      </c>
      <c r="CV58" s="13">
        <f t="shared" si="41"/>
        <v>56.759404991217572</v>
      </c>
      <c r="CW58" s="20">
        <f t="shared" si="13"/>
        <v>503.28141369303722</v>
      </c>
      <c r="CX58" s="59">
        <f t="shared" si="14"/>
        <v>796.61474702637054</v>
      </c>
      <c r="CY58" s="59">
        <f ca="1">AVERAGE(OFFSET($CX$3,0,0,'Données projet'!$E$13+1,1))-AVERAGE(OFFSET($H$3,0,0,'Données projet'!$E$13+1,1))</f>
        <v>261.75887764015459</v>
      </c>
      <c r="CZ58" s="59">
        <f t="shared" si="42"/>
        <v>209.74127356028544</v>
      </c>
      <c r="DA58" s="15">
        <f>IF(ISNA(VLOOKUP(A58,'Données projet'!$A$139:$I$159,3,0)),0,VLOOKUP(A58,'Données projet'!$A$139:$I$159,3,0))</f>
        <v>3</v>
      </c>
      <c r="DB58" s="15">
        <f>IF(ISNA(VLOOKUP(A58,'Données projet'!$A$139:$I$159,4,0)),0,VLOOKUP(A58,'Données projet'!$A$139:$I$159,4,0))</f>
        <v>45</v>
      </c>
      <c r="DC58" s="16">
        <f>IF(ISNA(VLOOKUP(A58,'Données projet'!$A$139:$I$159,5,0)),0%,VLOOKUP(A58,'Données projet'!$A$139:$I$159,5,0)*VLOOKUP('Données projet'!$B$13,Paramètres!$A$1:$I$89,7,0))</f>
        <v>6.4500000000000002E-2</v>
      </c>
      <c r="DD58" s="16">
        <f>IF(ISNA(VLOOKUP(A58,'Données projet'!$A$139:$I$159,6,0)),0%,VLOOKUP(A58,'Données projet'!$A$139:$I$159,6,0)*VLOOKUP('Données projet'!$B$13,Paramètres!$A$1:$I$89,7,0))</f>
        <v>0.17200000000000001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3.2535485654667089</v>
      </c>
      <c r="DG58" s="21">
        <f>EXP(-LN(2)/25)*DG57+(1-EXP(-LN(2)/25))/(LN(2)/25)*Calculateur!DB58*Calculateur!DD58*VLOOKUP('Données projet'!$B$13,Paramètres!$A$1:$I$89,3,0)*0.475*44/12</f>
        <v>13.099190155079219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16.352738720545929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247</v>
      </c>
      <c r="DM58" s="12">
        <f>VLOOKUP(A58,'Données projet'!$A$165:$I$185,9,0)</f>
        <v>6</v>
      </c>
      <c r="DN58" s="12">
        <f t="array" ref="DN58">INDEX(DM:DM,MIN(IF(ISNUMBER(DM58:DM254),ROW(DM58:DM254),"")))</f>
        <v>6</v>
      </c>
      <c r="DO58" s="12">
        <f>IF('Données projet'!$A$166&gt;35,DO57+DN58-DW57,IF(A58&lt;'Données projet'!$A$166,$DL$205^A58,IF(A58='Données projet'!$A$166,'Données projet'!$B$166,DO57+DN58-DW57)))</f>
        <v>246.99999999999991</v>
      </c>
      <c r="DP58" s="17">
        <f>DO58*VLOOKUP('Données projet'!$B$14,Paramètres!$A$1:$I$89,3,0)*VLOOKUP('Données projet'!$B$14,Paramètres!$A$1:$I$89,5,0)</f>
        <v>196.51319999999993</v>
      </c>
      <c r="DQ58" s="13">
        <f t="shared" si="43"/>
        <v>48.977092002823696</v>
      </c>
      <c r="DR58" s="20">
        <f t="shared" si="16"/>
        <v>427.56225857158444</v>
      </c>
      <c r="DS58" s="59">
        <f t="shared" si="17"/>
        <v>720.89559190491775</v>
      </c>
      <c r="DT58" s="59">
        <f ca="1">AVERAGE(OFFSET($DS$3,0,0,'Données projet'!$E$14+1,1))-AVERAGE(OFFSET($H$3,0,0,'Données projet'!$E$14+1,1))</f>
        <v>215.37468832969444</v>
      </c>
      <c r="DU58" s="59">
        <f t="shared" si="44"/>
        <v>208.60212063136419</v>
      </c>
      <c r="DV58" s="15">
        <f>IF(ISNA(VLOOKUP(A58,'Données projet'!$A$165:$I$185,3,0)),0,VLOOKUP(A58,'Données projet'!$A$165:$I$185,3,0))</f>
        <v>8</v>
      </c>
      <c r="DW58" s="15">
        <f>IF(ISNA(VLOOKUP(A58,'Données projet'!$A$165:$I$185,4,0)),0,VLOOKUP(A58,'Données projet'!$A$165:$I$185,4,0))</f>
        <v>13</v>
      </c>
      <c r="DX58" s="16">
        <f>IF(ISNA(VLOOKUP(A58,'Données projet'!$A$165:$I$185,5,0)),0%,VLOOKUP(A58,'Données projet'!$A$165:$I$185,5,0)*VLOOKUP('Données projet'!$B$14,Paramètres!$A$1:$I$89,7,0))</f>
        <v>0.21200000000000002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14.553703294661933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14.553703294661933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247</v>
      </c>
      <c r="EH58" s="12">
        <f>VLOOKUP(A58,'Données projet'!$A$191:$I$211,9,0)</f>
        <v>6</v>
      </c>
      <c r="EI58" s="12">
        <f t="array" ref="EI58">INDEX(EH:EH,MIN(IF(ISNUMBER(EH58:EH254),ROW(EH58:EH254),"")))</f>
        <v>6</v>
      </c>
      <c r="EJ58" s="12">
        <f>IF('Données projet'!$A$192&gt;35,EJ57+EI58-ER57,IF(A58&lt;'Données projet'!$A$192,$EG$205^A58,IF(A58='Données projet'!$A$192,'Données projet'!$B$192,EJ57+EI58-ER57)))</f>
        <v>246.99999999999991</v>
      </c>
      <c r="EK58" s="17">
        <f>EJ58*VLOOKUP('Données projet'!$B$15,Paramètres!$A$1:$I$89,3,0)*VLOOKUP('Données projet'!$B$15,Paramètres!$A$1:$I$89,5,0)</f>
        <v>196.51319999999993</v>
      </c>
      <c r="EL58" s="13">
        <f t="shared" si="45"/>
        <v>48.977092002823696</v>
      </c>
      <c r="EM58" s="20">
        <f t="shared" si="19"/>
        <v>427.56225857158444</v>
      </c>
      <c r="EN58" s="59">
        <f t="shared" si="20"/>
        <v>720.89559190491775</v>
      </c>
      <c r="EO58" s="59">
        <f ca="1">AVERAGE(OFFSET($EN$3,0,0,'Données projet'!$E$15+1,1))-AVERAGE(OFFSET($H$3,0,0,'Données projet'!$E$15+1,1))</f>
        <v>215.37468832969444</v>
      </c>
      <c r="EP58" s="59">
        <f t="shared" si="46"/>
        <v>208.60212063136419</v>
      </c>
      <c r="EQ58" s="15">
        <f>IF(ISNA(VLOOKUP(A58,'Données projet'!$A$191:$I$211,3,0)),0,VLOOKUP(A58,'Données projet'!$A$191:$I$211,3,0))</f>
        <v>8</v>
      </c>
      <c r="ER58" s="15">
        <f>IF(ISNA(VLOOKUP(A58,'Données projet'!$A$191:$I$211,4,0)),0,VLOOKUP(A58,'Données projet'!$A$191:$I$211,4,0))</f>
        <v>13</v>
      </c>
      <c r="ES58" s="16">
        <f>IF(ISNA(VLOOKUP(A58,'Données projet'!$A$191:$I$211,5,0)),0%,VLOOKUP(A58,'Données projet'!$A$191:$I$211,5,0)*VLOOKUP('Données projet'!$B$15,Paramètres!$A$1:$I$89,7,0))</f>
        <v>0.21200000000000002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14.553703294661933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14.553703294661933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247</v>
      </c>
      <c r="FC58" s="12">
        <f>VLOOKUP(A58,'Données projet'!$A$217:$I$237,9,0)</f>
        <v>6</v>
      </c>
      <c r="FD58" s="12">
        <f t="array" ref="FD58">INDEX(FC:FC,MIN(IF(ISNUMBER(FC58:FC254),ROW(FC58:FC254),"")))</f>
        <v>6</v>
      </c>
      <c r="FE58" s="12">
        <f>IF('Données projet'!$A$218&gt;35,FE57+FD58-FM57,IF(A58&lt;'Données projet'!$A$218,$FB$205^A58,IF(A58='Données projet'!$A$218,'Données projet'!$B$218,FE57+FD58-FM57)))</f>
        <v>246.99999999999991</v>
      </c>
      <c r="FF58" s="17">
        <f>FE58*VLOOKUP('Données projet'!$B$16,Paramètres!$A$1:$I$89,3,0)*VLOOKUP('Données projet'!$B$16,Paramètres!$A$1:$I$89,5,0)</f>
        <v>200.36639999999997</v>
      </c>
      <c r="FG58" s="13">
        <f t="shared" si="47"/>
        <v>49.824682775783181</v>
      </c>
      <c r="FH58" s="20">
        <f t="shared" si="22"/>
        <v>435.74946916782233</v>
      </c>
      <c r="FI58" s="59">
        <f t="shared" si="23"/>
        <v>729.08280250115558</v>
      </c>
      <c r="FJ58" s="59">
        <f ca="1">AVERAGE(OFFSET($FI$3,0,0,'Données projet'!$E$16+1,1))-AVERAGE(OFFSET($H$3,0,0,'Données projet'!$E$16+1,1))</f>
        <v>220.90439367987847</v>
      </c>
      <c r="FK58" s="59">
        <f t="shared" si="48"/>
        <v>213.66046131354858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0.21200000000000002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14.839070025929813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14.839070025929813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1">
        <f t="shared" si="32"/>
        <v>13.426303343530915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67">
        <f t="shared" si="1"/>
        <v>395.83651832331628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379</v>
      </c>
      <c r="L59" s="12">
        <f>VLOOKUP(A59,'Données projet'!$A$35:$I$55,9,0)</f>
        <v>18.100000000000001</v>
      </c>
      <c r="M59" s="12">
        <f t="array" ref="M59">INDEX(L:L,MIN(IF(ISNUMBER(L59:L255),ROW(L59:L255),"")))</f>
        <v>18.100000000000001</v>
      </c>
      <c r="N59" s="13">
        <f>IF('Données projet'!$A$36&gt;35,N58+M59-V58,IF(A59&lt;'Données projet'!$A$36,$K$205^A59,IF(A59='Données projet'!$A$36,'Données projet'!$B$36,N58+M59-V58)))</f>
        <v>379.00000000000017</v>
      </c>
      <c r="O59" s="13">
        <f>N59*VLOOKUP('Données projet'!$B$9,Paramètres!$A$1:$I$89,3,0)*VLOOKUP('Données projet'!$B$9,Paramètres!$A$1:$I$89,5,0)</f>
        <v>177.37200000000007</v>
      </c>
      <c r="P59" s="13">
        <f t="shared" si="33"/>
        <v>44.737005048641883</v>
      </c>
      <c r="Q59" s="20">
        <f t="shared" si="53"/>
        <v>386.83985045971804</v>
      </c>
      <c r="R59" s="59">
        <f t="shared" si="0"/>
        <v>680.17318379305129</v>
      </c>
      <c r="S59" s="59">
        <f ca="1">AVERAGE(OFFSET($R$3,0,0,'Données projet'!$E$9+1,1))-AVERAGE(OFFSET($H$3,0,0,'Données projet'!$E$9+1,1))</f>
        <v>196.72624686715807</v>
      </c>
      <c r="T59" s="59">
        <f t="shared" si="34"/>
        <v>37.315661698104691</v>
      </c>
      <c r="U59" s="15">
        <f>IF(ISNA(VLOOKUP(A59,'Données projet'!$A$35:$I$55,3,0)),0,VLOOKUP(A59,'Données projet'!$A$35:$I$55,3,0))</f>
        <v>2</v>
      </c>
      <c r="V59" s="15">
        <f>IF(ISNA(VLOOKUP(A59,'Données projet'!$A$35:$I$55,4,0)),0,VLOOKUP(A59,'Données projet'!$A$35:$I$55,4,0))</f>
        <v>91</v>
      </c>
      <c r="W59" s="16">
        <f>IF(ISNA(VLOOKUP(A59,'Données projet'!$A$35:$I$55,5,0)),0%,VLOOKUP(A59,'Données projet'!$A$35:$I$55,5,0)*VLOOKUP('Données projet'!$B$9,Paramètres!$A$1:$I$89,7,0))</f>
        <v>0.24750000000000003</v>
      </c>
      <c r="X59" s="16">
        <f>IF(ISNA(VLOOKUP(A59,'Données projet'!$A$35:$I$55,6,0)),0%,VLOOKUP(A59,'Données projet'!$A$35:$I$55,6,0)*VLOOKUP('Données projet'!$B$9,Paramètres!$A$1:$I$89,7,0))</f>
        <v>0.1925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25.411172947336564</v>
      </c>
      <c r="AA59" s="21">
        <f>EXP(-LN(2)/25)*AA58+(1-EXP(-LN(2)/25))/(LN(2)/25)*Calculateur!V59*Calculateur!X59*VLOOKUP('Données projet'!$B$9,Paramètres!$A$1:$I$89,3,0)*0.475*44/12</f>
        <v>21.349118362814458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46.760291310151018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11.4</v>
      </c>
      <c r="AI59" s="13">
        <f>IF('Données projet'!$A$62&gt;35,AI58+AH59-AQ58,IF(A59&lt;'Données projet'!$A$62,$AF$205^A59,IF(A59='Données projet'!$A$62,'Données projet'!$B$62,AI58+AH59-AQ58)))</f>
        <v>590.4</v>
      </c>
      <c r="AJ59" s="13">
        <f>AI59*VLOOKUP('Données projet'!$B$10,Paramètres!$A$1:$I$89,3,0)*VLOOKUP('Données projet'!$B$10,Paramètres!$A$1:$I$89,5,0)</f>
        <v>330.03359999999998</v>
      </c>
      <c r="AK59" s="13">
        <f t="shared" si="35"/>
        <v>77.437273267793145</v>
      </c>
      <c r="AL59" s="20">
        <f t="shared" si="4"/>
        <v>709.67843760807307</v>
      </c>
      <c r="AM59" s="59">
        <f t="shared" si="5"/>
        <v>1003.0117709414064</v>
      </c>
      <c r="AN59" s="59">
        <f ca="1">AVERAGE(OFFSET($AM$3,0,0,'Données projet'!$E$10+1,1))-AVERAGE(OFFSET($H$3,0,0,'Données projet'!$E$10+1,1))</f>
        <v>325.42940802362739</v>
      </c>
      <c r="AO59" s="59">
        <f t="shared" si="36"/>
        <v>388.87198417542277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70.859903384090146</v>
      </c>
      <c r="AV59" s="21">
        <f>EXP(-LN(2)/25)*AV58+(1-EXP(-LN(2)/25))/(LN(2)/25)*Calculateur!AQ59*Calculateur!AS59*VLOOKUP('Données projet'!$B$10,Paramètres!$A$1:$I$89,3,0)*0.475*44/12</f>
        <v>28.832322672408964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99.692226056499109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264</v>
      </c>
      <c r="BE59" s="13">
        <f>BD59*VLOOKUP('Données projet'!$B$11,Paramètres!$A$1:$I$89,3,0)*VLOOKUP('Données projet'!$B$11,Paramètres!$A$1:$I$89,5,0)</f>
        <v>164.73599999999999</v>
      </c>
      <c r="BF59" s="13">
        <f t="shared" si="37"/>
        <v>41.908913144700328</v>
      </c>
      <c r="BG59" s="20">
        <f t="shared" si="7"/>
        <v>359.90655706035301</v>
      </c>
      <c r="BH59" s="59">
        <f t="shared" si="8"/>
        <v>653.23989039368632</v>
      </c>
      <c r="BI59" s="59">
        <f ca="1">AVERAGE(OFFSET($BH$3,0,0,'Données projet'!$E$11+1,1))-AVERAGE(OFFSET($H$3,0,0,'Données projet'!$E$11+1,1))</f>
        <v>162.87524915738271</v>
      </c>
      <c r="BJ59" s="59">
        <f t="shared" si="38"/>
        <v>249.37880137966658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47.426366358118628</v>
      </c>
      <c r="BQ59" s="21">
        <f>EXP(-LN(2)/25)*BQ58+(1-EXP(-LN(2)/25))/(LN(2)/25)*Calculateur!BL59*Calculateur!BN59*VLOOKUP('Données projet'!$B$11,Paramètres!$A$1:$I$89,3,0)*0.475*44/12</f>
        <v>37.682931859640568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85.109298217759203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5.2</v>
      </c>
      <c r="BY59" s="12">
        <f>IF('Données projet'!$A$114&gt;35,BY58+BX59-CG58,IF(A59&lt;'Données projet'!$A$114,$BV$205^A59,IF(A59='Données projet'!$A$114,'Données projet'!$B$114,BY58+BX59-CG58)))</f>
        <v>197.1999999999999</v>
      </c>
      <c r="BZ59" s="13">
        <f>BY59*VLOOKUP('Données projet'!$B$12,Paramètres!$A$1:$I$89,3,0)*VLOOKUP('Données projet'!$B$12,Paramètres!$A$1:$I$89,5,0)</f>
        <v>129.20543999999992</v>
      </c>
      <c r="CA59" s="13">
        <f t="shared" si="39"/>
        <v>33.812694386461892</v>
      </c>
      <c r="CB59" s="20">
        <f t="shared" si="10"/>
        <v>283.92325072308762</v>
      </c>
      <c r="CC59" s="59">
        <f t="shared" si="11"/>
        <v>577.25658405642093</v>
      </c>
      <c r="CD59" s="59">
        <f ca="1">AVERAGE(OFFSET($CC$3,0,0,'Données projet'!$E$12+1,1))-AVERAGE(OFFSET($H$3,0,0,'Données projet'!$E$12+1,1))</f>
        <v>119.88584888779422</v>
      </c>
      <c r="CE59" s="59">
        <f t="shared" si="40"/>
        <v>162.97244314258774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10.214557142260254</v>
      </c>
      <c r="CL59" s="21">
        <f>EXP(-LN(2)/25)*CL58+(1-EXP(-LN(2)/25))/(LN(2)/25)*Calculateur!CG59*Calculateur!CI59*VLOOKUP('Données projet'!$B$12,Paramètres!$A$1:$I$89,3,0)*0.475*44/12</f>
        <v>12.406200578403546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22.6207577206638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</v>
      </c>
      <c r="CT59" s="12">
        <f>IF('Données projet'!$A$140&gt;35,CT58+CS59-DB58,IF(A59&lt;'Données projet'!$A$140,$CQ$205^A59,IF(A59='Données projet'!$A$140,'Données projet'!$B$140,CT58+CS59-DB58)))</f>
        <v>190</v>
      </c>
      <c r="CU59" s="17">
        <f>CT59*VLOOKUP('Données projet'!$B$13,Paramètres!$A$1:$I$89,3,0)*VLOOKUP('Données projet'!$B$13,Paramètres!$A$1:$I$89,5,0)</f>
        <v>192.66</v>
      </c>
      <c r="CV59" s="13">
        <f t="shared" si="41"/>
        <v>48.127564387788738</v>
      </c>
      <c r="CW59" s="20">
        <f t="shared" si="13"/>
        <v>419.37167464206533</v>
      </c>
      <c r="CX59" s="59">
        <f t="shared" si="14"/>
        <v>712.70500797539864</v>
      </c>
      <c r="CY59" s="59">
        <f ca="1">AVERAGE(OFFSET($CX$3,0,0,'Données projet'!$E$13+1,1))-AVERAGE(OFFSET($H$3,0,0,'Données projet'!$E$13+1,1))</f>
        <v>261.75887764015459</v>
      </c>
      <c r="CZ59" s="59">
        <f t="shared" si="42"/>
        <v>209.74127356028544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3.1897484625665817</v>
      </c>
      <c r="DG59" s="21">
        <f>EXP(-LN(2)/25)*DG58+(1-EXP(-LN(2)/25))/(LN(2)/25)*Calculateur!DB59*Calculateur!DD59*VLOOKUP('Données projet'!$B$13,Paramètres!$A$1:$I$89,3,0)*0.475*44/12</f>
        <v>12.740992111432107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15.930740573998689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5.2</v>
      </c>
      <c r="DO59" s="12">
        <f>IF('Données projet'!$A$166&gt;35,DO58+DN59-DW58,IF(A59&lt;'Données projet'!$A$166,$DL$205^A59,IF(A59='Données projet'!$A$166,'Données projet'!$B$166,DO58+DN59-DW58)))</f>
        <v>239.1999999999999</v>
      </c>
      <c r="DP59" s="17">
        <f>DO59*VLOOKUP('Données projet'!$B$14,Paramètres!$A$1:$I$89,3,0)*VLOOKUP('Données projet'!$B$14,Paramètres!$A$1:$I$89,5,0)</f>
        <v>190.30751999999993</v>
      </c>
      <c r="DQ59" s="13">
        <f t="shared" si="43"/>
        <v>47.607934756469184</v>
      </c>
      <c r="DR59" s="20">
        <f t="shared" si="16"/>
        <v>414.36941703418364</v>
      </c>
      <c r="DS59" s="59">
        <f t="shared" si="17"/>
        <v>707.70275036751696</v>
      </c>
      <c r="DT59" s="59">
        <f ca="1">AVERAGE(OFFSET($DS$3,0,0,'Données projet'!$E$14+1,1))-AVERAGE(OFFSET($H$3,0,0,'Données projet'!$E$14+1,1))</f>
        <v>215.37468832969444</v>
      </c>
      <c r="DU59" s="59">
        <f t="shared" si="44"/>
        <v>208.60212063136419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14.268314049936103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14.268314049936103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5.2</v>
      </c>
      <c r="EJ59" s="12">
        <f>IF('Données projet'!$A$192&gt;35,EJ58+EI59-ER58,IF(A59&lt;'Données projet'!$A$192,$EG$205^A59,IF(A59='Données projet'!$A$192,'Données projet'!$B$192,EJ58+EI59-ER58)))</f>
        <v>239.1999999999999</v>
      </c>
      <c r="EK59" s="17">
        <f>EJ59*VLOOKUP('Données projet'!$B$15,Paramètres!$A$1:$I$89,3,0)*VLOOKUP('Données projet'!$B$15,Paramètres!$A$1:$I$89,5,0)</f>
        <v>190.30751999999993</v>
      </c>
      <c r="EL59" s="13">
        <f t="shared" si="45"/>
        <v>47.607934756469184</v>
      </c>
      <c r="EM59" s="20">
        <f t="shared" si="19"/>
        <v>414.36941703418364</v>
      </c>
      <c r="EN59" s="59">
        <f t="shared" si="20"/>
        <v>707.70275036751696</v>
      </c>
      <c r="EO59" s="59">
        <f ca="1">AVERAGE(OFFSET($EN$3,0,0,'Données projet'!$E$15+1,1))-AVERAGE(OFFSET($H$3,0,0,'Données projet'!$E$15+1,1))</f>
        <v>215.37468832969444</v>
      </c>
      <c r="EP59" s="59">
        <f t="shared" si="46"/>
        <v>208.60212063136419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14.268314049936103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14.268314049936103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5.2</v>
      </c>
      <c r="FE59" s="12">
        <f>IF('Données projet'!$A$218&gt;35,FE58+FD59-FM58,IF(A59&lt;'Données projet'!$A$218,$FB$205^A59,IF(A59='Données projet'!$A$218,'Données projet'!$B$218,FE58+FD59-FM58)))</f>
        <v>239.1999999999999</v>
      </c>
      <c r="FF59" s="17">
        <f>FE59*VLOOKUP('Données projet'!$B$16,Paramètres!$A$1:$I$89,3,0)*VLOOKUP('Données projet'!$B$16,Paramètres!$A$1:$I$89,5,0)</f>
        <v>194.03903999999994</v>
      </c>
      <c r="FG59" s="13">
        <f t="shared" si="47"/>
        <v>48.431831083693183</v>
      </c>
      <c r="FH59" s="20">
        <f t="shared" si="22"/>
        <v>422.30343380409886</v>
      </c>
      <c r="FI59" s="59">
        <f t="shared" si="23"/>
        <v>715.63676713743212</v>
      </c>
      <c r="FJ59" s="59">
        <f ca="1">AVERAGE(OFFSET($FI$3,0,0,'Données projet'!$E$16+1,1))-AVERAGE(OFFSET($H$3,0,0,'Données projet'!$E$16+1,1))</f>
        <v>220.90439367987847</v>
      </c>
      <c r="FK59" s="59">
        <f t="shared" si="48"/>
        <v>213.66046131354858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14.548084913660338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14.548084913660338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1">
        <f t="shared" si="32"/>
        <v>13.637932508790355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67">
        <f t="shared" si="1"/>
        <v>397.61794578614314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17.7</v>
      </c>
      <c r="N60" s="13">
        <f>IF('Données projet'!$A$36&gt;35,N59+M60-V59,IF(A60&lt;'Données projet'!$A$36,$K$205^A60,IF(A60='Données projet'!$A$36,'Données projet'!$B$36,N59+M60-V59)))</f>
        <v>305.70000000000016</v>
      </c>
      <c r="O60" s="13">
        <f>N60*VLOOKUP('Données projet'!$B$9,Paramètres!$A$1:$I$89,3,0)*VLOOKUP('Données projet'!$B$9,Paramètres!$A$1:$I$89,5,0)</f>
        <v>143.06760000000006</v>
      </c>
      <c r="P60" s="13">
        <f t="shared" si="33"/>
        <v>36.998860631151281</v>
      </c>
      <c r="Q60" s="20">
        <f t="shared" si="53"/>
        <v>313.61575226592186</v>
      </c>
      <c r="R60" s="59">
        <f t="shared" si="0"/>
        <v>606.94908559925511</v>
      </c>
      <c r="S60" s="59">
        <f ca="1">AVERAGE(OFFSET($R$3,0,0,'Données projet'!$E$9+1,1))-AVERAGE(OFFSET($H$3,0,0,'Données projet'!$E$9+1,1))</f>
        <v>196.72624686715807</v>
      </c>
      <c r="T60" s="59">
        <f t="shared" si="34"/>
        <v>37.315661698104691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24.912875345124363</v>
      </c>
      <c r="AA60" s="21">
        <f>EXP(-LN(2)/25)*AA59+(1-EXP(-LN(2)/25))/(LN(2)/25)*Calculateur!V60*Calculateur!X60*VLOOKUP('Données projet'!$B$9,Paramètres!$A$1:$I$89,3,0)*0.475*44/12</f>
        <v>20.765325598481958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45.678200943606321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11.4</v>
      </c>
      <c r="AI60" s="13">
        <f>IF('Données projet'!$A$62&gt;35,AI59+AH60-AQ59,IF(A60&lt;'Données projet'!$A$62,$AF$205^A60,IF(A60='Données projet'!$A$62,'Données projet'!$B$62,AI59+AH60-AQ59)))</f>
        <v>601.79999999999995</v>
      </c>
      <c r="AJ60" s="13">
        <f>AI60*VLOOKUP('Données projet'!$B$10,Paramètres!$A$1:$I$89,3,0)*VLOOKUP('Données projet'!$B$10,Paramètres!$A$1:$I$89,5,0)</f>
        <v>336.40620000000001</v>
      </c>
      <c r="AK60" s="13">
        <f t="shared" si="35"/>
        <v>78.756986013586399</v>
      </c>
      <c r="AL60" s="20">
        <f t="shared" si="4"/>
        <v>723.07588230699639</v>
      </c>
      <c r="AM60" s="59">
        <f t="shared" si="5"/>
        <v>1016.4092156403296</v>
      </c>
      <c r="AN60" s="59">
        <f ca="1">AVERAGE(OFFSET($AM$3,0,0,'Données projet'!$E$10+1,1))-AVERAGE(OFFSET($H$3,0,0,'Données projet'!$E$10+1,1))</f>
        <v>325.42940802362739</v>
      </c>
      <c r="AO60" s="59">
        <f t="shared" si="36"/>
        <v>388.87198417542277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69.470383899001561</v>
      </c>
      <c r="AV60" s="21">
        <f>EXP(-LN(2)/25)*AV59+(1-EXP(-LN(2)/25))/(LN(2)/25)*Calculateur!AQ60*Calculateur!AS60*VLOOKUP('Données projet'!$B$10,Paramètres!$A$1:$I$89,3,0)*0.475*44/12</f>
        <v>28.043901292705989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97.514285191707557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273.75</v>
      </c>
      <c r="BE60" s="13">
        <f>BD60*VLOOKUP('Données projet'!$B$11,Paramètres!$A$1:$I$89,3,0)*VLOOKUP('Données projet'!$B$11,Paramètres!$A$1:$I$89,5,0)</f>
        <v>170.82000000000002</v>
      </c>
      <c r="BF60" s="13">
        <f t="shared" si="37"/>
        <v>43.273624843069463</v>
      </c>
      <c r="BG60" s="20">
        <f t="shared" si="7"/>
        <v>372.87972993501268</v>
      </c>
      <c r="BH60" s="59">
        <f t="shared" si="8"/>
        <v>666.21306326834599</v>
      </c>
      <c r="BI60" s="59">
        <f ca="1">AVERAGE(OFFSET($BH$3,0,0,'Données projet'!$E$11+1,1))-AVERAGE(OFFSET($H$3,0,0,'Données projet'!$E$11+1,1))</f>
        <v>162.87524915738271</v>
      </c>
      <c r="BJ60" s="59">
        <f t="shared" si="38"/>
        <v>249.37880137966658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46.496364241063077</v>
      </c>
      <c r="BQ60" s="21">
        <f>EXP(-LN(2)/25)*BQ59+(1-EXP(-LN(2)/25))/(LN(2)/25)*Calculateur!BL60*Calculateur!BN60*VLOOKUP('Données projet'!$B$11,Paramètres!$A$1:$I$89,3,0)*0.475*44/12</f>
        <v>36.652490106279437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83.148854347342507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5.2</v>
      </c>
      <c r="BY60" s="12">
        <f>IF('Données projet'!$A$114&gt;35,BY59+BX60-CG59,IF(A60&lt;'Données projet'!$A$114,$BV$205^A60,IF(A60='Données projet'!$A$114,'Données projet'!$B$114,BY59+BX60-CG59)))</f>
        <v>202.39999999999989</v>
      </c>
      <c r="BZ60" s="13">
        <f>BY60*VLOOKUP('Données projet'!$B$12,Paramètres!$A$1:$I$89,3,0)*VLOOKUP('Données projet'!$B$12,Paramètres!$A$1:$I$89,5,0)</f>
        <v>132.61247999999992</v>
      </c>
      <c r="CA60" s="13">
        <f t="shared" si="39"/>
        <v>34.599325938965436</v>
      </c>
      <c r="CB60" s="20">
        <f t="shared" si="10"/>
        <v>291.22722867703129</v>
      </c>
      <c r="CC60" s="59">
        <f t="shared" si="11"/>
        <v>584.56056201036461</v>
      </c>
      <c r="CD60" s="59">
        <f ca="1">AVERAGE(OFFSET($CC$3,0,0,'Données projet'!$E$12+1,1))-AVERAGE(OFFSET($H$3,0,0,'Données projet'!$E$12+1,1))</f>
        <v>119.88584888779422</v>
      </c>
      <c r="CE60" s="59">
        <f t="shared" si="40"/>
        <v>162.97244314258774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10.0142559069652</v>
      </c>
      <c r="CL60" s="21">
        <f>EXP(-LN(2)/25)*CL59+(1-EXP(-LN(2)/25))/(LN(2)/25)*Calculateur!CG60*Calculateur!CI60*VLOOKUP('Données projet'!$B$12,Paramètres!$A$1:$I$89,3,0)*0.475*44/12</f>
        <v>12.066952371173366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22.081208278138568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</v>
      </c>
      <c r="CT60" s="12">
        <f>IF('Données projet'!$A$140&gt;35,CT59+CS60-DB59,IF(A60&lt;'Données projet'!$A$140,$CQ$205^A60,IF(A60='Données projet'!$A$140,'Données projet'!$B$140,CT59+CS60-DB59)))</f>
        <v>196</v>
      </c>
      <c r="CU60" s="17">
        <f>CT60*VLOOKUP('Données projet'!$B$13,Paramètres!$A$1:$I$89,3,0)*VLOOKUP('Données projet'!$B$13,Paramètres!$A$1:$I$89,5,0)</f>
        <v>198.74400000000003</v>
      </c>
      <c r="CV60" s="13">
        <f t="shared" si="41"/>
        <v>49.468035816012197</v>
      </c>
      <c r="CW60" s="20">
        <f t="shared" si="13"/>
        <v>432.30262904622123</v>
      </c>
      <c r="CX60" s="59">
        <f t="shared" si="14"/>
        <v>725.63596237955448</v>
      </c>
      <c r="CY60" s="59">
        <f ca="1">AVERAGE(OFFSET($CX$3,0,0,'Données projet'!$E$13+1,1))-AVERAGE(OFFSET($H$3,0,0,'Données projet'!$E$13+1,1))</f>
        <v>261.75887764015459</v>
      </c>
      <c r="CZ60" s="59">
        <f t="shared" si="42"/>
        <v>209.74127356028544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3.1271994407701058</v>
      </c>
      <c r="DG60" s="21">
        <f>EXP(-LN(2)/25)*DG59+(1-EXP(-LN(2)/25))/(LN(2)/25)*Calculateur!DB60*Calculateur!DD60*VLOOKUP('Données projet'!$B$13,Paramètres!$A$1:$I$89,3,0)*0.475*44/12</f>
        <v>12.39258901212534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15.519788452895446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5.2</v>
      </c>
      <c r="DO60" s="12">
        <f>IF('Données projet'!$A$166&gt;35,DO59+DN60-DW59,IF(A60&lt;'Données projet'!$A$166,$DL$205^A60,IF(A60='Données projet'!$A$166,'Données projet'!$B$166,DO59+DN60-DW59)))</f>
        <v>244.39999999999989</v>
      </c>
      <c r="DP60" s="17">
        <f>DO60*VLOOKUP('Données projet'!$B$14,Paramètres!$A$1:$I$89,3,0)*VLOOKUP('Données projet'!$B$14,Paramètres!$A$1:$I$89,5,0)</f>
        <v>194.44463999999994</v>
      </c>
      <c r="DQ60" s="13">
        <f t="shared" si="43"/>
        <v>48.521273315758478</v>
      </c>
      <c r="DR60" s="20">
        <f t="shared" si="16"/>
        <v>423.16563235827925</v>
      </c>
      <c r="DS60" s="59">
        <f t="shared" si="17"/>
        <v>716.49896569161251</v>
      </c>
      <c r="DT60" s="59">
        <f ca="1">AVERAGE(OFFSET($DS$3,0,0,'Données projet'!$E$14+1,1))-AVERAGE(OFFSET($H$3,0,0,'Données projet'!$E$14+1,1))</f>
        <v>215.37468832969444</v>
      </c>
      <c r="DU60" s="59">
        <f t="shared" si="44"/>
        <v>208.60212063136419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13.988521114229096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13.988521114229096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5.2</v>
      </c>
      <c r="EJ60" s="12">
        <f>IF('Données projet'!$A$192&gt;35,EJ59+EI60-ER59,IF(A60&lt;'Données projet'!$A$192,$EG$205^A60,IF(A60='Données projet'!$A$192,'Données projet'!$B$192,EJ59+EI60-ER59)))</f>
        <v>244.39999999999989</v>
      </c>
      <c r="EK60" s="17">
        <f>EJ60*VLOOKUP('Données projet'!$B$15,Paramètres!$A$1:$I$89,3,0)*VLOOKUP('Données projet'!$B$15,Paramètres!$A$1:$I$89,5,0)</f>
        <v>194.44463999999994</v>
      </c>
      <c r="EL60" s="13">
        <f t="shared" si="45"/>
        <v>48.521273315758478</v>
      </c>
      <c r="EM60" s="20">
        <f t="shared" si="19"/>
        <v>423.16563235827925</v>
      </c>
      <c r="EN60" s="59">
        <f t="shared" si="20"/>
        <v>716.49896569161251</v>
      </c>
      <c r="EO60" s="59">
        <f ca="1">AVERAGE(OFFSET($EN$3,0,0,'Données projet'!$E$15+1,1))-AVERAGE(OFFSET($H$3,0,0,'Données projet'!$E$15+1,1))</f>
        <v>215.37468832969444</v>
      </c>
      <c r="EP60" s="59">
        <f t="shared" si="46"/>
        <v>208.60212063136419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13.988521114229096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13.988521114229096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5.2</v>
      </c>
      <c r="FE60" s="12">
        <f>IF('Données projet'!$A$218&gt;35,FE59+FD60-FM59,IF(A60&lt;'Données projet'!$A$218,$FB$205^A60,IF(A60='Données projet'!$A$218,'Données projet'!$B$218,FE59+FD60-FM59)))</f>
        <v>244.39999999999989</v>
      </c>
      <c r="FF60" s="17">
        <f>FE60*VLOOKUP('Données projet'!$B$16,Paramètres!$A$1:$I$89,3,0)*VLOOKUP('Données projet'!$B$16,Paramètres!$A$1:$I$89,5,0)</f>
        <v>198.25727999999992</v>
      </c>
      <c r="FG60" s="13">
        <f t="shared" si="47"/>
        <v>49.360975753631088</v>
      </c>
      <c r="FH60" s="20">
        <f t="shared" si="22"/>
        <v>431.26846210424065</v>
      </c>
      <c r="FI60" s="59">
        <f t="shared" si="23"/>
        <v>724.60179543757397</v>
      </c>
      <c r="FJ60" s="59">
        <f ca="1">AVERAGE(OFFSET($FI$3,0,0,'Données projet'!$E$16+1,1))-AVERAGE(OFFSET($H$3,0,0,'Données projet'!$E$16+1,1))</f>
        <v>220.90439367987847</v>
      </c>
      <c r="FK60" s="59">
        <f t="shared" si="48"/>
        <v>213.66046131354858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14.262805841959075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14.262805841959075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1">
        <f t="shared" si="32"/>
        <v>13.849129922569929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67">
        <f t="shared" si="1"/>
        <v>399.3986212818092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17.7</v>
      </c>
      <c r="N61" s="13">
        <f>IF('Données projet'!$A$36&gt;35,N60+M61-V60,IF(A61&lt;'Données projet'!$A$36,$K$205^A61,IF(A61='Données projet'!$A$36,'Données projet'!$B$36,N60+M61-V60)))</f>
        <v>323.40000000000015</v>
      </c>
      <c r="O61" s="13">
        <f>N61*VLOOKUP('Données projet'!$B$9,Paramètres!$A$1:$I$89,3,0)*VLOOKUP('Données projet'!$B$9,Paramètres!$A$1:$I$89,5,0)</f>
        <v>151.35120000000006</v>
      </c>
      <c r="P61" s="13">
        <f t="shared" si="33"/>
        <v>38.885490222897076</v>
      </c>
      <c r="Q61" s="20">
        <f t="shared" si="53"/>
        <v>331.32890213821253</v>
      </c>
      <c r="R61" s="59">
        <f t="shared" si="0"/>
        <v>624.66223547154584</v>
      </c>
      <c r="S61" s="59">
        <f ca="1">AVERAGE(OFFSET($R$3,0,0,'Données projet'!$E$9+1,1))-AVERAGE(OFFSET($H$3,0,0,'Données projet'!$E$9+1,1))</f>
        <v>196.72624686715807</v>
      </c>
      <c r="T61" s="59">
        <f t="shared" si="34"/>
        <v>37.315661698104691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24.424349054960018</v>
      </c>
      <c r="AA61" s="21">
        <f>EXP(-LN(2)/25)*AA60+(1-EXP(-LN(2)/25))/(LN(2)/25)*Calculateur!V61*Calculateur!X61*VLOOKUP('Données projet'!$B$9,Paramètres!$A$1:$I$89,3,0)*0.475*44/12</f>
        <v>20.197496677990454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44.621845732950476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11.4</v>
      </c>
      <c r="AI61" s="13">
        <f>IF('Données projet'!$A$62&gt;35,AI60+AH61-AQ60,IF(A61&lt;'Données projet'!$A$62,$AF$205^A61,IF(A61='Données projet'!$A$62,'Données projet'!$B$62,AI60+AH61-AQ60)))</f>
        <v>613.19999999999993</v>
      </c>
      <c r="AJ61" s="13">
        <f>AI61*VLOOKUP('Données projet'!$B$10,Paramètres!$A$1:$I$89,3,0)*VLOOKUP('Données projet'!$B$10,Paramètres!$A$1:$I$89,5,0)</f>
        <v>342.77879999999999</v>
      </c>
      <c r="AK61" s="13">
        <f t="shared" si="35"/>
        <v>80.073791834562797</v>
      </c>
      <c r="AL61" s="20">
        <f t="shared" si="4"/>
        <v>736.46826411186339</v>
      </c>
      <c r="AM61" s="59">
        <f t="shared" si="5"/>
        <v>1029.8015974451966</v>
      </c>
      <c r="AN61" s="59">
        <f ca="1">AVERAGE(OFFSET($AM$3,0,0,'Données projet'!$E$10+1,1))-AVERAGE(OFFSET($H$3,0,0,'Données projet'!$E$10+1,1))</f>
        <v>325.42940802362739</v>
      </c>
      <c r="AO61" s="59">
        <f t="shared" si="36"/>
        <v>388.87198417542277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68.108112043492355</v>
      </c>
      <c r="AV61" s="21">
        <f>EXP(-LN(2)/25)*AV60+(1-EXP(-LN(2)/25))/(LN(2)/25)*Calculateur!AQ61*Calculateur!AS61*VLOOKUP('Données projet'!$B$10,Paramètres!$A$1:$I$89,3,0)*0.475*44/12</f>
        <v>27.277039337092269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95.385151380584631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283.5</v>
      </c>
      <c r="BE61" s="13">
        <f>BD61*VLOOKUP('Données projet'!$B$11,Paramètres!$A$1:$I$89,3,0)*VLOOKUP('Données projet'!$B$11,Paramètres!$A$1:$I$89,5,0)</f>
        <v>176.904</v>
      </c>
      <c r="BF61" s="13">
        <f t="shared" si="37"/>
        <v>44.632689233663157</v>
      </c>
      <c r="BG61" s="20">
        <f t="shared" si="7"/>
        <v>385.84306708196328</v>
      </c>
      <c r="BH61" s="59">
        <f t="shared" si="8"/>
        <v>679.1764004152966</v>
      </c>
      <c r="BI61" s="59">
        <f ca="1">AVERAGE(OFFSET($BH$3,0,0,'Données projet'!$E$11+1,1))-AVERAGE(OFFSET($H$3,0,0,'Données projet'!$E$11+1,1))</f>
        <v>162.87524915738271</v>
      </c>
      <c r="BJ61" s="59">
        <f t="shared" si="38"/>
        <v>249.37880137966658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45.584598898277704</v>
      </c>
      <c r="BQ61" s="21">
        <f>EXP(-LN(2)/25)*BQ60+(1-EXP(-LN(2)/25))/(LN(2)/25)*Calculateur!BL61*Calculateur!BN61*VLOOKUP('Données projet'!$B$11,Paramètres!$A$1:$I$89,3,0)*0.475*44/12</f>
        <v>35.650225836852542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81.234824735130246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5.2</v>
      </c>
      <c r="BY61" s="12">
        <f>IF('Données projet'!$A$114&gt;35,BY60+BX61-CG60,IF(A61&lt;'Données projet'!$A$114,$BV$205^A61,IF(A61='Données projet'!$A$114,'Données projet'!$B$114,BY60+BX61-CG60)))</f>
        <v>207.59999999999988</v>
      </c>
      <c r="BZ61" s="13">
        <f>BY61*VLOOKUP('Données projet'!$B$12,Paramètres!$A$1:$I$89,3,0)*VLOOKUP('Données projet'!$B$12,Paramètres!$A$1:$I$89,5,0)</f>
        <v>136.01951999999991</v>
      </c>
      <c r="CA61" s="13">
        <f t="shared" si="39"/>
        <v>35.383608299804422</v>
      </c>
      <c r="CB61" s="20">
        <f t="shared" si="10"/>
        <v>298.52711512215916</v>
      </c>
      <c r="CC61" s="59">
        <f t="shared" si="11"/>
        <v>591.86044845549247</v>
      </c>
      <c r="CD61" s="59">
        <f ca="1">AVERAGE(OFFSET($CC$3,0,0,'Données projet'!$E$12+1,1))-AVERAGE(OFFSET($H$3,0,0,'Données projet'!$E$12+1,1))</f>
        <v>119.88584888779422</v>
      </c>
      <c r="CE61" s="59">
        <f t="shared" si="40"/>
        <v>162.97244314258774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9.8178824567225913</v>
      </c>
      <c r="CL61" s="21">
        <f>EXP(-LN(2)/25)*CL60+(1-EXP(-LN(2)/25))/(LN(2)/25)*Calculateur!CG61*Calculateur!CI61*VLOOKUP('Données projet'!$B$12,Paramètres!$A$1:$I$89,3,0)*0.475*44/12</f>
        <v>11.736980924010185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21.554863380732776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</v>
      </c>
      <c r="CT61" s="12">
        <f>IF('Données projet'!$A$140&gt;35,CT60+CS61-DB60,IF(A61&lt;'Données projet'!$A$140,$CQ$205^A61,IF(A61='Données projet'!$A$140,'Données projet'!$B$140,CT60+CS61-DB60)))</f>
        <v>202</v>
      </c>
      <c r="CU61" s="17">
        <f>CT61*VLOOKUP('Données projet'!$B$13,Paramètres!$A$1:$I$89,3,0)*VLOOKUP('Données projet'!$B$13,Paramètres!$A$1:$I$89,5,0)</f>
        <v>204.82800000000003</v>
      </c>
      <c r="CV61" s="13">
        <f t="shared" si="41"/>
        <v>50.80373850176295</v>
      </c>
      <c r="CW61" s="20">
        <f t="shared" si="13"/>
        <v>445.22527789057045</v>
      </c>
      <c r="CX61" s="59">
        <f t="shared" si="14"/>
        <v>738.55861122390377</v>
      </c>
      <c r="CY61" s="59">
        <f ca="1">AVERAGE(OFFSET($CX$3,0,0,'Données projet'!$E$13+1,1))-AVERAGE(OFFSET($H$3,0,0,'Données projet'!$E$13+1,1))</f>
        <v>261.75887764015459</v>
      </c>
      <c r="CZ61" s="59">
        <f t="shared" si="42"/>
        <v>209.74127356028544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3.0658769671399226</v>
      </c>
      <c r="DG61" s="21">
        <f>EXP(-LN(2)/25)*DG60+(1-EXP(-LN(2)/25))/(LN(2)/25)*Calculateur!DB61*Calculateur!DD61*VLOOKUP('Données projet'!$B$13,Paramètres!$A$1:$I$89,3,0)*0.475*44/12</f>
        <v>12.053713013890841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15.119589981030764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5.2</v>
      </c>
      <c r="DO61" s="12">
        <f>IF('Données projet'!$A$166&gt;35,DO60+DN61-DW60,IF(A61&lt;'Données projet'!$A$166,$DL$205^A61,IF(A61='Données projet'!$A$166,'Données projet'!$B$166,DO60+DN61-DW60)))</f>
        <v>249.59999999999988</v>
      </c>
      <c r="DP61" s="17">
        <f>DO61*VLOOKUP('Données projet'!$B$14,Paramètres!$A$1:$I$89,3,0)*VLOOKUP('Données projet'!$B$14,Paramètres!$A$1:$I$89,5,0)</f>
        <v>198.58175999999992</v>
      </c>
      <c r="DQ61" s="13">
        <f t="shared" si="43"/>
        <v>49.432352523157398</v>
      </c>
      <c r="DR61" s="20">
        <f t="shared" si="16"/>
        <v>431.95791264449895</v>
      </c>
      <c r="DS61" s="59">
        <f t="shared" si="17"/>
        <v>725.2912459778322</v>
      </c>
      <c r="DT61" s="59">
        <f ca="1">AVERAGE(OFFSET($DS$3,0,0,'Données projet'!$E$14+1,1))-AVERAGE(OFFSET($H$3,0,0,'Données projet'!$E$14+1,1))</f>
        <v>215.37468832969444</v>
      </c>
      <c r="DU61" s="59">
        <f t="shared" si="44"/>
        <v>208.60212063136419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13.714214747334463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13.714214747334463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5.2</v>
      </c>
      <c r="EJ61" s="12">
        <f>IF('Données projet'!$A$192&gt;35,EJ60+EI61-ER60,IF(A61&lt;'Données projet'!$A$192,$EG$205^A61,IF(A61='Données projet'!$A$192,'Données projet'!$B$192,EJ60+EI61-ER60)))</f>
        <v>249.59999999999988</v>
      </c>
      <c r="EK61" s="17">
        <f>EJ61*VLOOKUP('Données projet'!$B$15,Paramètres!$A$1:$I$89,3,0)*VLOOKUP('Données projet'!$B$15,Paramètres!$A$1:$I$89,5,0)</f>
        <v>198.58175999999992</v>
      </c>
      <c r="EL61" s="13">
        <f t="shared" si="45"/>
        <v>49.432352523157398</v>
      </c>
      <c r="EM61" s="20">
        <f t="shared" si="19"/>
        <v>431.95791264449895</v>
      </c>
      <c r="EN61" s="59">
        <f t="shared" si="20"/>
        <v>725.2912459778322</v>
      </c>
      <c r="EO61" s="59">
        <f ca="1">AVERAGE(OFFSET($EN$3,0,0,'Données projet'!$E$15+1,1))-AVERAGE(OFFSET($H$3,0,0,'Données projet'!$E$15+1,1))</f>
        <v>215.37468832969444</v>
      </c>
      <c r="EP61" s="59">
        <f t="shared" si="46"/>
        <v>208.60212063136419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13.714214747334463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13.714214747334463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5.2</v>
      </c>
      <c r="FE61" s="12">
        <f>IF('Données projet'!$A$218&gt;35,FE60+FD61-FM60,IF(A61&lt;'Données projet'!$A$218,$FB$205^A61,IF(A61='Données projet'!$A$218,'Données projet'!$B$218,FE60+FD61-FM60)))</f>
        <v>249.59999999999988</v>
      </c>
      <c r="FF61" s="17">
        <f>FE61*VLOOKUP('Données projet'!$B$16,Paramètres!$A$1:$I$89,3,0)*VLOOKUP('Données projet'!$B$16,Paramètres!$A$1:$I$89,5,0)</f>
        <v>202.47551999999993</v>
      </c>
      <c r="FG61" s="13">
        <f t="shared" si="47"/>
        <v>50.287821971647539</v>
      </c>
      <c r="FH61" s="20">
        <f t="shared" si="22"/>
        <v>440.229487267286</v>
      </c>
      <c r="FI61" s="59">
        <f t="shared" si="23"/>
        <v>733.56282060061926</v>
      </c>
      <c r="FJ61" s="59">
        <f ca="1">AVERAGE(OFFSET($FI$3,0,0,'Données projet'!$E$16+1,1))-AVERAGE(OFFSET($H$3,0,0,'Données projet'!$E$16+1,1))</f>
        <v>220.90439367987847</v>
      </c>
      <c r="FK61" s="59">
        <f t="shared" si="48"/>
        <v>213.66046131354858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13.983120918850821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13.983120918850821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1">
        <f t="shared" si="32"/>
        <v>14.059903887836862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67">
        <f t="shared" si="1"/>
        <v>401.17855927131581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17.7</v>
      </c>
      <c r="N62" s="13">
        <f>IF('Données projet'!$A$36&gt;35,N61+M62-V61,IF(A62&lt;'Données projet'!$A$36,$K$205^A62,IF(A62='Données projet'!$A$36,'Données projet'!$B$36,N61+M62-V61)))</f>
        <v>341.10000000000014</v>
      </c>
      <c r="O62" s="13">
        <f>N62*VLOOKUP('Données projet'!$B$9,Paramètres!$A$1:$I$89,3,0)*VLOOKUP('Données projet'!$B$9,Paramètres!$A$1:$I$89,5,0)</f>
        <v>159.63480000000007</v>
      </c>
      <c r="P62" s="13">
        <f t="shared" si="33"/>
        <v>40.760132575591193</v>
      </c>
      <c r="Q62" s="20">
        <f t="shared" si="53"/>
        <v>349.02117423582143</v>
      </c>
      <c r="R62" s="59">
        <f t="shared" si="0"/>
        <v>642.35450756915475</v>
      </c>
      <c r="S62" s="59">
        <f ca="1">AVERAGE(OFFSET($R$3,0,0,'Données projet'!$E$9+1,1))-AVERAGE(OFFSET($H$3,0,0,'Données projet'!$E$9+1,1))</f>
        <v>196.72624686715807</v>
      </c>
      <c r="T62" s="59">
        <f t="shared" si="34"/>
        <v>37.315661698104691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23.94540246737418</v>
      </c>
      <c r="AA62" s="21">
        <f>EXP(-LN(2)/25)*AA61+(1-EXP(-LN(2)/25))/(LN(2)/25)*Calculateur!V62*Calculateur!X62*VLOOKUP('Données projet'!$B$9,Paramètres!$A$1:$I$89,3,0)*0.475*44/12</f>
        <v>19.645195069190617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43.5905975365648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11.4</v>
      </c>
      <c r="AI62" s="13">
        <f>IF('Données projet'!$A$62&gt;35,AI61+AH62-AQ61,IF(A62&lt;'Données projet'!$A$62,$AF$205^A62,IF(A62='Données projet'!$A$62,'Données projet'!$B$62,AI61+AH62-AQ61)))</f>
        <v>624.59999999999991</v>
      </c>
      <c r="AJ62" s="13">
        <f>AI62*VLOOKUP('Données projet'!$B$10,Paramètres!$A$1:$I$89,3,0)*VLOOKUP('Données projet'!$B$10,Paramètres!$A$1:$I$89,5,0)</f>
        <v>349.15139999999997</v>
      </c>
      <c r="AK62" s="13">
        <f t="shared" si="35"/>
        <v>81.387751005688074</v>
      </c>
      <c r="AL62" s="20">
        <f t="shared" si="4"/>
        <v>749.85568800157341</v>
      </c>
      <c r="AM62" s="59">
        <f t="shared" si="5"/>
        <v>1043.1890213349068</v>
      </c>
      <c r="AN62" s="59">
        <f ca="1">AVERAGE(OFFSET($AM$3,0,0,'Données projet'!$E$10+1,1))-AVERAGE(OFFSET($H$3,0,0,'Données projet'!$E$10+1,1))</f>
        <v>325.42940802362739</v>
      </c>
      <c r="AO62" s="59">
        <f t="shared" si="36"/>
        <v>388.87198417542277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66.772553508165899</v>
      </c>
      <c r="AV62" s="21">
        <f>EXP(-LN(2)/25)*AV61+(1-EXP(-LN(2)/25))/(LN(2)/25)*Calculateur!AQ62*Calculateur!AS62*VLOOKUP('Données projet'!$B$10,Paramètres!$A$1:$I$89,3,0)*0.475*44/12</f>
        <v>26.531147261982326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93.303700770148225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293.25</v>
      </c>
      <c r="BE62" s="13">
        <f>BD62*VLOOKUP('Données projet'!$B$11,Paramètres!$A$1:$I$89,3,0)*VLOOKUP('Données projet'!$B$11,Paramètres!$A$1:$I$89,5,0)</f>
        <v>182.988</v>
      </c>
      <c r="BF62" s="13">
        <f t="shared" si="37"/>
        <v>45.986322796524831</v>
      </c>
      <c r="BG62" s="20">
        <f t="shared" si="7"/>
        <v>398.79694553728069</v>
      </c>
      <c r="BH62" s="59">
        <f t="shared" si="8"/>
        <v>692.13027887061401</v>
      </c>
      <c r="BI62" s="59">
        <f ca="1">AVERAGE(OFFSET($BH$3,0,0,'Données projet'!$E$11+1,1))-AVERAGE(OFFSET($H$3,0,0,'Données projet'!$E$11+1,1))</f>
        <v>162.87524915738271</v>
      </c>
      <c r="BJ62" s="59">
        <f t="shared" si="38"/>
        <v>249.37880137966658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44.6907127177424</v>
      </c>
      <c r="BQ62" s="21">
        <f>EXP(-LN(2)/25)*BQ61+(1-EXP(-LN(2)/25))/(LN(2)/25)*Calculateur!BL62*Calculateur!BN62*VLOOKUP('Données projet'!$B$11,Paramètres!$A$1:$I$89,3,0)*0.475*44/12</f>
        <v>34.67536853657991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79.36608125432231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5.2</v>
      </c>
      <c r="BY62" s="12">
        <f>IF('Données projet'!$A$114&gt;35,BY61+BX62-CG61,IF(A62&lt;'Données projet'!$A$114,$BV$205^A62,IF(A62='Données projet'!$A$114,'Données projet'!$B$114,BY61+BX62-CG61)))</f>
        <v>212.79999999999987</v>
      </c>
      <c r="BZ62" s="13">
        <f>BY62*VLOOKUP('Données projet'!$B$12,Paramètres!$A$1:$I$89,3,0)*VLOOKUP('Données projet'!$B$12,Paramètres!$A$1:$I$89,5,0)</f>
        <v>139.42655999999991</v>
      </c>
      <c r="CA62" s="13">
        <f t="shared" si="39"/>
        <v>36.165607079455789</v>
      </c>
      <c r="CB62" s="20">
        <f t="shared" si="10"/>
        <v>305.82302433005196</v>
      </c>
      <c r="CC62" s="59">
        <f t="shared" si="11"/>
        <v>599.15635766338528</v>
      </c>
      <c r="CD62" s="59">
        <f ca="1">AVERAGE(OFFSET($CC$3,0,0,'Données projet'!$E$12+1,1))-AVERAGE(OFFSET($H$3,0,0,'Données projet'!$E$12+1,1))</f>
        <v>119.88584888779422</v>
      </c>
      <c r="CE62" s="59">
        <f t="shared" si="40"/>
        <v>162.97244314258774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9.6253597700632625</v>
      </c>
      <c r="CL62" s="21">
        <f>EXP(-LN(2)/25)*CL61+(1-EXP(-LN(2)/25))/(LN(2)/25)*Calculateur!CG62*Calculateur!CI62*VLOOKUP('Données projet'!$B$12,Paramètres!$A$1:$I$89,3,0)*0.475*44/12</f>
        <v>11.416032563422124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21.041392333485387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</v>
      </c>
      <c r="CT62" s="12">
        <f>IF('Données projet'!$A$140&gt;35,CT61+CS62-DB61,IF(A62&lt;'Données projet'!$A$140,$CQ$205^A62,IF(A62='Données projet'!$A$140,'Données projet'!$B$140,CT61+CS62-DB61)))</f>
        <v>208</v>
      </c>
      <c r="CU62" s="17">
        <f>CT62*VLOOKUP('Données projet'!$B$13,Paramètres!$A$1:$I$89,3,0)*VLOOKUP('Données projet'!$B$13,Paramètres!$A$1:$I$89,5,0)</f>
        <v>210.91200000000003</v>
      </c>
      <c r="CV62" s="13">
        <f t="shared" si="41"/>
        <v>52.134830352456831</v>
      </c>
      <c r="CW62" s="20">
        <f t="shared" si="13"/>
        <v>458.1398961971957</v>
      </c>
      <c r="CX62" s="59">
        <f t="shared" si="14"/>
        <v>751.47322953052901</v>
      </c>
      <c r="CY62" s="59">
        <f ca="1">AVERAGE(OFFSET($CX$3,0,0,'Données projet'!$E$13+1,1))-AVERAGE(OFFSET($H$3,0,0,'Données projet'!$E$13+1,1))</f>
        <v>261.75887764015459</v>
      </c>
      <c r="CZ62" s="59">
        <f t="shared" si="42"/>
        <v>209.74127356028544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3.0057569898146115</v>
      </c>
      <c r="DG62" s="21">
        <f>EXP(-LN(2)/25)*DG61+(1-EXP(-LN(2)/25))/(LN(2)/25)*Calculateur!DB62*Calculateur!DD62*VLOOKUP('Données projet'!$B$13,Paramètres!$A$1:$I$89,3,0)*0.475*44/12</f>
        <v>11.724103597648778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14.729860587463389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5.2</v>
      </c>
      <c r="DO62" s="12">
        <f>IF('Données projet'!$A$166&gt;35,DO61+DN62-DW61,IF(A62&lt;'Données projet'!$A$166,$DL$205^A62,IF(A62='Données projet'!$A$166,'Données projet'!$B$166,DO61+DN62-DW61)))</f>
        <v>254.79999999999987</v>
      </c>
      <c r="DP62" s="17">
        <f>DO62*VLOOKUP('Données projet'!$B$14,Paramètres!$A$1:$I$89,3,0)*VLOOKUP('Données projet'!$B$14,Paramètres!$A$1:$I$89,5,0)</f>
        <v>202.7188799999999</v>
      </c>
      <c r="DQ62" s="13">
        <f t="shared" si="43"/>
        <v>50.341224871428082</v>
      </c>
      <c r="DR62" s="20">
        <f t="shared" si="16"/>
        <v>440.74634931773704</v>
      </c>
      <c r="DS62" s="59">
        <f t="shared" si="17"/>
        <v>734.07968265107036</v>
      </c>
      <c r="DT62" s="59">
        <f ca="1">AVERAGE(OFFSET($DS$3,0,0,'Données projet'!$E$14+1,1))-AVERAGE(OFFSET($H$3,0,0,'Données projet'!$E$14+1,1))</f>
        <v>215.37468832969444</v>
      </c>
      <c r="DU62" s="59">
        <f t="shared" si="44"/>
        <v>208.60212063136419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13.44528736098427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13.44528736098427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5.2</v>
      </c>
      <c r="EJ62" s="12">
        <f>IF('Données projet'!$A$192&gt;35,EJ61+EI62-ER61,IF(A62&lt;'Données projet'!$A$192,$EG$205^A62,IF(A62='Données projet'!$A$192,'Données projet'!$B$192,EJ61+EI62-ER61)))</f>
        <v>254.79999999999987</v>
      </c>
      <c r="EK62" s="17">
        <f>EJ62*VLOOKUP('Données projet'!$B$15,Paramètres!$A$1:$I$89,3,0)*VLOOKUP('Données projet'!$B$15,Paramètres!$A$1:$I$89,5,0)</f>
        <v>202.7188799999999</v>
      </c>
      <c r="EL62" s="13">
        <f t="shared" si="45"/>
        <v>50.341224871428082</v>
      </c>
      <c r="EM62" s="20">
        <f t="shared" si="19"/>
        <v>440.74634931773704</v>
      </c>
      <c r="EN62" s="59">
        <f t="shared" si="20"/>
        <v>734.07968265107036</v>
      </c>
      <c r="EO62" s="59">
        <f ca="1">AVERAGE(OFFSET($EN$3,0,0,'Données projet'!$E$15+1,1))-AVERAGE(OFFSET($H$3,0,0,'Données projet'!$E$15+1,1))</f>
        <v>215.37468832969444</v>
      </c>
      <c r="EP62" s="59">
        <f t="shared" si="46"/>
        <v>208.60212063136419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13.44528736098427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13.44528736098427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5.2</v>
      </c>
      <c r="FE62" s="12">
        <f>IF('Données projet'!$A$218&gt;35,FE61+FD62-FM61,IF(A62&lt;'Données projet'!$A$218,$FB$205^A62,IF(A62='Données projet'!$A$218,'Données projet'!$B$218,FE61+FD62-FM61)))</f>
        <v>254.79999999999987</v>
      </c>
      <c r="FF62" s="17">
        <f>FE62*VLOOKUP('Données projet'!$B$16,Paramètres!$A$1:$I$89,3,0)*VLOOKUP('Données projet'!$B$16,Paramètres!$A$1:$I$89,5,0)</f>
        <v>206.69375999999988</v>
      </c>
      <c r="FG62" s="13">
        <f t="shared" si="47"/>
        <v>51.212423138937282</v>
      </c>
      <c r="FH62" s="20">
        <f t="shared" si="22"/>
        <v>449.1866023003156</v>
      </c>
      <c r="FI62" s="59">
        <f t="shared" si="23"/>
        <v>742.51993563364886</v>
      </c>
      <c r="FJ62" s="59">
        <f ca="1">AVERAGE(OFFSET($FI$3,0,0,'Données projet'!$E$16+1,1))-AVERAGE(OFFSET($H$3,0,0,'Données projet'!$E$16+1,1))</f>
        <v>220.90439367987847</v>
      </c>
      <c r="FK62" s="59">
        <f t="shared" si="48"/>
        <v>213.66046131354858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13.708920446493762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13.708920446493762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1">
        <f t="shared" si="32"/>
        <v>14.270262409972053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67">
        <f t="shared" si="1"/>
        <v>402.95777369736794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17.7</v>
      </c>
      <c r="N63" s="13">
        <f>IF('Données projet'!$A$36&gt;35,N62+M63-V62,IF(A63&lt;'Données projet'!$A$36,$K$205^A63,IF(A63='Données projet'!$A$36,'Données projet'!$B$36,N62+M63-V62)))</f>
        <v>358.80000000000013</v>
      </c>
      <c r="O63" s="13">
        <f>N63*VLOOKUP('Données projet'!$B$9,Paramètres!$A$1:$I$89,3,0)*VLOOKUP('Données projet'!$B$9,Paramètres!$A$1:$I$89,5,0)</f>
        <v>167.91840000000005</v>
      </c>
      <c r="P63" s="13">
        <f t="shared" si="33"/>
        <v>42.623480667123907</v>
      </c>
      <c r="Q63" s="20">
        <f t="shared" si="53"/>
        <v>366.69377549524091</v>
      </c>
      <c r="R63" s="59">
        <f t="shared" si="0"/>
        <v>660.02710882857423</v>
      </c>
      <c r="S63" s="59">
        <f ca="1">AVERAGE(OFFSET($R$3,0,0,'Données projet'!$E$9+1,1))-AVERAGE(OFFSET($H$3,0,0,'Données projet'!$E$9+1,1))</f>
        <v>196.72624686715807</v>
      </c>
      <c r="T63" s="59">
        <f t="shared" si="34"/>
        <v>37.315661698104691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23.475847730242329</v>
      </c>
      <c r="AA63" s="21">
        <f>EXP(-LN(2)/25)*AA62+(1-EXP(-LN(2)/25))/(LN(2)/25)*Calculateur!V63*Calculateur!X63*VLOOKUP('Données projet'!$B$9,Paramètres!$A$1:$I$89,3,0)*0.475*44/12</f>
        <v>19.107996176927692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42.583843907170021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637</v>
      </c>
      <c r="AG63" s="12">
        <f>VLOOKUP(A63,'Données projet'!$A$61:$I$81,9,0)</f>
        <v>11.4</v>
      </c>
      <c r="AH63" s="12">
        <f t="array" ref="AH63">INDEX(AG:AG,MIN(IF(ISNUMBER(AG63:AG259),ROW(AG63:AG259),"")))</f>
        <v>11.4</v>
      </c>
      <c r="AI63" s="13">
        <f>IF('Données projet'!$A$62&gt;35,AI62+AH63-AQ62,IF(A63&lt;'Données projet'!$A$62,$AF$205^A63,IF(A63='Données projet'!$A$62,'Données projet'!$B$62,AI62+AH63-AQ62)))</f>
        <v>635.99999999999989</v>
      </c>
      <c r="AJ63" s="13">
        <f>AI63*VLOOKUP('Données projet'!$B$10,Paramètres!$A$1:$I$89,3,0)*VLOOKUP('Données projet'!$B$10,Paramètres!$A$1:$I$89,5,0)</f>
        <v>355.52399999999994</v>
      </c>
      <c r="AK63" s="13">
        <f t="shared" si="35"/>
        <v>82.698921475720084</v>
      </c>
      <c r="AL63" s="20">
        <f t="shared" si="4"/>
        <v>763.23825490354557</v>
      </c>
      <c r="AM63" s="59">
        <f t="shared" si="5"/>
        <v>1056.5715882368788</v>
      </c>
      <c r="AN63" s="59">
        <f ca="1">AVERAGE(OFFSET($AM$3,0,0,'Données projet'!$E$10+1,1))-AVERAGE(OFFSET($H$3,0,0,'Données projet'!$E$10+1,1))</f>
        <v>325.42940802362739</v>
      </c>
      <c r="AO63" s="59">
        <f t="shared" si="36"/>
        <v>388.87198417542277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637</v>
      </c>
      <c r="AR63" s="16">
        <f>IF(ISNA(VLOOKUP(A63,'Données projet'!$A$61:$I$81,5,0)),0%,VLOOKUP(A63,'Données projet'!$A$61:$I$81,5,0)*VLOOKUP('Données projet'!$B$10,Paramètres!$A$1:$I$89,7,0))</f>
        <v>0.35750000000000004</v>
      </c>
      <c r="AS63" s="16">
        <f>IF(ISNA(VLOOKUP(A63,'Données projet'!$A$61:$I$81,6,0)),0%,VLOOKUP(A63,'Données projet'!$A$61:$I$81,6,0)*VLOOKUP('Données projet'!$B$10,Paramètres!$A$1:$I$89,7,0))</f>
        <v>0.13750000000000001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234.33440518870125</v>
      </c>
      <c r="AV63" s="21">
        <f>EXP(-LN(2)/25)*AV62+(1-EXP(-LN(2)/25))/(LN(2)/25)*Calculateur!AQ63*Calculateur!AS63*VLOOKUP('Données projet'!$B$10,Paramètres!$A$1:$I$89,3,0)*0.475*44/12</f>
        <v>90.500386408971849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324.83479159767307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303</v>
      </c>
      <c r="BE63" s="13">
        <f>BD63*VLOOKUP('Données projet'!$B$11,Paramètres!$A$1:$I$89,3,0)*VLOOKUP('Données projet'!$B$11,Paramètres!$A$1:$I$89,5,0)</f>
        <v>189.072</v>
      </c>
      <c r="BF63" s="13">
        <f t="shared" si="37"/>
        <v>47.33472679972779</v>
      </c>
      <c r="BG63" s="20">
        <f t="shared" si="7"/>
        <v>411.74171584285915</v>
      </c>
      <c r="BH63" s="59">
        <f t="shared" si="8"/>
        <v>705.07504917619246</v>
      </c>
      <c r="BI63" s="59">
        <f ca="1">AVERAGE(OFFSET($BH$3,0,0,'Données projet'!$E$11+1,1))-AVERAGE(OFFSET($H$3,0,0,'Données projet'!$E$11+1,1))</f>
        <v>162.87524915738271</v>
      </c>
      <c r="BJ63" s="59">
        <f t="shared" si="38"/>
        <v>249.37880137966658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0.42</v>
      </c>
      <c r="BN63" s="16">
        <f>IF(ISNA(VLOOKUP(A63,'Données projet'!$A$87:$I$107,6,0)),0%,VLOOKUP(A63,'Données projet'!$A$87:$I$107,6,0)*VLOOKUP('Données projet'!$B$11,Paramètres!$A$1:$I$89,7,0))</f>
        <v>0.12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149.50482289439543</v>
      </c>
      <c r="BQ63" s="21">
        <f>EXP(-LN(2)/25)*BQ62+(1-EXP(-LN(2)/25))/(LN(2)/25)*Calculateur!BL63*Calculateur!BN63*VLOOKUP('Données projet'!$B$11,Paramètres!$A$1:$I$89,3,0)*0.475*44/12</f>
        <v>63.805547089440971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213.31036998383641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218</v>
      </c>
      <c r="BW63" s="12">
        <f>VLOOKUP(A63,'Données projet'!$A$113:$I$133,9,0)</f>
        <v>5.2</v>
      </c>
      <c r="BX63" s="12">
        <f t="array" ref="BX63">INDEX(BW:BW,MIN(IF(ISNUMBER(BW63:BW259),ROW(BW63:BW259),"")))</f>
        <v>5.2</v>
      </c>
      <c r="BY63" s="12">
        <f>IF('Données projet'!$A$114&gt;35,BY62+BX63-CG62,IF(A63&lt;'Données projet'!$A$114,$BV$205^A63,IF(A63='Données projet'!$A$114,'Données projet'!$B$114,BY62+BX63-CG62)))</f>
        <v>217.99999999999986</v>
      </c>
      <c r="BZ63" s="13">
        <f>BY63*VLOOKUP('Données projet'!$B$12,Paramètres!$A$1:$I$89,3,0)*VLOOKUP('Données projet'!$B$12,Paramètres!$A$1:$I$89,5,0)</f>
        <v>142.8335999999999</v>
      </c>
      <c r="CA63" s="13">
        <f t="shared" si="39"/>
        <v>36.945384499054541</v>
      </c>
      <c r="CB63" s="20">
        <f t="shared" si="10"/>
        <v>313.11506466918644</v>
      </c>
      <c r="CC63" s="59">
        <f t="shared" si="11"/>
        <v>606.44839800251975</v>
      </c>
      <c r="CD63" s="59">
        <f ca="1">AVERAGE(OFFSET($CC$3,0,0,'Données projet'!$E$12+1,1))-AVERAGE(OFFSET($H$3,0,0,'Données projet'!$E$12+1,1))</f>
        <v>119.88584888779422</v>
      </c>
      <c r="CE63" s="59">
        <f t="shared" si="40"/>
        <v>162.97244314258774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218</v>
      </c>
      <c r="CH63" s="16">
        <f>IF(ISNA(VLOOKUP(A63,'Données projet'!$A$113:$I$133,5,0)),0%,VLOOKUP(A63,'Données projet'!$A$113:$I$133,5,0)*VLOOKUP('Données projet'!$B$12,Paramètres!$A$1:$I$89,7,0))</f>
        <v>0.25800000000000001</v>
      </c>
      <c r="CI63" s="16">
        <f>IF(ISNA(VLOOKUP(A63,'Données projet'!$A$113:$I$133,6,0)),0%,VLOOKUP(A63,'Données projet'!$A$113:$I$133,6,0)*VLOOKUP('Données projet'!$B$12,Paramètres!$A$1:$I$89,7,0))</f>
        <v>8.6000000000000007E-2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50.174377348392944</v>
      </c>
      <c r="CL63" s="21">
        <f>EXP(-LN(2)/25)*CL62+(1-EXP(-LN(2)/25))/(LN(2)/25)*Calculateur!CG63*Calculateur!CI63*VLOOKUP('Données projet'!$B$12,Paramètres!$A$1:$I$89,3,0)*0.475*44/12</f>
        <v>24.629648855755995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74.80402620414894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6</v>
      </c>
      <c r="CT63" s="12">
        <f>IF('Données projet'!$A$140&gt;35,CT62+CS63-DB62,IF(A63&lt;'Données projet'!$A$140,$CQ$205^A63,IF(A63='Données projet'!$A$140,'Données projet'!$B$140,CT62+CS63-DB62)))</f>
        <v>214</v>
      </c>
      <c r="CU63" s="17">
        <f>CT63*VLOOKUP('Données projet'!$B$13,Paramètres!$A$1:$I$89,3,0)*VLOOKUP('Données projet'!$B$13,Paramètres!$A$1:$I$89,5,0)</f>
        <v>216.99600000000001</v>
      </c>
      <c r="CV63" s="13">
        <f t="shared" si="41"/>
        <v>53.461459647386917</v>
      </c>
      <c r="CW63" s="20">
        <f t="shared" si="13"/>
        <v>471.04674221919896</v>
      </c>
      <c r="CX63" s="59">
        <f t="shared" si="14"/>
        <v>764.38007555253228</v>
      </c>
      <c r="CY63" s="59">
        <f ca="1">AVERAGE(OFFSET($CX$3,0,0,'Données projet'!$E$13+1,1))-AVERAGE(OFFSET($H$3,0,0,'Données projet'!$E$13+1,1))</f>
        <v>261.75887764015459</v>
      </c>
      <c r="CZ63" s="59">
        <f t="shared" si="42"/>
        <v>209.74127356028544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2.9468159285750843</v>
      </c>
      <c r="DG63" s="21">
        <f>EXP(-LN(2)/25)*DG62+(1-EXP(-LN(2)/25))/(LN(2)/25)*Calculateur!DB63*Calculateur!DD63*VLOOKUP('Données projet'!$B$13,Paramètres!$A$1:$I$89,3,0)*0.475*44/12</f>
        <v>11.40350736822726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14.350323296802344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260</v>
      </c>
      <c r="DM63" s="12">
        <f>VLOOKUP(A63,'Données projet'!$A$165:$I$185,9,0)</f>
        <v>5.2</v>
      </c>
      <c r="DN63" s="12">
        <f t="array" ref="DN63">INDEX(DM:DM,MIN(IF(ISNUMBER(DM63:DM259),ROW(DM63:DM259),"")))</f>
        <v>5.2</v>
      </c>
      <c r="DO63" s="12">
        <f>IF('Données projet'!$A$166&gt;35,DO62+DN63-DW62,IF(A63&lt;'Données projet'!$A$166,$DL$205^A63,IF(A63='Données projet'!$A$166,'Données projet'!$B$166,DO62+DN63-DW62)))</f>
        <v>259.99999999999989</v>
      </c>
      <c r="DP63" s="17">
        <f>DO63*VLOOKUP('Données projet'!$B$14,Paramètres!$A$1:$I$89,3,0)*VLOOKUP('Données projet'!$B$14,Paramètres!$A$1:$I$89,5,0)</f>
        <v>206.85599999999991</v>
      </c>
      <c r="DQ63" s="13">
        <f t="shared" si="43"/>
        <v>51.247940588293027</v>
      </c>
      <c r="DR63" s="20">
        <f t="shared" si="16"/>
        <v>449.53102985794345</v>
      </c>
      <c r="DS63" s="59">
        <f t="shared" si="17"/>
        <v>742.86436319127677</v>
      </c>
      <c r="DT63" s="59">
        <f ca="1">AVERAGE(OFFSET($DS$3,0,0,'Données projet'!$E$14+1,1))-AVERAGE(OFFSET($H$3,0,0,'Données projet'!$E$14+1,1))</f>
        <v>215.37468832969444</v>
      </c>
      <c r="DU63" s="59">
        <f t="shared" si="44"/>
        <v>208.60212063136419</v>
      </c>
      <c r="DV63" s="15">
        <f>IF(ISNA(VLOOKUP(A63,'Données projet'!$A$165:$I$185,3,0)),0,VLOOKUP(A63,'Données projet'!$A$165:$I$185,3,0))</f>
        <v>9</v>
      </c>
      <c r="DW63" s="15">
        <f>IF(ISNA(VLOOKUP(A63,'Données projet'!$A$165:$I$185,4,0)),0,VLOOKUP(A63,'Données projet'!$A$165:$I$185,4,0))</f>
        <v>12</v>
      </c>
      <c r="DX63" s="16">
        <f>IF(ISNA(VLOOKUP(A63,'Données projet'!$A$165:$I$185,5,0)),0%,VLOOKUP(A63,'Données projet'!$A$165:$I$185,5,0)*VLOOKUP('Données projet'!$B$14,Paramètres!$A$1:$I$89,7,0))</f>
        <v>0.21200000000000002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15.419112599836017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15.419112599836017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260</v>
      </c>
      <c r="EH63" s="12">
        <f>VLOOKUP(A63,'Données projet'!$A$191:$I$211,9,0)</f>
        <v>5.2</v>
      </c>
      <c r="EI63" s="12">
        <f t="array" ref="EI63">INDEX(EH:EH,MIN(IF(ISNUMBER(EH63:EH259),ROW(EH63:EH259),"")))</f>
        <v>5.2</v>
      </c>
      <c r="EJ63" s="12">
        <f>IF('Données projet'!$A$192&gt;35,EJ62+EI63-ER62,IF(A63&lt;'Données projet'!$A$192,$EG$205^A63,IF(A63='Données projet'!$A$192,'Données projet'!$B$192,EJ62+EI63-ER62)))</f>
        <v>259.99999999999989</v>
      </c>
      <c r="EK63" s="17">
        <f>EJ63*VLOOKUP('Données projet'!$B$15,Paramètres!$A$1:$I$89,3,0)*VLOOKUP('Données projet'!$B$15,Paramètres!$A$1:$I$89,5,0)</f>
        <v>206.85599999999991</v>
      </c>
      <c r="EL63" s="13">
        <f t="shared" si="45"/>
        <v>51.247940588293027</v>
      </c>
      <c r="EM63" s="20">
        <f t="shared" si="19"/>
        <v>449.53102985794345</v>
      </c>
      <c r="EN63" s="59">
        <f t="shared" si="20"/>
        <v>742.86436319127677</v>
      </c>
      <c r="EO63" s="59">
        <f ca="1">AVERAGE(OFFSET($EN$3,0,0,'Données projet'!$E$15+1,1))-AVERAGE(OFFSET($H$3,0,0,'Données projet'!$E$15+1,1))</f>
        <v>215.37468832969444</v>
      </c>
      <c r="EP63" s="59">
        <f t="shared" si="46"/>
        <v>208.60212063136419</v>
      </c>
      <c r="EQ63" s="15">
        <f>IF(ISNA(VLOOKUP(A63,'Données projet'!$A$191:$I$211,3,0)),0,VLOOKUP(A63,'Données projet'!$A$191:$I$211,3,0))</f>
        <v>9</v>
      </c>
      <c r="ER63" s="15">
        <f>IF(ISNA(VLOOKUP(A63,'Données projet'!$A$191:$I$211,4,0)),0,VLOOKUP(A63,'Données projet'!$A$191:$I$211,4,0))</f>
        <v>12</v>
      </c>
      <c r="ES63" s="16">
        <f>IF(ISNA(VLOOKUP(A63,'Données projet'!$A$191:$I$211,5,0)),0%,VLOOKUP(A63,'Données projet'!$A$191:$I$211,5,0)*VLOOKUP('Données projet'!$B$15,Paramètres!$A$1:$I$89,7,0))</f>
        <v>0.21200000000000002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15.419112599836017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15.419112599836017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260</v>
      </c>
      <c r="FC63" s="12">
        <f>VLOOKUP(A63,'Données projet'!$A$217:$I$237,9,0)</f>
        <v>5.2</v>
      </c>
      <c r="FD63" s="12">
        <f t="array" ref="FD63">INDEX(FC:FC,MIN(IF(ISNUMBER(FC63:FC259),ROW(FC63:FC259),"")))</f>
        <v>5.2</v>
      </c>
      <c r="FE63" s="12">
        <f>IF('Données projet'!$A$218&gt;35,FE62+FD63-FM62,IF(A63&lt;'Données projet'!$A$218,$FB$205^A63,IF(A63='Données projet'!$A$218,'Données projet'!$B$218,FE62+FD63-FM62)))</f>
        <v>259.99999999999989</v>
      </c>
      <c r="FF63" s="17">
        <f>FE63*VLOOKUP('Données projet'!$B$16,Paramètres!$A$1:$I$89,3,0)*VLOOKUP('Données projet'!$B$16,Paramètres!$A$1:$I$89,5,0)</f>
        <v>210.91199999999989</v>
      </c>
      <c r="FG63" s="13">
        <f t="shared" si="47"/>
        <v>52.134830352456781</v>
      </c>
      <c r="FH63" s="20">
        <f t="shared" si="22"/>
        <v>458.13989619719524</v>
      </c>
      <c r="FI63" s="59">
        <f t="shared" si="23"/>
        <v>751.47322953052856</v>
      </c>
      <c r="FJ63" s="59">
        <f ca="1">AVERAGE(OFFSET($FI$3,0,0,'Données projet'!$E$16+1,1))-AVERAGE(OFFSET($H$3,0,0,'Données projet'!$E$16+1,1))</f>
        <v>220.90439367987847</v>
      </c>
      <c r="FK63" s="59">
        <f t="shared" si="48"/>
        <v>213.66046131354858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0.21200000000000002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15.721448141009267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15.721448141009267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1">
        <f t="shared" si="32"/>
        <v>14.480213212214631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67">
        <f t="shared" si="1"/>
        <v>404.73627801127373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17.7</v>
      </c>
      <c r="N64" s="13">
        <f>IF('Données projet'!$A$36&gt;35,N63+M64-V63,IF(A64&lt;'Données projet'!$A$36,$K$205^A64,IF(A64='Données projet'!$A$36,'Données projet'!$B$36,N63+M64-V63)))</f>
        <v>376.50000000000011</v>
      </c>
      <c r="O64" s="13">
        <f>N64*VLOOKUP('Données projet'!$B$9,Paramètres!$A$1:$I$89,3,0)*VLOOKUP('Données projet'!$B$9,Paramètres!$A$1:$I$89,5,0)</f>
        <v>176.20200000000008</v>
      </c>
      <c r="P64" s="13">
        <f t="shared" si="33"/>
        <v>44.47615524216701</v>
      </c>
      <c r="Q64" s="20">
        <f t="shared" si="53"/>
        <v>384.34778704677433</v>
      </c>
      <c r="R64" s="59">
        <f t="shared" si="0"/>
        <v>677.68112038010759</v>
      </c>
      <c r="S64" s="59">
        <f ca="1">AVERAGE(OFFSET($R$3,0,0,'Données projet'!$E$9+1,1))-AVERAGE(OFFSET($H$3,0,0,'Données projet'!$E$9+1,1))</f>
        <v>196.72624686715807</v>
      </c>
      <c r="T64" s="59">
        <f t="shared" si="34"/>
        <v>37.315661698104691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23.015500675105521</v>
      </c>
      <c r="AA64" s="21">
        <f>EXP(-LN(2)/25)*AA63+(1-EXP(-LN(2)/25))/(LN(2)/25)*Calculateur!V64*Calculateur!X64*VLOOKUP('Données projet'!$B$9,Paramètres!$A$1:$I$89,3,0)*0.475*44/12</f>
        <v>18.585487016623759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41.60098769172928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-1.0000000000001137</v>
      </c>
      <c r="AJ64" s="13">
        <f>AI64*VLOOKUP('Données projet'!$B$10,Paramètres!$A$1:$I$89,3,0)*VLOOKUP('Données projet'!$B$10,Paramètres!$A$1:$I$89,5,0)</f>
        <v>-0.55900000000006356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325.42940802362739</v>
      </c>
      <c r="AO64" s="59">
        <f t="shared" si="36"/>
        <v>388.87198417542277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229.73925043282483</v>
      </c>
      <c r="AV64" s="21">
        <f>EXP(-LN(2)/25)*AV63+(1-EXP(-LN(2)/25))/(LN(2)/25)*Calculateur!AQ64*Calculateur!AS64*VLOOKUP('Données projet'!$B$10,Paramètres!$A$1:$I$89,3,0)*0.475*44/12</f>
        <v>88.025648583410032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317.76489901623484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</v>
      </c>
      <c r="BE64" s="13">
        <f>BD64*VLOOKUP('Données projet'!$B$11,Paramètres!$A$1:$I$89,3,0)*VLOOKUP('Données projet'!$B$11,Paramètres!$A$1:$I$89,5,0)</f>
        <v>-0.624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162.87524915738271</v>
      </c>
      <c r="BJ64" s="59">
        <f t="shared" si="38"/>
        <v>249.37880137966658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146.57312450637414</v>
      </c>
      <c r="BQ64" s="21">
        <f>EXP(-LN(2)/25)*BQ63+(1-EXP(-LN(2)/25))/(LN(2)/25)*Calculateur!BL64*Calculateur!BN64*VLOOKUP('Données projet'!$B$11,Paramètres!$A$1:$I$89,3,0)*0.475*44/12</f>
        <v>62.060781048892316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208.63390555526647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-1.4210854715202004E-13</v>
      </c>
      <c r="BZ64" s="13">
        <f>BY64*VLOOKUP('Données projet'!$B$12,Paramètres!$A$1:$I$89,3,0)*VLOOKUP('Données projet'!$B$12,Paramètres!$A$1:$I$89,5,0)</f>
        <v>-9.3109520094003535E-14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119.88584888779422</v>
      </c>
      <c r="CE64" s="59">
        <f t="shared" si="40"/>
        <v>162.97244314258774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49.190488411939313</v>
      </c>
      <c r="CL64" s="21">
        <f>EXP(-LN(2)/25)*CL63+(1-EXP(-LN(2)/25))/(LN(2)/25)*Calculateur!CG64*Calculateur!CI64*VLOOKUP('Données projet'!$B$12,Paramètres!$A$1:$I$89,3,0)*0.475*44/12</f>
        <v>23.956149812578406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73.146638224517716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6</v>
      </c>
      <c r="CT64" s="12">
        <f>IF('Données projet'!$A$140&gt;35,CT63+CS64-DB63,IF(A64&lt;'Données projet'!$A$140,$CQ$205^A64,IF(A64='Données projet'!$A$140,'Données projet'!$B$140,CT63+CS64-DB63)))</f>
        <v>220</v>
      </c>
      <c r="CU64" s="17">
        <f>CT64*VLOOKUP('Données projet'!$B$13,Paramètres!$A$1:$I$89,3,0)*VLOOKUP('Données projet'!$B$13,Paramètres!$A$1:$I$89,5,0)</f>
        <v>223.08</v>
      </c>
      <c r="CV64" s="13">
        <f t="shared" si="41"/>
        <v>54.783765878062667</v>
      </c>
      <c r="CW64" s="20">
        <f t="shared" si="13"/>
        <v>483.94605890429244</v>
      </c>
      <c r="CX64" s="59">
        <f t="shared" si="14"/>
        <v>777.27939223762576</v>
      </c>
      <c r="CY64" s="59">
        <f ca="1">AVERAGE(OFFSET($CX$3,0,0,'Données projet'!$E$13+1,1))-AVERAGE(OFFSET($H$3,0,0,'Données projet'!$E$13+1,1))</f>
        <v>261.75887764015459</v>
      </c>
      <c r="CZ64" s="59">
        <f t="shared" si="42"/>
        <v>209.74127356028544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2.8890306655959668</v>
      </c>
      <c r="DG64" s="21">
        <f>EXP(-LN(2)/25)*DG63+(1-EXP(-LN(2)/25))/(LN(2)/25)*Calculateur!DB64*Calculateur!DD64*VLOOKUP('Données projet'!$B$13,Paramètres!$A$1:$I$89,3,0)*0.475*44/12</f>
        <v>11.091677859558695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13.980708525154661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4.4000000000000004</v>
      </c>
      <c r="DO64" s="12">
        <f>IF('Données projet'!$A$166&gt;35,DO63+DN64-DW63,IF(A64&lt;'Données projet'!$A$166,$DL$205^A64,IF(A64='Données projet'!$A$166,'Données projet'!$B$166,DO63+DN64-DW63)))</f>
        <v>252.39999999999986</v>
      </c>
      <c r="DP64" s="17">
        <f>DO64*VLOOKUP('Données projet'!$B$14,Paramètres!$A$1:$I$89,3,0)*VLOOKUP('Données projet'!$B$14,Paramètres!$A$1:$I$89,5,0)</f>
        <v>200.80943999999991</v>
      </c>
      <c r="DQ64" s="13">
        <f t="shared" si="43"/>
        <v>49.922016299484262</v>
      </c>
      <c r="DR64" s="20">
        <f t="shared" si="16"/>
        <v>436.69061972160154</v>
      </c>
      <c r="DS64" s="59">
        <f t="shared" si="17"/>
        <v>730.02395305493485</v>
      </c>
      <c r="DT64" s="59">
        <f ca="1">AVERAGE(OFFSET($DS$3,0,0,'Données projet'!$E$14+1,1))-AVERAGE(OFFSET($H$3,0,0,'Données projet'!$E$14+1,1))</f>
        <v>215.37468832969444</v>
      </c>
      <c r="DU64" s="59">
        <f t="shared" si="44"/>
        <v>208.60212063136419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15.116753206483279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15.116753206483279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4.4000000000000004</v>
      </c>
      <c r="EJ64" s="12">
        <f>IF('Données projet'!$A$192&gt;35,EJ63+EI64-ER63,IF(A64&lt;'Données projet'!$A$192,$EG$205^A64,IF(A64='Données projet'!$A$192,'Données projet'!$B$192,EJ63+EI64-ER63)))</f>
        <v>252.39999999999986</v>
      </c>
      <c r="EK64" s="17">
        <f>EJ64*VLOOKUP('Données projet'!$B$15,Paramètres!$A$1:$I$89,3,0)*VLOOKUP('Données projet'!$B$15,Paramètres!$A$1:$I$89,5,0)</f>
        <v>200.80943999999991</v>
      </c>
      <c r="EL64" s="13">
        <f t="shared" si="45"/>
        <v>49.922016299484262</v>
      </c>
      <c r="EM64" s="20">
        <f t="shared" si="19"/>
        <v>436.69061972160154</v>
      </c>
      <c r="EN64" s="59">
        <f t="shared" si="20"/>
        <v>730.02395305493485</v>
      </c>
      <c r="EO64" s="59">
        <f ca="1">AVERAGE(OFFSET($EN$3,0,0,'Données projet'!$E$15+1,1))-AVERAGE(OFFSET($H$3,0,0,'Données projet'!$E$15+1,1))</f>
        <v>215.37468832969444</v>
      </c>
      <c r="EP64" s="59">
        <f t="shared" si="46"/>
        <v>208.60212063136419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15.116753206483279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15.116753206483279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4.4000000000000004</v>
      </c>
      <c r="FE64" s="12">
        <f>IF('Données projet'!$A$218&gt;35,FE63+FD64-FM63,IF(A64&lt;'Données projet'!$A$218,$FB$205^A64,IF(A64='Données projet'!$A$218,'Données projet'!$B$218,FE63+FD64-FM63)))</f>
        <v>252.39999999999986</v>
      </c>
      <c r="FF64" s="17">
        <f>FE64*VLOOKUP('Données projet'!$B$16,Paramètres!$A$1:$I$89,3,0)*VLOOKUP('Données projet'!$B$16,Paramètres!$A$1:$I$89,5,0)</f>
        <v>204.74687999999989</v>
      </c>
      <c r="FG64" s="13">
        <f t="shared" si="47"/>
        <v>50.785959801489938</v>
      </c>
      <c r="FH64" s="20">
        <f t="shared" si="22"/>
        <v>445.05302932092815</v>
      </c>
      <c r="FI64" s="59">
        <f t="shared" si="23"/>
        <v>738.38636265426146</v>
      </c>
      <c r="FJ64" s="59">
        <f ca="1">AVERAGE(OFFSET($FI$3,0,0,'Données projet'!$E$16+1,1))-AVERAGE(OFFSET($H$3,0,0,'Données projet'!$E$16+1,1))</f>
        <v>220.90439367987847</v>
      </c>
      <c r="FK64" s="59">
        <f t="shared" si="48"/>
        <v>213.66046131354858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15.413160132100593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15.413160132100593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1">
        <f t="shared" si="32"/>
        <v>14.689763750064966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67">
        <f t="shared" si="1"/>
        <v>406.51408519802976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17.7</v>
      </c>
      <c r="N65" s="13">
        <f>IF('Données projet'!$A$36&gt;35,N64+M65-V64,IF(A65&lt;'Données projet'!$A$36,$K$205^A65,IF(A65='Données projet'!$A$36,'Données projet'!$B$36,N64+M65-V64)))</f>
        <v>394.2000000000001</v>
      </c>
      <c r="O65" s="13">
        <f>N65*VLOOKUP('Données projet'!$B$9,Paramètres!$A$1:$I$89,3,0)*VLOOKUP('Données projet'!$B$9,Paramètres!$A$1:$I$89,5,0)</f>
        <v>184.48560000000006</v>
      </c>
      <c r="P65" s="13">
        <f t="shared" si="33"/>
        <v>46.318715382308234</v>
      </c>
      <c r="Q65" s="20">
        <f t="shared" si="53"/>
        <v>401.98418262418687</v>
      </c>
      <c r="R65" s="59">
        <f t="shared" si="0"/>
        <v>695.31751595752019</v>
      </c>
      <c r="S65" s="59">
        <f ca="1">AVERAGE(OFFSET($R$3,0,0,'Données projet'!$E$9+1,1))-AVERAGE(OFFSET($H$3,0,0,'Données projet'!$E$9+1,1))</f>
        <v>196.72624686715807</v>
      </c>
      <c r="T65" s="59">
        <f t="shared" si="34"/>
        <v>37.315661698104691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22.564180744935971</v>
      </c>
      <c r="AA65" s="21">
        <f>EXP(-LN(2)/25)*AA64+(1-EXP(-LN(2)/25))/(LN(2)/25)*Calculateur!V65*Calculateur!X65*VLOOKUP('Données projet'!$B$9,Paramètres!$A$1:$I$89,3,0)*0.475*44/12</f>
        <v>18.077265896785899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40.64144664172187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-1.0000000000001137</v>
      </c>
      <c r="AJ65" s="13">
        <f>AI65*VLOOKUP('Données projet'!$B$10,Paramètres!$A$1:$I$89,3,0)*VLOOKUP('Données projet'!$B$10,Paramètres!$A$1:$I$89,5,0)</f>
        <v>-0.55900000000006356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325.42940802362739</v>
      </c>
      <c r="AO65" s="59">
        <f t="shared" si="36"/>
        <v>388.87198417542277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225.23420385894349</v>
      </c>
      <c r="AV65" s="21">
        <f>EXP(-LN(2)/25)*AV64+(1-EXP(-LN(2)/25))/(LN(2)/25)*Calculateur!AQ65*Calculateur!AS65*VLOOKUP('Données projet'!$B$10,Paramètres!$A$1:$I$89,3,0)*0.475*44/12</f>
        <v>85.618582593829004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310.85278645277248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</v>
      </c>
      <c r="BE65" s="13">
        <f>BD65*VLOOKUP('Données projet'!$B$11,Paramètres!$A$1:$I$89,3,0)*VLOOKUP('Données projet'!$B$11,Paramètres!$A$1:$I$89,5,0)</f>
        <v>-0.624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162.87524915738271</v>
      </c>
      <c r="BJ65" s="59">
        <f t="shared" si="38"/>
        <v>249.37880137966658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143.69891493558251</v>
      </c>
      <c r="BQ65" s="21">
        <f>EXP(-LN(2)/25)*BQ64+(1-EXP(-LN(2)/25))/(LN(2)/25)*Calculateur!BL65*Calculateur!BN65*VLOOKUP('Données projet'!$B$11,Paramètres!$A$1:$I$89,3,0)*0.475*44/12</f>
        <v>60.363725727475725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204.06264066305823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-1.4210854715202004E-13</v>
      </c>
      <c r="BZ65" s="13">
        <f>BY65*VLOOKUP('Données projet'!$B$12,Paramètres!$A$1:$I$89,3,0)*VLOOKUP('Données projet'!$B$12,Paramètres!$A$1:$I$89,5,0)</f>
        <v>-9.3109520094003535E-14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119.88584888779422</v>
      </c>
      <c r="CE65" s="59">
        <f t="shared" si="40"/>
        <v>162.97244314258774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48.225892937416539</v>
      </c>
      <c r="CL65" s="21">
        <f>EXP(-LN(2)/25)*CL64+(1-EXP(-LN(2)/25))/(LN(2)/25)*Calculateur!CG65*Calculateur!CI65*VLOOKUP('Données projet'!$B$12,Paramètres!$A$1:$I$89,3,0)*0.475*44/12</f>
        <v>23.301067636154283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71.526960573570818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6</v>
      </c>
      <c r="CT65" s="12">
        <f>IF('Données projet'!$A$140&gt;35,CT64+CS65-DB64,IF(A65&lt;'Données projet'!$A$140,$CQ$205^A65,IF(A65='Données projet'!$A$140,'Données projet'!$B$140,CT64+CS65-DB64)))</f>
        <v>226</v>
      </c>
      <c r="CU65" s="17">
        <f>CT65*VLOOKUP('Données projet'!$B$13,Paramètres!$A$1:$I$89,3,0)*VLOOKUP('Données projet'!$B$13,Paramètres!$A$1:$I$89,5,0)</f>
        <v>229.16400000000002</v>
      </c>
      <c r="CV65" s="13">
        <f t="shared" si="41"/>
        <v>56.101880494297397</v>
      </c>
      <c r="CW65" s="20">
        <f t="shared" si="13"/>
        <v>496.83807519423459</v>
      </c>
      <c r="CX65" s="59">
        <f t="shared" si="14"/>
        <v>790.17140852756791</v>
      </c>
      <c r="CY65" s="59">
        <f ca="1">AVERAGE(OFFSET($CX$3,0,0,'Données projet'!$E$13+1,1))-AVERAGE(OFFSET($H$3,0,0,'Données projet'!$E$13+1,1))</f>
        <v>261.75887764015459</v>
      </c>
      <c r="CZ65" s="59">
        <f t="shared" si="42"/>
        <v>209.74127356028544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2.8323785363783394</v>
      </c>
      <c r="DG65" s="21">
        <f>EXP(-LN(2)/25)*DG64+(1-EXP(-LN(2)/25))/(LN(2)/25)*Calculateur!DB65*Calculateur!DD65*VLOOKUP('Données projet'!$B$13,Paramètres!$A$1:$I$89,3,0)*0.475*44/12</f>
        <v>10.788375345203074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13.620753881581413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4.4000000000000004</v>
      </c>
      <c r="DO65" s="12">
        <f>IF('Données projet'!$A$166&gt;35,DO64+DN65-DW64,IF(A65&lt;'Données projet'!$A$166,$DL$205^A65,IF(A65='Données projet'!$A$166,'Données projet'!$B$166,DO64+DN65-DW64)))</f>
        <v>256.79999999999984</v>
      </c>
      <c r="DP65" s="17">
        <f>DO65*VLOOKUP('Données projet'!$B$14,Paramètres!$A$1:$I$89,3,0)*VLOOKUP('Données projet'!$B$14,Paramètres!$A$1:$I$89,5,0)</f>
        <v>204.31007999999991</v>
      </c>
      <c r="DQ65" s="13">
        <f t="shared" si="43"/>
        <v>50.690214235398329</v>
      </c>
      <c r="DR65" s="20">
        <f t="shared" si="16"/>
        <v>444.12551245998526</v>
      </c>
      <c r="DS65" s="59">
        <f t="shared" si="17"/>
        <v>737.45884579331857</v>
      </c>
      <c r="DT65" s="59">
        <f ca="1">AVERAGE(OFFSET($DS$3,0,0,'Données projet'!$E$14+1,1))-AVERAGE(OFFSET($H$3,0,0,'Données projet'!$E$14+1,1))</f>
        <v>215.37468832969444</v>
      </c>
      <c r="DU65" s="59">
        <f t="shared" si="44"/>
        <v>208.60212063136419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14.820322896413169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14.820322896413169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4.4000000000000004</v>
      </c>
      <c r="EJ65" s="12">
        <f>IF('Données projet'!$A$192&gt;35,EJ64+EI65-ER64,IF(A65&lt;'Données projet'!$A$192,$EG$205^A65,IF(A65='Données projet'!$A$192,'Données projet'!$B$192,EJ64+EI65-ER64)))</f>
        <v>256.79999999999984</v>
      </c>
      <c r="EK65" s="17">
        <f>EJ65*VLOOKUP('Données projet'!$B$15,Paramètres!$A$1:$I$89,3,0)*VLOOKUP('Données projet'!$B$15,Paramètres!$A$1:$I$89,5,0)</f>
        <v>204.31007999999991</v>
      </c>
      <c r="EL65" s="13">
        <f t="shared" si="45"/>
        <v>50.690214235398329</v>
      </c>
      <c r="EM65" s="20">
        <f t="shared" si="19"/>
        <v>444.12551245998526</v>
      </c>
      <c r="EN65" s="59">
        <f t="shared" si="20"/>
        <v>737.45884579331857</v>
      </c>
      <c r="EO65" s="59">
        <f ca="1">AVERAGE(OFFSET($EN$3,0,0,'Données projet'!$E$15+1,1))-AVERAGE(OFFSET($H$3,0,0,'Données projet'!$E$15+1,1))</f>
        <v>215.37468832969444</v>
      </c>
      <c r="EP65" s="59">
        <f t="shared" si="46"/>
        <v>208.60212063136419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14.820322896413169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14.820322896413169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4.4000000000000004</v>
      </c>
      <c r="FE65" s="12">
        <f>IF('Données projet'!$A$218&gt;35,FE64+FD65-FM64,IF(A65&lt;'Données projet'!$A$218,$FB$205^A65,IF(A65='Données projet'!$A$218,'Données projet'!$B$218,FE64+FD65-FM64)))</f>
        <v>256.79999999999984</v>
      </c>
      <c r="FF65" s="17">
        <f>FE65*VLOOKUP('Données projet'!$B$16,Paramètres!$A$1:$I$89,3,0)*VLOOKUP('Données projet'!$B$16,Paramètres!$A$1:$I$89,5,0)</f>
        <v>208.31615999999988</v>
      </c>
      <c r="FG65" s="13">
        <f t="shared" si="47"/>
        <v>51.567452064520282</v>
      </c>
      <c r="FH65" s="20">
        <f t="shared" si="22"/>
        <v>452.63062434570588</v>
      </c>
      <c r="FI65" s="59">
        <f t="shared" si="23"/>
        <v>745.96395767903914</v>
      </c>
      <c r="FJ65" s="59">
        <f ca="1">AVERAGE(OFFSET($FI$3,0,0,'Données projet'!$E$16+1,1))-AVERAGE(OFFSET($H$3,0,0,'Données projet'!$E$16+1,1))</f>
        <v>220.90439367987847</v>
      </c>
      <c r="FK65" s="59">
        <f t="shared" si="48"/>
        <v>213.66046131354858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15.1109174630095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15.1109174630095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1">
        <f t="shared" si="32"/>
        <v>14.898921224732128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67">
        <f t="shared" si="1"/>
        <v>408.2912077997417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17.7</v>
      </c>
      <c r="N66" s="13">
        <f>IF('Données projet'!$A$36&gt;35,N65+M66-V65,IF(A66&lt;'Données projet'!$A$36,$K$205^A66,IF(A66='Données projet'!$A$36,'Données projet'!$B$36,N65+M66-V65)))</f>
        <v>411.90000000000009</v>
      </c>
      <c r="O66" s="13">
        <f>N66*VLOOKUP('Données projet'!$B$9,Paramètres!$A$1:$I$89,3,0)*VLOOKUP('Données projet'!$B$9,Paramètres!$A$1:$I$89,5,0)</f>
        <v>192.76920000000004</v>
      </c>
      <c r="P66" s="13">
        <f t="shared" si="33"/>
        <v>48.151667124108045</v>
      </c>
      <c r="Q66" s="20">
        <f t="shared" si="53"/>
        <v>419.60384357448828</v>
      </c>
      <c r="R66" s="59">
        <f t="shared" si="0"/>
        <v>712.93717690782159</v>
      </c>
      <c r="S66" s="59">
        <f ca="1">AVERAGE(OFFSET($R$3,0,0,'Données projet'!$E$9+1,1))-AVERAGE(OFFSET($H$3,0,0,'Données projet'!$E$9+1,1))</f>
        <v>196.72624686715807</v>
      </c>
      <c r="T66" s="59">
        <f t="shared" si="34"/>
        <v>37.315661698104691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22.121710923319068</v>
      </c>
      <c r="AA66" s="21">
        <f>EXP(-LN(2)/25)*AA65+(1-EXP(-LN(2)/25))/(LN(2)/25)*Calculateur!V66*Calculateur!X66*VLOOKUP('Données projet'!$B$9,Paramètres!$A$1:$I$89,3,0)*0.475*44/12</f>
        <v>17.582942110196193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39.704653033515257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-1.0000000000001137</v>
      </c>
      <c r="AJ66" s="13">
        <f>AI66*VLOOKUP('Données projet'!$B$10,Paramètres!$A$1:$I$89,3,0)*VLOOKUP('Données projet'!$B$10,Paramètres!$A$1:$I$89,5,0)</f>
        <v>-0.55900000000006356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325.42940802362739</v>
      </c>
      <c r="AO66" s="59">
        <f t="shared" si="36"/>
        <v>388.87198417542277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220.81749850056889</v>
      </c>
      <c r="AV66" s="21">
        <f>EXP(-LN(2)/25)*AV65+(1-EXP(-LN(2)/25))/(LN(2)/25)*Calculateur!AQ66*Calculateur!AS66*VLOOKUP('Données projet'!$B$10,Paramètres!$A$1:$I$89,3,0)*0.475*44/12</f>
        <v>83.277337950315172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304.09483645088403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</v>
      </c>
      <c r="BE66" s="13">
        <f>BD66*VLOOKUP('Données projet'!$B$11,Paramètres!$A$1:$I$89,3,0)*VLOOKUP('Données projet'!$B$11,Paramètres!$A$1:$I$89,5,0)</f>
        <v>-0.624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162.87524915738271</v>
      </c>
      <c r="BJ66" s="59">
        <f t="shared" si="38"/>
        <v>249.37880137966658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140.88106686137937</v>
      </c>
      <c r="BQ66" s="21">
        <f>EXP(-LN(2)/25)*BQ65+(1-EXP(-LN(2)/25))/(LN(2)/25)*Calculateur!BL66*Calculateur!BN66*VLOOKUP('Données projet'!$B$11,Paramètres!$A$1:$I$89,3,0)*0.475*44/12</f>
        <v>58.713076473067531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199.5941433344469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-1.4210854715202004E-13</v>
      </c>
      <c r="BZ66" s="13">
        <f>BY66*VLOOKUP('Données projet'!$B$12,Paramètres!$A$1:$I$89,3,0)*VLOOKUP('Données projet'!$B$12,Paramètres!$A$1:$I$89,5,0)</f>
        <v>-9.3109520094003535E-14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119.88584888779422</v>
      </c>
      <c r="CE66" s="59">
        <f t="shared" si="40"/>
        <v>162.97244314258774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47.280212591804016</v>
      </c>
      <c r="CL66" s="21">
        <f>EXP(-LN(2)/25)*CL65+(1-EXP(-LN(2)/25))/(LN(2)/25)*Calculateur!CG66*Calculateur!CI66*VLOOKUP('Données projet'!$B$12,Paramètres!$A$1:$I$89,3,0)*0.475*44/12</f>
        <v>22.663898716293751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69.944111308097774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6</v>
      </c>
      <c r="CT66" s="12">
        <f>IF('Données projet'!$A$140&gt;35,CT65+CS66-DB65,IF(A66&lt;'Données projet'!$A$140,$CQ$205^A66,IF(A66='Données projet'!$A$140,'Données projet'!$B$140,CT65+CS66-DB65)))</f>
        <v>232</v>
      </c>
      <c r="CU66" s="17">
        <f>CT66*VLOOKUP('Données projet'!$B$13,Paramètres!$A$1:$I$89,3,0)*VLOOKUP('Données projet'!$B$13,Paramètres!$A$1:$I$89,5,0)</f>
        <v>235.24800000000002</v>
      </c>
      <c r="CV66" s="13">
        <f t="shared" si="41"/>
        <v>57.41592756883739</v>
      </c>
      <c r="CW66" s="20">
        <f t="shared" si="13"/>
        <v>509.72300718239177</v>
      </c>
      <c r="CX66" s="59">
        <f t="shared" si="14"/>
        <v>803.05634051572508</v>
      </c>
      <c r="CY66" s="59">
        <f ca="1">AVERAGE(OFFSET($CX$3,0,0,'Données projet'!$E$13+1,1))-AVERAGE(OFFSET($H$3,0,0,'Données projet'!$E$13+1,1))</f>
        <v>261.75887764015459</v>
      </c>
      <c r="CZ66" s="59">
        <f t="shared" si="42"/>
        <v>209.74127356028544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2.7768373208602828</v>
      </c>
      <c r="DG66" s="21">
        <f>EXP(-LN(2)/25)*DG65+(1-EXP(-LN(2)/25))/(LN(2)/25)*Calculateur!DB66*Calculateur!DD66*VLOOKUP('Données projet'!$B$13,Paramètres!$A$1:$I$89,3,0)*0.475*44/12</f>
        <v>10.493366654052494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13.270203974912777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4.4000000000000004</v>
      </c>
      <c r="DO66" s="12">
        <f>IF('Données projet'!$A$166&gt;35,DO65+DN66-DW65,IF(A66&lt;'Données projet'!$A$166,$DL$205^A66,IF(A66='Données projet'!$A$166,'Données projet'!$B$166,DO65+DN66-DW65)))</f>
        <v>261.19999999999982</v>
      </c>
      <c r="DP66" s="17">
        <f>DO66*VLOOKUP('Données projet'!$B$14,Paramètres!$A$1:$I$89,3,0)*VLOOKUP('Données projet'!$B$14,Paramètres!$A$1:$I$89,5,0)</f>
        <v>207.81071999999986</v>
      </c>
      <c r="DQ66" s="13">
        <f t="shared" si="43"/>
        <v>51.456881530692321</v>
      </c>
      <c r="DR66" s="20">
        <f t="shared" si="16"/>
        <v>451.55773933262213</v>
      </c>
      <c r="DS66" s="59">
        <f t="shared" si="17"/>
        <v>744.89107266595545</v>
      </c>
      <c r="DT66" s="59">
        <f ca="1">AVERAGE(OFFSET($DS$3,0,0,'Données projet'!$E$14+1,1))-AVERAGE(OFFSET($H$3,0,0,'Données projet'!$E$14+1,1))</f>
        <v>215.37468832969444</v>
      </c>
      <c r="DU66" s="59">
        <f t="shared" si="44"/>
        <v>208.60212063136419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14.529705403918896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14.529705403918896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4.4000000000000004</v>
      </c>
      <c r="EJ66" s="12">
        <f>IF('Données projet'!$A$192&gt;35,EJ65+EI66-ER65,IF(A66&lt;'Données projet'!$A$192,$EG$205^A66,IF(A66='Données projet'!$A$192,'Données projet'!$B$192,EJ65+EI66-ER65)))</f>
        <v>261.19999999999982</v>
      </c>
      <c r="EK66" s="17">
        <f>EJ66*VLOOKUP('Données projet'!$B$15,Paramètres!$A$1:$I$89,3,0)*VLOOKUP('Données projet'!$B$15,Paramètres!$A$1:$I$89,5,0)</f>
        <v>207.81071999999986</v>
      </c>
      <c r="EL66" s="13">
        <f t="shared" si="45"/>
        <v>51.456881530692321</v>
      </c>
      <c r="EM66" s="20">
        <f t="shared" si="19"/>
        <v>451.55773933262213</v>
      </c>
      <c r="EN66" s="59">
        <f t="shared" si="20"/>
        <v>744.89107266595545</v>
      </c>
      <c r="EO66" s="59">
        <f ca="1">AVERAGE(OFFSET($EN$3,0,0,'Données projet'!$E$15+1,1))-AVERAGE(OFFSET($H$3,0,0,'Données projet'!$E$15+1,1))</f>
        <v>215.37468832969444</v>
      </c>
      <c r="EP66" s="59">
        <f t="shared" si="46"/>
        <v>208.60212063136419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14.529705403918896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14.529705403918896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4.4000000000000004</v>
      </c>
      <c r="FE66" s="12">
        <f>IF('Données projet'!$A$218&gt;35,FE65+FD66-FM65,IF(A66&lt;'Données projet'!$A$218,$FB$205^A66,IF(A66='Données projet'!$A$218,'Données projet'!$B$218,FE65+FD66-FM65)))</f>
        <v>261.19999999999982</v>
      </c>
      <c r="FF66" s="17">
        <f>FE66*VLOOKUP('Données projet'!$B$16,Paramètres!$A$1:$I$89,3,0)*VLOOKUP('Données projet'!$B$16,Paramètres!$A$1:$I$89,5,0)</f>
        <v>211.88543999999985</v>
      </c>
      <c r="FG66" s="13">
        <f t="shared" si="47"/>
        <v>52.347387197875818</v>
      </c>
      <c r="FH66" s="20">
        <f t="shared" si="22"/>
        <v>460.20550736963349</v>
      </c>
      <c r="FI66" s="59">
        <f t="shared" si="23"/>
        <v>753.53884070296681</v>
      </c>
      <c r="FJ66" s="59">
        <f ca="1">AVERAGE(OFFSET($FI$3,0,0,'Données projet'!$E$16+1,1))-AVERAGE(OFFSET($H$3,0,0,'Données projet'!$E$16+1,1))</f>
        <v>220.90439367987847</v>
      </c>
      <c r="FK66" s="59">
        <f t="shared" si="48"/>
        <v>213.66046131354858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14.814601588309458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14.814601588309458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1">
        <f t="shared" si="32"/>
        <v>15.107692595703268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67">
        <f t="shared" si="1"/>
        <v>410.06765793751646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17.7</v>
      </c>
      <c r="N67" s="13">
        <f>IF('Données projet'!$A$36&gt;35,N66+M67-V66,IF(A67&lt;'Données projet'!$A$36,$K$205^A67,IF(A67='Données projet'!$A$36,'Données projet'!$B$36,N66+M67-V66)))</f>
        <v>429.60000000000008</v>
      </c>
      <c r="O67" s="13">
        <f>N67*VLOOKUP('Données projet'!$B$9,Paramètres!$A$1:$I$89,3,0)*VLOOKUP('Données projet'!$B$9,Paramètres!$A$1:$I$89,5,0)</f>
        <v>201.05280000000005</v>
      </c>
      <c r="P67" s="13">
        <f t="shared" si="33"/>
        <v>49.975470554049167</v>
      </c>
      <c r="Q67" s="20">
        <f t="shared" ref="Q67:Q98" si="54">(O67+P67)*0.475*44/12</f>
        <v>437.20757121496905</v>
      </c>
      <c r="R67" s="59">
        <f t="shared" ref="R67:R130" si="55">Q67+(I67+J67)*44/12</f>
        <v>730.54090454830236</v>
      </c>
      <c r="S67" s="59">
        <f ca="1">AVERAGE(OFFSET($R$3,0,0,'Données projet'!$E$9+1,1))-AVERAGE(OFFSET($H$3,0,0,'Données projet'!$E$9+1,1))</f>
        <v>196.72624686715807</v>
      </c>
      <c r="T67" s="59">
        <f t="shared" si="34"/>
        <v>37.315661698104691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21.687917665024131</v>
      </c>
      <c r="AA67" s="21">
        <f>EXP(-LN(2)/25)*AA66+(1-EXP(-LN(2)/25))/(LN(2)/25)*Calculateur!V67*Calculateur!X67*VLOOKUP('Données projet'!$B$9,Paramètres!$A$1:$I$89,3,0)*0.475*44/12</f>
        <v>17.102135633546137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38.790053298570271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-1.0000000000001137</v>
      </c>
      <c r="AJ67" s="13">
        <f>AI67*VLOOKUP('Données projet'!$B$10,Paramètres!$A$1:$I$89,3,0)*VLOOKUP('Données projet'!$B$10,Paramètres!$A$1:$I$89,5,0)</f>
        <v>-0.55900000000006356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325.42940802362739</v>
      </c>
      <c r="AO67" s="59">
        <f t="shared" si="36"/>
        <v>388.87198417542277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216.48740204034775</v>
      </c>
      <c r="AV67" s="21">
        <f>EXP(-LN(2)/25)*AV66+(1-EXP(-LN(2)/25))/(LN(2)/25)*Calculateur!AQ67*Calculateur!AS67*VLOOKUP('Données projet'!$B$10,Paramètres!$A$1:$I$89,3,0)*0.475*44/12</f>
        <v>81.000114764698935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297.48751680504665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</v>
      </c>
      <c r="BE67" s="13">
        <f>BD67*VLOOKUP('Données projet'!$B$11,Paramètres!$A$1:$I$89,3,0)*VLOOKUP('Données projet'!$B$11,Paramètres!$A$1:$I$89,5,0)</f>
        <v>-0.624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162.87524915738271</v>
      </c>
      <c r="BJ67" s="59">
        <f t="shared" si="38"/>
        <v>249.37880137966658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138.11847506919372</v>
      </c>
      <c r="BQ67" s="21">
        <f>EXP(-LN(2)/25)*BQ66+(1-EXP(-LN(2)/25))/(LN(2)/25)*Calculateur!BL67*Calculateur!BN67*VLOOKUP('Données projet'!$B$11,Paramètres!$A$1:$I$89,3,0)*0.475*44/12</f>
        <v>57.107564309324999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195.22603937851872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-1.4210854715202004E-13</v>
      </c>
      <c r="BZ67" s="13">
        <f>BY67*VLOOKUP('Données projet'!$B$12,Paramètres!$A$1:$I$89,3,0)*VLOOKUP('Données projet'!$B$12,Paramètres!$A$1:$I$89,5,0)</f>
        <v>-9.3109520094003535E-14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119.88584888779422</v>
      </c>
      <c r="CE67" s="59">
        <f t="shared" si="40"/>
        <v>162.97244314258774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46.353076460960899</v>
      </c>
      <c r="CL67" s="21">
        <f>EXP(-LN(2)/25)*CL66+(1-EXP(-LN(2)/25))/(LN(2)/25)*Calculateur!CG67*Calculateur!CI67*VLOOKUP('Données projet'!$B$12,Paramètres!$A$1:$I$89,3,0)*0.475*44/12</f>
        <v>22.044153214054063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68.397229675014955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6</v>
      </c>
      <c r="CT67" s="12">
        <f>IF('Données projet'!$A$140&gt;35,CT66+CS67-DB66,IF(A67&lt;'Données projet'!$A$140,$CQ$205^A67,IF(A67='Données projet'!$A$140,'Données projet'!$B$140,CT66+CS67-DB66)))</f>
        <v>238</v>
      </c>
      <c r="CU67" s="17">
        <f>CT67*VLOOKUP('Données projet'!$B$13,Paramètres!$A$1:$I$89,3,0)*VLOOKUP('Données projet'!$B$13,Paramètres!$A$1:$I$89,5,0)</f>
        <v>241.33200000000002</v>
      </c>
      <c r="CV67" s="13">
        <f t="shared" si="41"/>
        <v>58.72602439130111</v>
      </c>
      <c r="CW67" s="20">
        <f t="shared" si="13"/>
        <v>522.6010591481828</v>
      </c>
      <c r="CX67" s="59">
        <f t="shared" si="14"/>
        <v>815.93439248151617</v>
      </c>
      <c r="CY67" s="59">
        <f ca="1">AVERAGE(OFFSET($CX$3,0,0,'Données projet'!$E$13+1,1))-AVERAGE(OFFSET($H$3,0,0,'Données projet'!$E$13+1,1))</f>
        <v>261.75887764015459</v>
      </c>
      <c r="CZ67" s="59">
        <f t="shared" si="42"/>
        <v>209.74127356028544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2.722385234701739</v>
      </c>
      <c r="DG67" s="21">
        <f>EXP(-LN(2)/25)*DG66+(1-EXP(-LN(2)/25))/(LN(2)/25)*Calculateur!DB67*Calculateur!DD67*VLOOKUP('Données projet'!$B$13,Paramètres!$A$1:$I$89,3,0)*0.475*44/12</f>
        <v>10.206424991075259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12.928810225776999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4.4000000000000004</v>
      </c>
      <c r="DO67" s="12">
        <f>IF('Données projet'!$A$166&gt;35,DO66+DN67-DW66,IF(A67&lt;'Données projet'!$A$166,$DL$205^A67,IF(A67='Données projet'!$A$166,'Données projet'!$B$166,DO66+DN67-DW66)))</f>
        <v>265.5999999999998</v>
      </c>
      <c r="DP67" s="17">
        <f>DO67*VLOOKUP('Données projet'!$B$14,Paramètres!$A$1:$I$89,3,0)*VLOOKUP('Données projet'!$B$14,Paramètres!$A$1:$I$89,5,0)</f>
        <v>211.31135999999987</v>
      </c>
      <c r="DQ67" s="13">
        <f t="shared" si="43"/>
        <v>52.222046945324379</v>
      </c>
      <c r="DR67" s="20">
        <f t="shared" si="16"/>
        <v>458.98735042977302</v>
      </c>
      <c r="DS67" s="59">
        <f t="shared" si="17"/>
        <v>752.32068376310633</v>
      </c>
      <c r="DT67" s="59">
        <f ca="1">AVERAGE(OFFSET($DS$3,0,0,'Données projet'!$E$14+1,1))-AVERAGE(OFFSET($H$3,0,0,'Données projet'!$E$14+1,1))</f>
        <v>215.37468832969444</v>
      </c>
      <c r="DU67" s="59">
        <f t="shared" si="44"/>
        <v>208.60212063136419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14.24478674319327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14.24478674319327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4.4000000000000004</v>
      </c>
      <c r="EJ67" s="12">
        <f>IF('Données projet'!$A$192&gt;35,EJ66+EI67-ER66,IF(A67&lt;'Données projet'!$A$192,$EG$205^A67,IF(A67='Données projet'!$A$192,'Données projet'!$B$192,EJ66+EI67-ER66)))</f>
        <v>265.5999999999998</v>
      </c>
      <c r="EK67" s="17">
        <f>EJ67*VLOOKUP('Données projet'!$B$15,Paramètres!$A$1:$I$89,3,0)*VLOOKUP('Données projet'!$B$15,Paramètres!$A$1:$I$89,5,0)</f>
        <v>211.31135999999987</v>
      </c>
      <c r="EL67" s="13">
        <f t="shared" si="45"/>
        <v>52.222046945324379</v>
      </c>
      <c r="EM67" s="20">
        <f t="shared" si="19"/>
        <v>458.98735042977302</v>
      </c>
      <c r="EN67" s="59">
        <f t="shared" si="20"/>
        <v>752.32068376310633</v>
      </c>
      <c r="EO67" s="59">
        <f ca="1">AVERAGE(OFFSET($EN$3,0,0,'Données projet'!$E$15+1,1))-AVERAGE(OFFSET($H$3,0,0,'Données projet'!$E$15+1,1))</f>
        <v>215.37468832969444</v>
      </c>
      <c r="EP67" s="59">
        <f t="shared" si="46"/>
        <v>208.60212063136419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14.24478674319327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14.24478674319327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4.4000000000000004</v>
      </c>
      <c r="FE67" s="12">
        <f>IF('Données projet'!$A$218&gt;35,FE66+FD67-FM66,IF(A67&lt;'Données projet'!$A$218,$FB$205^A67,IF(A67='Données projet'!$A$218,'Données projet'!$B$218,FE66+FD67-FM66)))</f>
        <v>265.5999999999998</v>
      </c>
      <c r="FF67" s="17">
        <f>FE67*VLOOKUP('Données projet'!$B$16,Paramètres!$A$1:$I$89,3,0)*VLOOKUP('Données projet'!$B$16,Paramètres!$A$1:$I$89,5,0)</f>
        <v>215.45471999999987</v>
      </c>
      <c r="FG67" s="13">
        <f t="shared" si="47"/>
        <v>53.125794459230669</v>
      </c>
      <c r="FH67" s="20">
        <f t="shared" si="22"/>
        <v>467.77772934982653</v>
      </c>
      <c r="FI67" s="59">
        <f t="shared" si="23"/>
        <v>761.11106268315984</v>
      </c>
      <c r="FJ67" s="59">
        <f ca="1">AVERAGE(OFFSET($FI$3,0,0,'Données projet'!$E$16+1,1))-AVERAGE(OFFSET($H$3,0,0,'Données projet'!$E$16+1,1))</f>
        <v>220.90439367987847</v>
      </c>
      <c r="FK67" s="59">
        <f t="shared" si="48"/>
        <v>213.66046131354858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14.524096287177446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14.524096287177446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1">
        <f t="shared" si="32"/>
        <v>15.316084592505272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67">
        <f t="shared" ref="H68:H131" si="56">(B68+E68+F68)*44/12+(C68+D68)*0.475*44/12</f>
        <v>411.84344733194661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17.7</v>
      </c>
      <c r="N68" s="13">
        <f>IF('Données projet'!$A$36&gt;35,N67+M68-V67,IF(A68&lt;'Données projet'!$A$36,$K$205^A68,IF(A68='Données projet'!$A$36,'Données projet'!$B$36,N67+M68-V67)))</f>
        <v>447.30000000000007</v>
      </c>
      <c r="O68" s="13">
        <f>N68*VLOOKUP('Données projet'!$B$9,Paramètres!$A$1:$I$89,3,0)*VLOOKUP('Données projet'!$B$9,Paramètres!$A$1:$I$89,5,0)</f>
        <v>209.33640000000003</v>
      </c>
      <c r="P68" s="13">
        <f t="shared" si="33"/>
        <v>51.790545701268393</v>
      </c>
      <c r="Q68" s="20">
        <f t="shared" si="54"/>
        <v>454.79609709637583</v>
      </c>
      <c r="R68" s="59">
        <f t="shared" si="55"/>
        <v>748.12943042970915</v>
      </c>
      <c r="S68" s="59">
        <f ca="1">AVERAGE(OFFSET($R$3,0,0,'Données projet'!$E$9+1,1))-AVERAGE(OFFSET($H$3,0,0,'Données projet'!$E$9+1,1))</f>
        <v>196.72624686715807</v>
      </c>
      <c r="T68" s="59">
        <f t="shared" si="34"/>
        <v>37.315661698104691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21.262630827936594</v>
      </c>
      <c r="AA68" s="21">
        <f>EXP(-LN(2)/25)*AA67+(1-EXP(-LN(2)/25))/(LN(2)/25)*Calculateur!V68*Calculateur!X68*VLOOKUP('Données projet'!$B$9,Paramètres!$A$1:$I$89,3,0)*0.475*44/12</f>
        <v>16.634476835284591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37.897107663221185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-1.0000000000001137</v>
      </c>
      <c r="AJ68" s="13">
        <f>AI68*VLOOKUP('Données projet'!$B$10,Paramètres!$A$1:$I$89,3,0)*VLOOKUP('Données projet'!$B$10,Paramètres!$A$1:$I$89,5,0)</f>
        <v>-0.55900000000006356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325.42940802362739</v>
      </c>
      <c r="AO68" s="59">
        <f t="shared" si="36"/>
        <v>388.87198417542277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212.24221613061349</v>
      </c>
      <c r="AV68" s="21">
        <f>EXP(-LN(2)/25)*AV67+(1-EXP(-LN(2)/25))/(LN(2)/25)*Calculateur!AQ68*Calculateur!AS68*VLOOKUP('Données projet'!$B$10,Paramètres!$A$1:$I$89,3,0)*0.475*44/12</f>
        <v>78.785162366847331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291.0273784974608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</v>
      </c>
      <c r="BE68" s="13">
        <f>BD68*VLOOKUP('Données projet'!$B$11,Paramètres!$A$1:$I$89,3,0)*VLOOKUP('Données projet'!$B$11,Paramètres!$A$1:$I$89,5,0)</f>
        <v>-0.624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162.87524915738271</v>
      </c>
      <c r="BJ68" s="59">
        <f t="shared" si="38"/>
        <v>249.37880137966658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135.41005601703822</v>
      </c>
      <c r="BQ68" s="21">
        <f>EXP(-LN(2)/25)*BQ67+(1-EXP(-LN(2)/25))/(LN(2)/25)*Calculateur!BL68*Calculateur!BN68*VLOOKUP('Données projet'!$B$11,Paramètres!$A$1:$I$89,3,0)*0.475*44/12</f>
        <v>55.545954960130224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190.95601097716843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-1.4210854715202004E-13</v>
      </c>
      <c r="BZ68" s="13">
        <f>BY68*VLOOKUP('Données projet'!$B$12,Paramètres!$A$1:$I$89,3,0)*VLOOKUP('Données projet'!$B$12,Paramètres!$A$1:$I$89,5,0)</f>
        <v>-9.3109520094003535E-14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119.88584888779422</v>
      </c>
      <c r="CE68" s="59">
        <f t="shared" si="40"/>
        <v>162.97244314258774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45.444120904146409</v>
      </c>
      <c r="CL68" s="21">
        <f>EXP(-LN(2)/25)*CL67+(1-EXP(-LN(2)/25))/(LN(2)/25)*Calculateur!CG68*Calculateur!CI68*VLOOKUP('Données projet'!$B$12,Paramètres!$A$1:$I$89,3,0)*0.475*44/12</f>
        <v>21.441354685164121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66.885475589310531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244</v>
      </c>
      <c r="CR68" s="12">
        <f>VLOOKUP(A68,'Données projet'!$A$139:$I$159,9,0)</f>
        <v>6</v>
      </c>
      <c r="CS68" s="12">
        <f t="array" ref="CS68">INDEX(CR:CR,MIN(IF(ISNUMBER(CR68:CR264),ROW(CR68:CR264),"")))</f>
        <v>6</v>
      </c>
      <c r="CT68" s="12">
        <f>IF('Données projet'!$A$140&gt;35,CT67+CS68-DB67,IF(A68&lt;'Données projet'!$A$140,$CQ$205^A68,IF(A68='Données projet'!$A$140,'Données projet'!$B$140,CT67+CS68-DB67)))</f>
        <v>244</v>
      </c>
      <c r="CU68" s="17">
        <f>CT68*VLOOKUP('Données projet'!$B$13,Paramètres!$A$1:$I$89,3,0)*VLOOKUP('Données projet'!$B$13,Paramètres!$A$1:$I$89,5,0)</f>
        <v>247.416</v>
      </c>
      <c r="CV68" s="13">
        <f t="shared" si="41"/>
        <v>60.032282000540192</v>
      </c>
      <c r="CW68" s="20">
        <f t="shared" ref="CW68:CW131" si="67">(CU68+CV68)*0.475*44/12</f>
        <v>535.47242448427414</v>
      </c>
      <c r="CX68" s="59">
        <f t="shared" ref="CX68:CX131" si="68">CW68+(CO68+CP68)*44/12</f>
        <v>828.8057578176074</v>
      </c>
      <c r="CY68" s="59">
        <f ca="1">AVERAGE(OFFSET($CX$3,0,0,'Données projet'!$E$13+1,1))-AVERAGE(OFFSET($H$3,0,0,'Données projet'!$E$13+1,1))</f>
        <v>261.75887764015459</v>
      </c>
      <c r="CZ68" s="59">
        <f t="shared" si="42"/>
        <v>209.74127356028544</v>
      </c>
      <c r="DA68" s="15">
        <f>IF(ISNA(VLOOKUP(A68,'Données projet'!$A$139:$I$159,3,0)),0,VLOOKUP(A68,'Données projet'!$A$139:$I$159,3,0))</f>
        <v>4</v>
      </c>
      <c r="DB68" s="15">
        <f>IF(ISNA(VLOOKUP(A68,'Données projet'!$A$139:$I$159,4,0)),0,VLOOKUP(A68,'Données projet'!$A$139:$I$159,4,0))</f>
        <v>50</v>
      </c>
      <c r="DC68" s="16">
        <f>IF(ISNA(VLOOKUP(A68,'Données projet'!$A$139:$I$159,5,0)),0%,VLOOKUP(A68,'Données projet'!$A$139:$I$159,5,0)*VLOOKUP('Données projet'!$B$13,Paramètres!$A$1:$I$89,7,0))</f>
        <v>8.6000000000000007E-2</v>
      </c>
      <c r="DD68" s="16">
        <f>IF(ISNA(VLOOKUP(A68,'Données projet'!$A$139:$I$159,6,0)),0%,VLOOKUP(A68,'Données projet'!$A$139:$I$159,6,0)*VLOOKUP('Données projet'!$B$13,Paramètres!$A$1:$I$89,7,0))</f>
        <v>0.15049999999999999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7.4890728695798412</v>
      </c>
      <c r="DG68" s="21">
        <f>EXP(-LN(2)/25)*DG67+(1-EXP(-LN(2)/25))/(LN(2)/25)*Calculateur!DB68*Calculateur!DD68*VLOOKUP('Données projet'!$B$13,Paramètres!$A$1:$I$89,3,0)*0.475*44/12</f>
        <v>18.329243368686527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25.81831623826637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270</v>
      </c>
      <c r="DM68" s="12">
        <f>VLOOKUP(A68,'Données projet'!$A$165:$I$185,9,0)</f>
        <v>4.4000000000000004</v>
      </c>
      <c r="DN68" s="12">
        <f t="array" ref="DN68">INDEX(DM:DM,MIN(IF(ISNUMBER(DM68:DM264),ROW(DM68:DM264),"")))</f>
        <v>4.4000000000000004</v>
      </c>
      <c r="DO68" s="12">
        <f>IF('Données projet'!$A$166&gt;35,DO67+DN68-DW67,IF(A68&lt;'Données projet'!$A$166,$DL$205^A68,IF(A68='Données projet'!$A$166,'Données projet'!$B$166,DO67+DN68-DW67)))</f>
        <v>269.99999999999977</v>
      </c>
      <c r="DP68" s="17">
        <f>DO68*VLOOKUP('Données projet'!$B$14,Paramètres!$A$1:$I$89,3,0)*VLOOKUP('Données projet'!$B$14,Paramètres!$A$1:$I$89,5,0)</f>
        <v>214.81199999999981</v>
      </c>
      <c r="DQ68" s="13">
        <f t="shared" si="43"/>
        <v>52.985738231738011</v>
      </c>
      <c r="DR68" s="20">
        <f t="shared" ref="DR68:DR131" si="70">(DP68+DQ68)*0.475*44/12</f>
        <v>466.41439408694333</v>
      </c>
      <c r="DS68" s="59">
        <f t="shared" ref="DS68:DS131" si="71">DR68+(DJ68+DK68)*44/12</f>
        <v>759.74772742027665</v>
      </c>
      <c r="DT68" s="59">
        <f ca="1">AVERAGE(OFFSET($DS$3,0,0,'Données projet'!$E$14+1,1))-AVERAGE(OFFSET($H$3,0,0,'Données projet'!$E$14+1,1))</f>
        <v>215.37468832969444</v>
      </c>
      <c r="DU68" s="59">
        <f t="shared" si="44"/>
        <v>208.60212063136419</v>
      </c>
      <c r="DV68" s="15">
        <f>IF(ISNA(VLOOKUP(A68,'Données projet'!$A$165:$I$185,3,0)),0,VLOOKUP(A68,'Données projet'!$A$165:$I$185,3,0))</f>
        <v>10</v>
      </c>
      <c r="DW68" s="15">
        <f>IF(ISNA(VLOOKUP(A68,'Données projet'!$A$165:$I$185,4,0)),0,VLOOKUP(A68,'Données projet'!$A$165:$I$185,4,0))</f>
        <v>11</v>
      </c>
      <c r="DX68" s="16">
        <f>IF(ISNA(VLOOKUP(A68,'Données projet'!$A$165:$I$185,5,0)),0%,VLOOKUP(A68,'Données projet'!$A$165:$I$185,5,0)*VLOOKUP('Données projet'!$B$14,Paramètres!$A$1:$I$89,7,0))</f>
        <v>0.29150000000000004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16.785611141802494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16.785611141802494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270</v>
      </c>
      <c r="EH68" s="12">
        <f>VLOOKUP(A68,'Données projet'!$A$191:$I$211,9,0)</f>
        <v>4.4000000000000004</v>
      </c>
      <c r="EI68" s="12">
        <f t="array" ref="EI68">INDEX(EH:EH,MIN(IF(ISNUMBER(EH68:EH264),ROW(EH68:EH264),"")))</f>
        <v>4.4000000000000004</v>
      </c>
      <c r="EJ68" s="12">
        <f>IF('Données projet'!$A$192&gt;35,EJ67+EI68-ER67,IF(A68&lt;'Données projet'!$A$192,$EG$205^A68,IF(A68='Données projet'!$A$192,'Données projet'!$B$192,EJ67+EI68-ER67)))</f>
        <v>269.99999999999977</v>
      </c>
      <c r="EK68" s="17">
        <f>EJ68*VLOOKUP('Données projet'!$B$15,Paramètres!$A$1:$I$89,3,0)*VLOOKUP('Données projet'!$B$15,Paramètres!$A$1:$I$89,5,0)</f>
        <v>214.81199999999981</v>
      </c>
      <c r="EL68" s="13">
        <f t="shared" si="45"/>
        <v>52.985738231738011</v>
      </c>
      <c r="EM68" s="20">
        <f t="shared" ref="EM68:EM131" si="73">(EK68+EL68)*0.475*44/12</f>
        <v>466.41439408694333</v>
      </c>
      <c r="EN68" s="59">
        <f t="shared" ref="EN68:EN131" si="74">EM68+(EE68+EF68)*44/12</f>
        <v>759.74772742027665</v>
      </c>
      <c r="EO68" s="59">
        <f ca="1">AVERAGE(OFFSET($EN$3,0,0,'Données projet'!$E$15+1,1))-AVERAGE(OFFSET($H$3,0,0,'Données projet'!$E$15+1,1))</f>
        <v>215.37468832969444</v>
      </c>
      <c r="EP68" s="59">
        <f t="shared" si="46"/>
        <v>208.60212063136419</v>
      </c>
      <c r="EQ68" s="15">
        <f>IF(ISNA(VLOOKUP(A68,'Données projet'!$A$191:$I$211,3,0)),0,VLOOKUP(A68,'Données projet'!$A$191:$I$211,3,0))</f>
        <v>10</v>
      </c>
      <c r="ER68" s="15">
        <f>IF(ISNA(VLOOKUP(A68,'Données projet'!$A$191:$I$211,4,0)),0,VLOOKUP(A68,'Données projet'!$A$191:$I$211,4,0))</f>
        <v>11</v>
      </c>
      <c r="ES68" s="16">
        <f>IF(ISNA(VLOOKUP(A68,'Données projet'!$A$191:$I$211,5,0)),0%,VLOOKUP(A68,'Données projet'!$A$191:$I$211,5,0)*VLOOKUP('Données projet'!$B$15,Paramètres!$A$1:$I$89,7,0))</f>
        <v>0.29150000000000004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16.785611141802494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16.785611141802494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270</v>
      </c>
      <c r="FC68" s="12">
        <f>VLOOKUP(A68,'Données projet'!$A$217:$I$237,9,0)</f>
        <v>4.4000000000000004</v>
      </c>
      <c r="FD68" s="12">
        <f t="array" ref="FD68">INDEX(FC:FC,MIN(IF(ISNUMBER(FC68:FC264),ROW(FC68:FC264),"")))</f>
        <v>4.4000000000000004</v>
      </c>
      <c r="FE68" s="12">
        <f>IF('Données projet'!$A$218&gt;35,FE67+FD68-FM67,IF(A68&lt;'Données projet'!$A$218,$FB$205^A68,IF(A68='Données projet'!$A$218,'Données projet'!$B$218,FE67+FD68-FM67)))</f>
        <v>269.99999999999977</v>
      </c>
      <c r="FF68" s="17">
        <f>FE68*VLOOKUP('Données projet'!$B$16,Paramètres!$A$1:$I$89,3,0)*VLOOKUP('Données projet'!$B$16,Paramètres!$A$1:$I$89,5,0)</f>
        <v>219.02399999999983</v>
      </c>
      <c r="FG68" s="13">
        <f t="shared" si="47"/>
        <v>53.902702081308306</v>
      </c>
      <c r="FH68" s="20">
        <f t="shared" ref="FH68:FH131" si="76">(FF68+FG68)*0.475*44/12</f>
        <v>475.34733945827821</v>
      </c>
      <c r="FI68" s="59">
        <f t="shared" ref="FI68:FI131" si="77">FH68+(EZ68+FA68)*44/12</f>
        <v>768.68067279161153</v>
      </c>
      <c r="FJ68" s="59">
        <f ca="1">AVERAGE(OFFSET($FI$3,0,0,'Données projet'!$E$16+1,1))-AVERAGE(OFFSET($H$3,0,0,'Données projet'!$E$16+1,1))</f>
        <v>220.90439367987847</v>
      </c>
      <c r="FK68" s="59">
        <f t="shared" si="48"/>
        <v>213.66046131354858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0.29150000000000004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17.114740772033912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17.114740772033912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1">
        <f t="shared" ref="D69:D132" si="86">IFERROR(EXP(-1.0587+0.8836*LN(C69)+0.284),0)</f>
        <v>15.524103725721867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67">
        <f t="shared" si="56"/>
        <v>413.61858732229882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465</v>
      </c>
      <c r="L69" s="12">
        <f>VLOOKUP(A69,'Données projet'!$A$35:$I$55,9,0)</f>
        <v>17.7</v>
      </c>
      <c r="M69" s="12">
        <f t="array" ref="M69">INDEX(L:L,MIN(IF(ISNUMBER(L69:L265),ROW(L69:L265),"")))</f>
        <v>17.7</v>
      </c>
      <c r="N69" s="13">
        <f>IF('Données projet'!$A$36&gt;35,N68+M69-V68,IF(A69&lt;'Données projet'!$A$36,$K$205^A69,IF(A69='Données projet'!$A$36,'Données projet'!$B$36,N68+M69-V68)))</f>
        <v>465.00000000000006</v>
      </c>
      <c r="O69" s="13">
        <f>N69*VLOOKUP('Données projet'!$B$9,Paramètres!$A$1:$I$89,3,0)*VLOOKUP('Données projet'!$B$9,Paramètres!$A$1:$I$89,5,0)</f>
        <v>217.62</v>
      </c>
      <c r="P69" s="13">
        <f t="shared" ref="P69:P132" si="87">EXP(-1.0587+0.8836*LN(O69)+0.284)</f>
        <v>53.597277471320098</v>
      </c>
      <c r="Q69" s="20">
        <f t="shared" si="54"/>
        <v>472.37009159588257</v>
      </c>
      <c r="R69" s="59">
        <f t="shared" si="55"/>
        <v>765.70342492921588</v>
      </c>
      <c r="S69" s="59">
        <f ca="1">AVERAGE(OFFSET($R$3,0,0,'Données projet'!$E$9+1,1))-AVERAGE(OFFSET($H$3,0,0,'Données projet'!$E$9+1,1))</f>
        <v>196.72624686715807</v>
      </c>
      <c r="T69" s="59">
        <f t="shared" ref="T69:T132" si="88">$T$3</f>
        <v>37.315661698104691</v>
      </c>
      <c r="U69" s="15">
        <f>IF(ISNA(VLOOKUP(A69,'Données projet'!$A$35:$I$55,3,0)),0,VLOOKUP(A69,'Données projet'!$A$35:$I$55,3,0))</f>
        <v>3</v>
      </c>
      <c r="V69" s="15">
        <f>IF(ISNA(VLOOKUP(A69,'Données projet'!$A$35:$I$55,4,0)),0,VLOOKUP(A69,'Données projet'!$A$35:$I$55,4,0))</f>
        <v>101</v>
      </c>
      <c r="W69" s="16">
        <f>IF(ISNA(VLOOKUP(A69,'Données projet'!$A$35:$I$55,5,0)),0%,VLOOKUP(A69,'Données projet'!$A$35:$I$55,5,0)*VLOOKUP('Données projet'!$B$9,Paramètres!$A$1:$I$89,7,0))</f>
        <v>0.27500000000000002</v>
      </c>
      <c r="X69" s="16">
        <f>IF(ISNA(VLOOKUP(A69,'Données projet'!$A$35:$I$55,6,0)),0%,VLOOKUP(A69,'Données projet'!$A$35:$I$55,6,0)*VLOOKUP('Données projet'!$B$9,Paramètres!$A$1:$I$89,7,0))</f>
        <v>0.1925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38.08929699324694</v>
      </c>
      <c r="AA69" s="21">
        <f>EXP(-LN(2)/25)*AA68+(1-EXP(-LN(2)/25))/(LN(2)/25)*Calculateur!V69*Calculateur!X69*VLOOKUP('Données projet'!$B$9,Paramètres!$A$1:$I$89,3,0)*0.475*44/12</f>
        <v>28.202609288934703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66.291906282181642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-1.0000000000001137</v>
      </c>
      <c r="AJ69" s="13">
        <f>AI69*VLOOKUP('Données projet'!$B$10,Paramètres!$A$1:$I$89,3,0)*VLOOKUP('Données projet'!$B$10,Paramètres!$A$1:$I$89,5,0)</f>
        <v>-0.55900000000006356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325.42940802362739</v>
      </c>
      <c r="AO69" s="59">
        <f t="shared" ref="AO69:AO132" si="90">$AO$3</f>
        <v>388.87198417542277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208.08027572726138</v>
      </c>
      <c r="AV69" s="21">
        <f>EXP(-LN(2)/25)*AV68+(1-EXP(-LN(2)/25))/(LN(2)/25)*Calculateur!AQ69*Calculateur!AS69*VLOOKUP('Données projet'!$B$10,Paramètres!$A$1:$I$89,3,0)*0.475*44/12</f>
        <v>76.630777958794269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284.71105368605566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</v>
      </c>
      <c r="BE69" s="13">
        <f>BD69*VLOOKUP('Données projet'!$B$11,Paramètres!$A$1:$I$89,3,0)*VLOOKUP('Données projet'!$B$11,Paramètres!$A$1:$I$89,5,0)</f>
        <v>-0.624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162.87524915738271</v>
      </c>
      <c r="BJ69" s="59">
        <f t="shared" ref="BJ69:BJ132" si="92">$BJ$3</f>
        <v>249.37880137966658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132.75474741052298</v>
      </c>
      <c r="BQ69" s="21">
        <f>EXP(-LN(2)/25)*BQ68+(1-EXP(-LN(2)/25))/(LN(2)/25)*Calculateur!BL69*Calculateur!BN69*VLOOKUP('Données projet'!$B$11,Paramètres!$A$1:$I$89,3,0)*0.475*44/12</f>
        <v>54.027047900710642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186.78179531123362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-1.4210854715202004E-13</v>
      </c>
      <c r="BZ69" s="13">
        <f>BY69*VLOOKUP('Données projet'!$B$12,Paramètres!$A$1:$I$89,3,0)*VLOOKUP('Données projet'!$B$12,Paramètres!$A$1:$I$89,5,0)</f>
        <v>-9.3109520094003535E-14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119.88584888779422</v>
      </c>
      <c r="CE69" s="59">
        <f t="shared" ref="CE69:CE132" si="94">$CE$3</f>
        <v>162.97244314258774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44.552989411392907</v>
      </c>
      <c r="CL69" s="21">
        <f>EXP(-LN(2)/25)*CL68+(1-EXP(-LN(2)/25))/(LN(2)/25)*Calculateur!CG69*Calculateur!CI69*VLOOKUP('Données projet'!$B$12,Paramètres!$A$1:$I$89,3,0)*0.475*44/12</f>
        <v>20.855039713746471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65.408029125139379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6</v>
      </c>
      <c r="CT69" s="12">
        <f>IF('Données projet'!$A$140&gt;35,CT68+CS69-DB68,IF(A69&lt;'Données projet'!$A$140,$CQ$205^A69,IF(A69='Données projet'!$A$140,'Données projet'!$B$140,CT68+CS69-DB68)))</f>
        <v>200</v>
      </c>
      <c r="CU69" s="17">
        <f>CT69*VLOOKUP('Données projet'!$B$13,Paramètres!$A$1:$I$89,3,0)*VLOOKUP('Données projet'!$B$13,Paramètres!$A$1:$I$89,5,0)</f>
        <v>202.8</v>
      </c>
      <c r="CV69" s="13">
        <f t="shared" ref="CV69:CV132" si="95">EXP(-1.0587+0.8836*LN(CU69)+0.284)</f>
        <v>50.359024179354016</v>
      </c>
      <c r="CW69" s="20">
        <f t="shared" si="67"/>
        <v>440.91863377904156</v>
      </c>
      <c r="CX69" s="59">
        <f t="shared" si="68"/>
        <v>734.25196711237481</v>
      </c>
      <c r="CY69" s="59">
        <f ca="1">AVERAGE(OFFSET($CX$3,0,0,'Données projet'!$E$13+1,1))-AVERAGE(OFFSET($H$3,0,0,'Données projet'!$E$13+1,1))</f>
        <v>261.75887764015459</v>
      </c>
      <c r="CZ69" s="59">
        <f t="shared" ref="CZ69:CZ132" si="96">$CZ$3</f>
        <v>209.74127356028544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7.3422167184907901</v>
      </c>
      <c r="DG69" s="21">
        <f>EXP(-LN(2)/25)*DG68+(1-EXP(-LN(2)/25))/(LN(2)/25)*Calculateur!DB69*Calculateur!DD69*VLOOKUP('Données projet'!$B$13,Paramètres!$A$1:$I$89,3,0)*0.475*44/12</f>
        <v>17.828029244876777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25.170245963367567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3.8</v>
      </c>
      <c r="DO69" s="12">
        <f>IF('Données projet'!$A$166&gt;35,DO68+DN69-DW68,IF(A69&lt;'Données projet'!$A$166,$DL$205^A69,IF(A69='Données projet'!$A$166,'Données projet'!$B$166,DO68+DN69-DW68)))</f>
        <v>262.79999999999978</v>
      </c>
      <c r="DP69" s="17">
        <f>DO69*VLOOKUP('Données projet'!$B$14,Paramètres!$A$1:$I$89,3,0)*VLOOKUP('Données projet'!$B$14,Paramètres!$A$1:$I$89,5,0)</f>
        <v>209.08367999999987</v>
      </c>
      <c r="DQ69" s="13">
        <f t="shared" ref="DQ69:DQ132" si="97">EXP(-1.0587+0.8836*LN(DP69)+0.284)</f>
        <v>51.735295790267323</v>
      </c>
      <c r="DR69" s="20">
        <f t="shared" si="70"/>
        <v>454.25971616804867</v>
      </c>
      <c r="DS69" s="59">
        <f t="shared" si="71"/>
        <v>747.59304950138198</v>
      </c>
      <c r="DT69" s="59">
        <f ca="1">AVERAGE(OFFSET($DS$3,0,0,'Données projet'!$E$14+1,1))-AVERAGE(OFFSET($H$3,0,0,'Données projet'!$E$14+1,1))</f>
        <v>215.37468832969444</v>
      </c>
      <c r="DU69" s="59">
        <f t="shared" ref="DU69:DU132" si="98">$DU$3</f>
        <v>208.60212063136419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16.456455545523603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16.456455545523603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3.8</v>
      </c>
      <c r="EJ69" s="12">
        <f>IF('Données projet'!$A$192&gt;35,EJ68+EI69-ER68,IF(A69&lt;'Données projet'!$A$192,$EG$205^A69,IF(A69='Données projet'!$A$192,'Données projet'!$B$192,EJ68+EI69-ER68)))</f>
        <v>262.79999999999978</v>
      </c>
      <c r="EK69" s="17">
        <f>EJ69*VLOOKUP('Données projet'!$B$15,Paramètres!$A$1:$I$89,3,0)*VLOOKUP('Données projet'!$B$15,Paramètres!$A$1:$I$89,5,0)</f>
        <v>209.08367999999987</v>
      </c>
      <c r="EL69" s="13">
        <f t="shared" ref="EL69:EL132" si="99">EXP(-1.0587+0.8836*LN(EK69)+0.284)</f>
        <v>51.735295790267323</v>
      </c>
      <c r="EM69" s="20">
        <f t="shared" si="73"/>
        <v>454.25971616804867</v>
      </c>
      <c r="EN69" s="59">
        <f t="shared" si="74"/>
        <v>747.59304950138198</v>
      </c>
      <c r="EO69" s="59">
        <f ca="1">AVERAGE(OFFSET($EN$3,0,0,'Données projet'!$E$15+1,1))-AVERAGE(OFFSET($H$3,0,0,'Données projet'!$E$15+1,1))</f>
        <v>215.37468832969444</v>
      </c>
      <c r="EP69" s="59">
        <f t="shared" ref="EP69:EP132" si="100">$EP$3</f>
        <v>208.60212063136419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16.456455545523603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16.456455545523603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3.8</v>
      </c>
      <c r="FE69" s="12">
        <f>IF('Données projet'!$A$218&gt;35,FE68+FD69-FM68,IF(A69&lt;'Données projet'!$A$218,$FB$205^A69,IF(A69='Données projet'!$A$218,'Données projet'!$B$218,FE68+FD69-FM68)))</f>
        <v>262.79999999999978</v>
      </c>
      <c r="FF69" s="17">
        <f>FE69*VLOOKUP('Données projet'!$B$16,Paramètres!$A$1:$I$89,3,0)*VLOOKUP('Données projet'!$B$16,Paramètres!$A$1:$I$89,5,0)</f>
        <v>213.18335999999985</v>
      </c>
      <c r="FG69" s="13">
        <f t="shared" ref="FG69:FG132" si="101">EXP(-1.0587+0.8836*LN(FF69)+0.284)</f>
        <v>52.630619656078501</v>
      </c>
      <c r="FH69" s="20">
        <f t="shared" si="76"/>
        <v>462.95934790100313</v>
      </c>
      <c r="FI69" s="59">
        <f t="shared" si="77"/>
        <v>756.29268123433644</v>
      </c>
      <c r="FJ69" s="59">
        <f ca="1">AVERAGE(OFFSET($FI$3,0,0,'Données projet'!$E$16+1,1))-AVERAGE(OFFSET($H$3,0,0,'Données projet'!$E$16+1,1))</f>
        <v>220.90439367987847</v>
      </c>
      <c r="FK69" s="59">
        <f t="shared" ref="FK69:FK132" si="102">$FK$3</f>
        <v>213.66046131354858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16.779131144455437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16.779131144455437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1">
        <f t="shared" si="86"/>
        <v>15.73175629732425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67">
        <f t="shared" si="56"/>
        <v>415.39308888450631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16.8</v>
      </c>
      <c r="N70" s="13">
        <f>IF('Données projet'!$A$36&gt;35,N69+M70-V69,IF(A70&lt;'Données projet'!$A$36,$K$205^A70,IF(A70='Données projet'!$A$36,'Données projet'!$B$36,N69+M70-V69)))</f>
        <v>380.80000000000007</v>
      </c>
      <c r="O70" s="13">
        <f>N70*VLOOKUP('Données projet'!$B$9,Paramètres!$A$1:$I$89,3,0)*VLOOKUP('Données projet'!$B$9,Paramètres!$A$1:$I$89,5,0)</f>
        <v>178.21440000000004</v>
      </c>
      <c r="P70" s="13">
        <f t="shared" si="87"/>
        <v>44.924692855664368</v>
      </c>
      <c r="Q70" s="20">
        <f t="shared" si="54"/>
        <v>388.63392005694885</v>
      </c>
      <c r="R70" s="59">
        <f t="shared" si="55"/>
        <v>681.96725339028217</v>
      </c>
      <c r="S70" s="59">
        <f ca="1">AVERAGE(OFFSET($R$3,0,0,'Données projet'!$E$9+1,1))-AVERAGE(OFFSET($H$3,0,0,'Données projet'!$E$9+1,1))</f>
        <v>196.72624686715807</v>
      </c>
      <c r="T70" s="59">
        <f t="shared" si="88"/>
        <v>37.315661698104691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37.342389111386545</v>
      </c>
      <c r="AA70" s="21">
        <f>EXP(-LN(2)/25)*AA69+(1-EXP(-LN(2)/25))/(LN(2)/25)*Calculateur!V70*Calculateur!X70*VLOOKUP('Données projet'!$B$9,Paramètres!$A$1:$I$89,3,0)*0.475*44/12</f>
        <v>27.431407454818018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64.773796566204567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-1.0000000000001137</v>
      </c>
      <c r="AJ70" s="13">
        <f>AI70*VLOOKUP('Données projet'!$B$10,Paramètres!$A$1:$I$89,3,0)*VLOOKUP('Données projet'!$B$10,Paramètres!$A$1:$I$89,5,0)</f>
        <v>-0.55900000000006356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325.42940802362739</v>
      </c>
      <c r="AO70" s="59">
        <f t="shared" si="90"/>
        <v>388.87198417542277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203.99994843668603</v>
      </c>
      <c r="AV70" s="21">
        <f>EXP(-LN(2)/25)*AV69+(1-EXP(-LN(2)/25))/(LN(2)/25)*Calculateur!AQ70*Calculateur!AS70*VLOOKUP('Données projet'!$B$10,Paramètres!$A$1:$I$89,3,0)*0.475*44/12</f>
        <v>74.535305305673575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278.5352537423596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</v>
      </c>
      <c r="BE70" s="13">
        <f>BD70*VLOOKUP('Données projet'!$B$11,Paramètres!$A$1:$I$89,3,0)*VLOOKUP('Données projet'!$B$11,Paramètres!$A$1:$I$89,5,0)</f>
        <v>-0.624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162.87524915738271</v>
      </c>
      <c r="BJ70" s="59">
        <f t="shared" si="92"/>
        <v>249.37880137966658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130.15150778620318</v>
      </c>
      <c r="BQ70" s="21">
        <f>EXP(-LN(2)/25)*BQ69+(1-EXP(-LN(2)/25))/(LN(2)/25)*Calculateur!BL70*Calculateur!BN70*VLOOKUP('Données projet'!$B$11,Paramètres!$A$1:$I$89,3,0)*0.475*44/12</f>
        <v>52.549675434706742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182.70118322090991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-1.4210854715202004E-13</v>
      </c>
      <c r="BZ70" s="13">
        <f>BY70*VLOOKUP('Données projet'!$B$12,Paramètres!$A$1:$I$89,3,0)*VLOOKUP('Données projet'!$B$12,Paramètres!$A$1:$I$89,5,0)</f>
        <v>-9.3109520094003535E-14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119.88584888779422</v>
      </c>
      <c r="CE70" s="59">
        <f t="shared" si="94"/>
        <v>162.97244314258774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43.679332463675763</v>
      </c>
      <c r="CL70" s="21">
        <f>EXP(-LN(2)/25)*CL69+(1-EXP(-LN(2)/25))/(LN(2)/25)*Calculateur!CG70*Calculateur!CI70*VLOOKUP('Données projet'!$B$12,Paramètres!$A$1:$I$89,3,0)*0.475*44/12</f>
        <v>20.284757556055201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63.964090019730961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6</v>
      </c>
      <c r="CT70" s="12">
        <f>IF('Données projet'!$A$140&gt;35,CT69+CS70-DB69,IF(A70&lt;'Données projet'!$A$140,$CQ$205^A70,IF(A70='Données projet'!$A$140,'Données projet'!$B$140,CT69+CS70-DB69)))</f>
        <v>206</v>
      </c>
      <c r="CU70" s="17">
        <f>CT70*VLOOKUP('Données projet'!$B$13,Paramètres!$A$1:$I$89,3,0)*VLOOKUP('Données projet'!$B$13,Paramètres!$A$1:$I$89,5,0)</f>
        <v>208.88400000000001</v>
      </c>
      <c r="CV70" s="13">
        <f t="shared" si="95"/>
        <v>51.691636042398741</v>
      </c>
      <c r="CW70" s="20">
        <f t="shared" si="67"/>
        <v>453.83589944051113</v>
      </c>
      <c r="CX70" s="59">
        <f t="shared" si="68"/>
        <v>747.16923277384444</v>
      </c>
      <c r="CY70" s="59">
        <f ca="1">AVERAGE(OFFSET($CX$3,0,0,'Données projet'!$E$13+1,1))-AVERAGE(OFFSET($H$3,0,0,'Données projet'!$E$13+1,1))</f>
        <v>261.75887764015459</v>
      </c>
      <c r="CZ70" s="59">
        <f t="shared" si="96"/>
        <v>209.74127356028544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7.1982403269511872</v>
      </c>
      <c r="DG70" s="21">
        <f>EXP(-LN(2)/25)*DG69+(1-EXP(-LN(2)/25))/(LN(2)/25)*Calculateur!DB70*Calculateur!DD70*VLOOKUP('Données projet'!$B$13,Paramètres!$A$1:$I$89,3,0)*0.475*44/12</f>
        <v>17.34052084764031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24.538761174591496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3.8</v>
      </c>
      <c r="DO70" s="12">
        <f>IF('Données projet'!$A$166&gt;35,DO69+DN70-DW69,IF(A70&lt;'Données projet'!$A$166,$DL$205^A70,IF(A70='Données projet'!$A$166,'Données projet'!$B$166,DO69+DN70-DW69)))</f>
        <v>266.5999999999998</v>
      </c>
      <c r="DP70" s="17">
        <f>DO70*VLOOKUP('Données projet'!$B$14,Paramètres!$A$1:$I$89,3,0)*VLOOKUP('Données projet'!$B$14,Paramètres!$A$1:$I$89,5,0)</f>
        <v>212.10695999999984</v>
      </c>
      <c r="DQ70" s="13">
        <f t="shared" si="97"/>
        <v>52.395741612408194</v>
      </c>
      <c r="DR70" s="20">
        <f t="shared" si="70"/>
        <v>460.67553864161067</v>
      </c>
      <c r="DS70" s="59">
        <f t="shared" si="71"/>
        <v>754.00887197494399</v>
      </c>
      <c r="DT70" s="59">
        <f ca="1">AVERAGE(OFFSET($DS$3,0,0,'Données projet'!$E$14+1,1))-AVERAGE(OFFSET($H$3,0,0,'Données projet'!$E$14+1,1))</f>
        <v>215.37468832969444</v>
      </c>
      <c r="DU70" s="59">
        <f t="shared" si="98"/>
        <v>208.60212063136419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16.133754489722651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16.133754489722651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3.8</v>
      </c>
      <c r="EJ70" s="12">
        <f>IF('Données projet'!$A$192&gt;35,EJ69+EI70-ER69,IF(A70&lt;'Données projet'!$A$192,$EG$205^A70,IF(A70='Données projet'!$A$192,'Données projet'!$B$192,EJ69+EI70-ER69)))</f>
        <v>266.5999999999998</v>
      </c>
      <c r="EK70" s="17">
        <f>EJ70*VLOOKUP('Données projet'!$B$15,Paramètres!$A$1:$I$89,3,0)*VLOOKUP('Données projet'!$B$15,Paramètres!$A$1:$I$89,5,0)</f>
        <v>212.10695999999984</v>
      </c>
      <c r="EL70" s="13">
        <f t="shared" si="99"/>
        <v>52.395741612408194</v>
      </c>
      <c r="EM70" s="20">
        <f t="shared" si="73"/>
        <v>460.67553864161067</v>
      </c>
      <c r="EN70" s="59">
        <f t="shared" si="74"/>
        <v>754.00887197494399</v>
      </c>
      <c r="EO70" s="59">
        <f ca="1">AVERAGE(OFFSET($EN$3,0,0,'Données projet'!$E$15+1,1))-AVERAGE(OFFSET($H$3,0,0,'Données projet'!$E$15+1,1))</f>
        <v>215.37468832969444</v>
      </c>
      <c r="EP70" s="59">
        <f t="shared" si="100"/>
        <v>208.60212063136419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16.133754489722651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16.133754489722651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3.8</v>
      </c>
      <c r="FE70" s="12">
        <f>IF('Données projet'!$A$218&gt;35,FE69+FD70-FM69,IF(A70&lt;'Données projet'!$A$218,$FB$205^A70,IF(A70='Données projet'!$A$218,'Données projet'!$B$218,FE69+FD70-FM69)))</f>
        <v>266.5999999999998</v>
      </c>
      <c r="FF70" s="17">
        <f>FE70*VLOOKUP('Données projet'!$B$16,Paramètres!$A$1:$I$89,3,0)*VLOOKUP('Données projet'!$B$16,Paramètres!$A$1:$I$89,5,0)</f>
        <v>216.26591999999982</v>
      </c>
      <c r="FG70" s="13">
        <f t="shared" si="101"/>
        <v>53.302495062173776</v>
      </c>
      <c r="FH70" s="20">
        <f t="shared" si="76"/>
        <v>469.49832289995226</v>
      </c>
      <c r="FI70" s="59">
        <f t="shared" si="77"/>
        <v>762.83165623328557</v>
      </c>
      <c r="FJ70" s="59">
        <f ca="1">AVERAGE(OFFSET($FI$3,0,0,'Données projet'!$E$16+1,1))-AVERAGE(OFFSET($H$3,0,0,'Données projet'!$E$16+1,1))</f>
        <v>220.90439367987847</v>
      </c>
      <c r="FK70" s="59">
        <f t="shared" si="102"/>
        <v>213.66046131354858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16.450102616972114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16.450102616972114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1">
        <f t="shared" si="86"/>
        <v>15.939048410367347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67">
        <f t="shared" si="56"/>
        <v>417.16696264805637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16.8</v>
      </c>
      <c r="N71" s="13">
        <f>IF('Données projet'!$A$36&gt;35,N70+M71-V70,IF(A71&lt;'Données projet'!$A$36,$K$205^A71,IF(A71='Données projet'!$A$36,'Données projet'!$B$36,N70+M71-V70)))</f>
        <v>397.60000000000008</v>
      </c>
      <c r="O71" s="13">
        <f>N71*VLOOKUP('Données projet'!$B$9,Paramètres!$A$1:$I$89,3,0)*VLOOKUP('Données projet'!$B$9,Paramètres!$A$1:$I$89,5,0)</f>
        <v>186.07680000000005</v>
      </c>
      <c r="P71" s="13">
        <f t="shared" si="87"/>
        <v>46.671538591528673</v>
      </c>
      <c r="Q71" s="20">
        <f t="shared" si="54"/>
        <v>405.37002304691242</v>
      </c>
      <c r="R71" s="59">
        <f t="shared" si="55"/>
        <v>698.70335638024574</v>
      </c>
      <c r="S71" s="59">
        <f ca="1">AVERAGE(OFFSET($R$3,0,0,'Données projet'!$E$9+1,1))-AVERAGE(OFFSET($H$3,0,0,'Données projet'!$E$9+1,1))</f>
        <v>196.72624686715807</v>
      </c>
      <c r="T71" s="59">
        <f t="shared" si="88"/>
        <v>37.315661698104691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36.610127637520613</v>
      </c>
      <c r="AA71" s="21">
        <f>EXP(-LN(2)/25)*AA70+(1-EXP(-LN(2)/25))/(LN(2)/25)*Calculateur!V71*Calculateur!X71*VLOOKUP('Données projet'!$B$9,Paramètres!$A$1:$I$89,3,0)*0.475*44/12</f>
        <v>26.681294175410997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63.29142181293161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-1.0000000000001137</v>
      </c>
      <c r="AJ71" s="13">
        <f>AI71*VLOOKUP('Données projet'!$B$10,Paramètres!$A$1:$I$89,3,0)*VLOOKUP('Données projet'!$B$10,Paramètres!$A$1:$I$89,5,0)</f>
        <v>-0.55900000000006356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325.42940802362739</v>
      </c>
      <c r="AO71" s="59">
        <f t="shared" si="90"/>
        <v>388.87198417542277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199.99963387552495</v>
      </c>
      <c r="AV71" s="21">
        <f>EXP(-LN(2)/25)*AV70+(1-EXP(-LN(2)/25))/(LN(2)/25)*Calculateur!AQ71*Calculateur!AS71*VLOOKUP('Données projet'!$B$10,Paramètres!$A$1:$I$89,3,0)*0.475*44/12</f>
        <v>72.497133462448573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272.49676733797355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</v>
      </c>
      <c r="BE71" s="13">
        <f>BD71*VLOOKUP('Données projet'!$B$11,Paramètres!$A$1:$I$89,3,0)*VLOOKUP('Données projet'!$B$11,Paramètres!$A$1:$I$89,5,0)</f>
        <v>-0.624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162.87524915738271</v>
      </c>
      <c r="BJ71" s="59">
        <f t="shared" si="92"/>
        <v>249.37880137966658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127.59931610309691</v>
      </c>
      <c r="BQ71" s="21">
        <f>EXP(-LN(2)/25)*BQ70+(1-EXP(-LN(2)/25))/(LN(2)/25)*Calculateur!BL71*Calculateur!BN71*VLOOKUP('Données projet'!$B$11,Paramètres!$A$1:$I$89,3,0)*0.475*44/12</f>
        <v>51.11270179647736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178.71201789957428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-1.4210854715202004E-13</v>
      </c>
      <c r="BZ71" s="13">
        <f>BY71*VLOOKUP('Données projet'!$B$12,Paramètres!$A$1:$I$89,3,0)*VLOOKUP('Données projet'!$B$12,Paramètres!$A$1:$I$89,5,0)</f>
        <v>-9.3109520094003535E-14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119.88584888779422</v>
      </c>
      <c r="CE71" s="59">
        <f t="shared" si="94"/>
        <v>162.97244314258774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42.82280739582523</v>
      </c>
      <c r="CL71" s="21">
        <f>EXP(-LN(2)/25)*CL70+(1-EXP(-LN(2)/25))/(LN(2)/25)*Calculateur!CG71*Calculateur!CI71*VLOOKUP('Données projet'!$B$12,Paramètres!$A$1:$I$89,3,0)*0.475*44/12</f>
        <v>19.730069793955835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62.552877189781064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6</v>
      </c>
      <c r="CT71" s="12">
        <f>IF('Données projet'!$A$140&gt;35,CT70+CS71-DB70,IF(A71&lt;'Données projet'!$A$140,$CQ$205^A71,IF(A71='Données projet'!$A$140,'Données projet'!$B$140,CT70+CS71-DB70)))</f>
        <v>212</v>
      </c>
      <c r="CU71" s="17">
        <f>CT71*VLOOKUP('Données projet'!$B$13,Paramètres!$A$1:$I$89,3,0)*VLOOKUP('Données projet'!$B$13,Paramètres!$A$1:$I$89,5,0)</f>
        <v>214.96800000000002</v>
      </c>
      <c r="CV71" s="13">
        <f t="shared" si="95"/>
        <v>53.019736939093043</v>
      </c>
      <c r="CW71" s="20">
        <f t="shared" si="67"/>
        <v>466.74530850225375</v>
      </c>
      <c r="CX71" s="59">
        <f t="shared" si="68"/>
        <v>760.07864183558706</v>
      </c>
      <c r="CY71" s="59">
        <f ca="1">AVERAGE(OFFSET($CX$3,0,0,'Données projet'!$E$13+1,1))-AVERAGE(OFFSET($H$3,0,0,'Données projet'!$E$13+1,1))</f>
        <v>261.75887764015459</v>
      </c>
      <c r="CZ71" s="59">
        <f t="shared" si="96"/>
        <v>209.74127356028544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7.057087224632749</v>
      </c>
      <c r="DG71" s="21">
        <f>EXP(-LN(2)/25)*DG70+(1-EXP(-LN(2)/25))/(LN(2)/25)*Calculateur!DB71*Calculateur!DD71*VLOOKUP('Données projet'!$B$13,Paramètres!$A$1:$I$89,3,0)*0.475*44/12</f>
        <v>16.866343393163227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23.923430617795976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3.8</v>
      </c>
      <c r="DO71" s="12">
        <f>IF('Données projet'!$A$166&gt;35,DO70+DN71-DW70,IF(A71&lt;'Données projet'!$A$166,$DL$205^A71,IF(A71='Données projet'!$A$166,'Données projet'!$B$166,DO70+DN71-DW70)))</f>
        <v>270.39999999999981</v>
      </c>
      <c r="DP71" s="17">
        <f>DO71*VLOOKUP('Données projet'!$B$14,Paramètres!$A$1:$I$89,3,0)*VLOOKUP('Données projet'!$B$14,Paramètres!$A$1:$I$89,5,0)</f>
        <v>215.13023999999987</v>
      </c>
      <c r="DQ71" s="13">
        <f t="shared" si="97"/>
        <v>53.055092548413953</v>
      </c>
      <c r="DR71" s="20">
        <f t="shared" si="70"/>
        <v>467.08945418848742</v>
      </c>
      <c r="DS71" s="59">
        <f t="shared" si="71"/>
        <v>760.42278752182074</v>
      </c>
      <c r="DT71" s="59">
        <f ca="1">AVERAGE(OFFSET($DS$3,0,0,'Données projet'!$E$14+1,1))-AVERAGE(OFFSET($H$3,0,0,'Données projet'!$E$14+1,1))</f>
        <v>215.37468832969444</v>
      </c>
      <c r="DU71" s="59">
        <f t="shared" si="98"/>
        <v>208.60212063136419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15.817381404797748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15.817381404797748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3.8</v>
      </c>
      <c r="EJ71" s="12">
        <f>IF('Données projet'!$A$192&gt;35,EJ70+EI71-ER70,IF(A71&lt;'Données projet'!$A$192,$EG$205^A71,IF(A71='Données projet'!$A$192,'Données projet'!$B$192,EJ70+EI71-ER70)))</f>
        <v>270.39999999999981</v>
      </c>
      <c r="EK71" s="17">
        <f>EJ71*VLOOKUP('Données projet'!$B$15,Paramètres!$A$1:$I$89,3,0)*VLOOKUP('Données projet'!$B$15,Paramètres!$A$1:$I$89,5,0)</f>
        <v>215.13023999999987</v>
      </c>
      <c r="EL71" s="13">
        <f t="shared" si="99"/>
        <v>53.055092548413953</v>
      </c>
      <c r="EM71" s="20">
        <f t="shared" si="73"/>
        <v>467.08945418848742</v>
      </c>
      <c r="EN71" s="59">
        <f t="shared" si="74"/>
        <v>760.42278752182074</v>
      </c>
      <c r="EO71" s="59">
        <f ca="1">AVERAGE(OFFSET($EN$3,0,0,'Données projet'!$E$15+1,1))-AVERAGE(OFFSET($H$3,0,0,'Données projet'!$E$15+1,1))</f>
        <v>215.37468832969444</v>
      </c>
      <c r="EP71" s="59">
        <f t="shared" si="100"/>
        <v>208.60212063136419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15.817381404797748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15.817381404797748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3.8</v>
      </c>
      <c r="FE71" s="12">
        <f>IF('Données projet'!$A$218&gt;35,FE70+FD71-FM70,IF(A71&lt;'Données projet'!$A$218,$FB$205^A71,IF(A71='Données projet'!$A$218,'Données projet'!$B$218,FE70+FD71-FM70)))</f>
        <v>270.39999999999981</v>
      </c>
      <c r="FF71" s="17">
        <f>FE71*VLOOKUP('Données projet'!$B$16,Paramètres!$A$1:$I$89,3,0)*VLOOKUP('Données projet'!$B$16,Paramètres!$A$1:$I$89,5,0)</f>
        <v>219.34847999999982</v>
      </c>
      <c r="FG71" s="13">
        <f t="shared" si="101"/>
        <v>53.97325663418593</v>
      </c>
      <c r="FH71" s="20">
        <f t="shared" si="76"/>
        <v>476.03535797120679</v>
      </c>
      <c r="FI71" s="59">
        <f t="shared" si="77"/>
        <v>769.36869130454011</v>
      </c>
      <c r="FJ71" s="59">
        <f ca="1">AVERAGE(OFFSET($FI$3,0,0,'Données projet'!$E$16+1,1))-AVERAGE(OFFSET($H$3,0,0,'Données projet'!$E$16+1,1))</f>
        <v>220.90439367987847</v>
      </c>
      <c r="FK71" s="59">
        <f t="shared" si="102"/>
        <v>213.66046131354858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16.127526138225154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16.127526138225154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1">
        <f t="shared" si="86"/>
        <v>16.145985978099564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67">
        <f t="shared" si="56"/>
        <v>418.94021891185668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16.8</v>
      </c>
      <c r="N72" s="13">
        <f>IF('Données projet'!$A$36&gt;35,N71+M72-V71,IF(A72&lt;'Données projet'!$A$36,$K$205^A72,IF(A72='Données projet'!$A$36,'Données projet'!$B$36,N71+M72-V71)))</f>
        <v>414.40000000000009</v>
      </c>
      <c r="O72" s="13">
        <f>N72*VLOOKUP('Données projet'!$B$9,Paramètres!$A$1:$I$89,3,0)*VLOOKUP('Données projet'!$B$9,Paramètres!$A$1:$I$89,5,0)</f>
        <v>193.93920000000003</v>
      </c>
      <c r="P72" s="13">
        <f t="shared" si="87"/>
        <v>48.409811198069384</v>
      </c>
      <c r="Q72" s="20">
        <f t="shared" si="54"/>
        <v>422.09119450330417</v>
      </c>
      <c r="R72" s="59">
        <f t="shared" si="55"/>
        <v>715.42452783663748</v>
      </c>
      <c r="S72" s="59">
        <f ca="1">AVERAGE(OFFSET($R$3,0,0,'Données projet'!$E$9+1,1))-AVERAGE(OFFSET($H$3,0,0,'Données projet'!$E$9+1,1))</f>
        <v>196.72624686715807</v>
      </c>
      <c r="T72" s="59">
        <f t="shared" si="88"/>
        <v>37.315661698104691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35.892225364521792</v>
      </c>
      <c r="AA72" s="21">
        <f>EXP(-LN(2)/25)*AA71+(1-EXP(-LN(2)/25))/(LN(2)/25)*Calculateur!V72*Calculateur!X72*VLOOKUP('Données projet'!$B$9,Paramètres!$A$1:$I$89,3,0)*0.475*44/12</f>
        <v>25.951692783076105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61.843918147597897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-1.0000000000001137</v>
      </c>
      <c r="AJ72" s="13">
        <f>AI72*VLOOKUP('Données projet'!$B$10,Paramètres!$A$1:$I$89,3,0)*VLOOKUP('Données projet'!$B$10,Paramètres!$A$1:$I$89,5,0)</f>
        <v>-0.55900000000006356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325.42940802362739</v>
      </c>
      <c r="AO72" s="59">
        <f t="shared" si="90"/>
        <v>388.87198417542277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196.07776304295729</v>
      </c>
      <c r="AV72" s="21">
        <f>EXP(-LN(2)/25)*AV71+(1-EXP(-LN(2)/25))/(LN(2)/25)*Calculateur!AQ72*Calculateur!AS72*VLOOKUP('Données projet'!$B$10,Paramètres!$A$1:$I$89,3,0)*0.475*44/12</f>
        <v>70.514695535459367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266.59245857841665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</v>
      </c>
      <c r="BE72" s="13">
        <f>BD72*VLOOKUP('Données projet'!$B$11,Paramètres!$A$1:$I$89,3,0)*VLOOKUP('Données projet'!$B$11,Paramètres!$A$1:$I$89,5,0)</f>
        <v>-0.624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162.87524915738271</v>
      </c>
      <c r="BJ72" s="59">
        <f t="shared" si="92"/>
        <v>249.37880137966658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125.09717134221313</v>
      </c>
      <c r="BQ72" s="21">
        <f>EXP(-LN(2)/25)*BQ71+(1-EXP(-LN(2)/25))/(LN(2)/25)*Calculateur!BL72*Calculateur!BN72*VLOOKUP('Données projet'!$B$11,Paramètres!$A$1:$I$89,3,0)*0.475*44/12</f>
        <v>49.715022277952521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174.81219362016566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-1.4210854715202004E-13</v>
      </c>
      <c r="BZ72" s="13">
        <f>BY72*VLOOKUP('Données projet'!$B$12,Paramètres!$A$1:$I$89,3,0)*VLOOKUP('Données projet'!$B$12,Paramètres!$A$1:$I$89,5,0)</f>
        <v>-9.3109520094003535E-14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119.88584888779422</v>
      </c>
      <c r="CE72" s="59">
        <f t="shared" si="94"/>
        <v>162.97244314258774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41.98307826212654</v>
      </c>
      <c r="CL72" s="21">
        <f>EXP(-LN(2)/25)*CL71+(1-EXP(-LN(2)/25))/(LN(2)/25)*Calculateur!CG72*Calculateur!CI72*VLOOKUP('Données projet'!$B$12,Paramètres!$A$1:$I$89,3,0)*0.475*44/12</f>
        <v>19.190549997880836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61.173628260007376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6</v>
      </c>
      <c r="CT72" s="12">
        <f>IF('Données projet'!$A$140&gt;35,CT71+CS72-DB71,IF(A72&lt;'Données projet'!$A$140,$CQ$205^A72,IF(A72='Données projet'!$A$140,'Données projet'!$B$140,CT71+CS72-DB71)))</f>
        <v>218</v>
      </c>
      <c r="CU72" s="17">
        <f>CT72*VLOOKUP('Données projet'!$B$13,Paramètres!$A$1:$I$89,3,0)*VLOOKUP('Données projet'!$B$13,Paramètres!$A$1:$I$89,5,0)</f>
        <v>221.05200000000002</v>
      </c>
      <c r="CV72" s="13">
        <f t="shared" si="95"/>
        <v>54.343469202939254</v>
      </c>
      <c r="CW72" s="20">
        <f t="shared" si="67"/>
        <v>479.64710886178597</v>
      </c>
      <c r="CX72" s="59">
        <f t="shared" si="68"/>
        <v>772.98044219511928</v>
      </c>
      <c r="CY72" s="59">
        <f ca="1">AVERAGE(OFFSET($CX$3,0,0,'Données projet'!$E$13+1,1))-AVERAGE(OFFSET($H$3,0,0,'Données projet'!$E$13+1,1))</f>
        <v>261.75887764015459</v>
      </c>
      <c r="CZ72" s="59">
        <f t="shared" si="96"/>
        <v>209.74127356028544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6.9187020485558834</v>
      </c>
      <c r="DG72" s="21">
        <f>EXP(-LN(2)/25)*DG71+(1-EXP(-LN(2)/25))/(LN(2)/25)*Calculateur!DB72*Calculateur!DD72*VLOOKUP('Données projet'!$B$13,Paramètres!$A$1:$I$89,3,0)*0.475*44/12</f>
        <v>16.405132346114726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23.323834394670609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3.8</v>
      </c>
      <c r="DO72" s="12">
        <f>IF('Données projet'!$A$166&gt;35,DO71+DN72-DW71,IF(A72&lt;'Données projet'!$A$166,$DL$205^A72,IF(A72='Données projet'!$A$166,'Données projet'!$B$166,DO71+DN72-DW71)))</f>
        <v>274.19999999999982</v>
      </c>
      <c r="DP72" s="17">
        <f>DO72*VLOOKUP('Données projet'!$B$14,Paramètres!$A$1:$I$89,3,0)*VLOOKUP('Données projet'!$B$14,Paramètres!$A$1:$I$89,5,0)</f>
        <v>218.15351999999984</v>
      </c>
      <c r="DQ72" s="13">
        <f t="shared" si="97"/>
        <v>53.713365763106502</v>
      </c>
      <c r="DR72" s="20">
        <f t="shared" si="70"/>
        <v>473.50149270407684</v>
      </c>
      <c r="DS72" s="59">
        <f t="shared" si="71"/>
        <v>766.83482603741015</v>
      </c>
      <c r="DT72" s="59">
        <f ca="1">AVERAGE(OFFSET($DS$3,0,0,'Données projet'!$E$14+1,1))-AVERAGE(OFFSET($H$3,0,0,'Données projet'!$E$14+1,1))</f>
        <v>215.37468832969444</v>
      </c>
      <c r="DU72" s="59">
        <f t="shared" si="98"/>
        <v>208.60212063136419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15.507212203099694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15.507212203099694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3.8</v>
      </c>
      <c r="EJ72" s="12">
        <f>IF('Données projet'!$A$192&gt;35,EJ71+EI72-ER71,IF(A72&lt;'Données projet'!$A$192,$EG$205^A72,IF(A72='Données projet'!$A$192,'Données projet'!$B$192,EJ71+EI72-ER71)))</f>
        <v>274.19999999999982</v>
      </c>
      <c r="EK72" s="17">
        <f>EJ72*VLOOKUP('Données projet'!$B$15,Paramètres!$A$1:$I$89,3,0)*VLOOKUP('Données projet'!$B$15,Paramètres!$A$1:$I$89,5,0)</f>
        <v>218.15351999999984</v>
      </c>
      <c r="EL72" s="13">
        <f t="shared" si="99"/>
        <v>53.713365763106502</v>
      </c>
      <c r="EM72" s="20">
        <f t="shared" si="73"/>
        <v>473.50149270407684</v>
      </c>
      <c r="EN72" s="59">
        <f t="shared" si="74"/>
        <v>766.83482603741015</v>
      </c>
      <c r="EO72" s="59">
        <f ca="1">AVERAGE(OFFSET($EN$3,0,0,'Données projet'!$E$15+1,1))-AVERAGE(OFFSET($H$3,0,0,'Données projet'!$E$15+1,1))</f>
        <v>215.37468832969444</v>
      </c>
      <c r="EP72" s="59">
        <f t="shared" si="100"/>
        <v>208.60212063136419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15.507212203099694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15.507212203099694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3.8</v>
      </c>
      <c r="FE72" s="12">
        <f>IF('Données projet'!$A$218&gt;35,FE71+FD72-FM71,IF(A72&lt;'Données projet'!$A$218,$FB$205^A72,IF(A72='Données projet'!$A$218,'Données projet'!$B$218,FE71+FD72-FM71)))</f>
        <v>274.19999999999982</v>
      </c>
      <c r="FF72" s="17">
        <f>FE72*VLOOKUP('Données projet'!$B$16,Paramètres!$A$1:$I$89,3,0)*VLOOKUP('Données projet'!$B$16,Paramètres!$A$1:$I$89,5,0)</f>
        <v>222.43103999999988</v>
      </c>
      <c r="FG72" s="13">
        <f t="shared" si="101"/>
        <v>54.642921833989192</v>
      </c>
      <c r="FH72" s="20">
        <f t="shared" si="76"/>
        <v>482.57048352753094</v>
      </c>
      <c r="FI72" s="59">
        <f t="shared" si="77"/>
        <v>775.90381686086425</v>
      </c>
      <c r="FJ72" s="59">
        <f ca="1">AVERAGE(OFFSET($FI$3,0,0,'Données projet'!$E$16+1,1))-AVERAGE(OFFSET($H$3,0,0,'Données projet'!$E$16+1,1))</f>
        <v>220.90439367987847</v>
      </c>
      <c r="FK72" s="59">
        <f t="shared" si="102"/>
        <v>213.66046131354858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15.811275187474198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15.811275187474198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1">
        <f t="shared" si="86"/>
        <v>16.352574732529348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67">
        <f t="shared" si="56"/>
        <v>420.71286765915522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16.8</v>
      </c>
      <c r="N73" s="13">
        <f>IF('Données projet'!$A$36&gt;35,N72+M73-V72,IF(A73&lt;'Données projet'!$A$36,$K$205^A73,IF(A73='Données projet'!$A$36,'Données projet'!$B$36,N72+M73-V72)))</f>
        <v>431.2000000000001</v>
      </c>
      <c r="O73" s="13">
        <f>N73*VLOOKUP('Données projet'!$B$9,Paramètres!$A$1:$I$89,3,0)*VLOOKUP('Données projet'!$B$9,Paramètres!$A$1:$I$89,5,0)</f>
        <v>201.80160000000004</v>
      </c>
      <c r="P73" s="13">
        <f t="shared" si="87"/>
        <v>50.139897992681668</v>
      </c>
      <c r="Q73" s="20">
        <f t="shared" si="54"/>
        <v>438.79810900392067</v>
      </c>
      <c r="R73" s="59">
        <f t="shared" si="55"/>
        <v>732.13144233725393</v>
      </c>
      <c r="S73" s="59">
        <f ca="1">AVERAGE(OFFSET($R$3,0,0,'Données projet'!$E$9+1,1))-AVERAGE(OFFSET($H$3,0,0,'Données projet'!$E$9+1,1))</f>
        <v>196.72624686715807</v>
      </c>
      <c r="T73" s="59">
        <f t="shared" si="88"/>
        <v>37.315661698104691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35.188400717219331</v>
      </c>
      <c r="AA73" s="21">
        <f>EXP(-LN(2)/25)*AA72+(1-EXP(-LN(2)/25))/(LN(2)/25)*Calculateur!V73*Calculateur!X73*VLOOKUP('Données projet'!$B$9,Paramètres!$A$1:$I$89,3,0)*0.475*44/12</f>
        <v>25.242042379182678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60.430443096402009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-1.0000000000001137</v>
      </c>
      <c r="AJ73" s="13">
        <f>AI73*VLOOKUP('Données projet'!$B$10,Paramètres!$A$1:$I$89,3,0)*VLOOKUP('Données projet'!$B$10,Paramètres!$A$1:$I$89,5,0)</f>
        <v>-0.55900000000006356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325.42940802362739</v>
      </c>
      <c r="AO73" s="59">
        <f t="shared" si="90"/>
        <v>388.87198417542277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192.23279770531127</v>
      </c>
      <c r="AV73" s="21">
        <f>EXP(-LN(2)/25)*AV72+(1-EXP(-LN(2)/25))/(LN(2)/25)*Calculateur!AQ73*Calculateur!AS73*VLOOKUP('Données projet'!$B$10,Paramètres!$A$1:$I$89,3,0)*0.475*44/12</f>
        <v>68.586467477835555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260.81926518314685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</v>
      </c>
      <c r="BE73" s="13">
        <f>BD73*VLOOKUP('Données projet'!$B$11,Paramètres!$A$1:$I$89,3,0)*VLOOKUP('Données projet'!$B$11,Paramètres!$A$1:$I$89,5,0)</f>
        <v>-0.624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162.87524915738271</v>
      </c>
      <c r="BJ73" s="59">
        <f t="shared" si="92"/>
        <v>249.37880137966658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122.64409211393267</v>
      </c>
      <c r="BQ73" s="21">
        <f>EXP(-LN(2)/25)*BQ72+(1-EXP(-LN(2)/25))/(LN(2)/25)*Calculateur!BL73*Calculateur!BN73*VLOOKUP('Données projet'!$B$11,Paramètres!$A$1:$I$89,3,0)*0.475*44/12</f>
        <v>48.35556237936251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170.99965449329517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-1.4210854715202004E-13</v>
      </c>
      <c r="BZ73" s="13">
        <f>BY73*VLOOKUP('Données projet'!$B$12,Paramètres!$A$1:$I$89,3,0)*VLOOKUP('Données projet'!$B$12,Paramètres!$A$1:$I$89,5,0)</f>
        <v>-9.3109520094003535E-14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119.88584888779422</v>
      </c>
      <c r="CE73" s="59">
        <f t="shared" si="94"/>
        <v>162.97244314258774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41.159815704555484</v>
      </c>
      <c r="CL73" s="21">
        <f>EXP(-LN(2)/25)*CL72+(1-EXP(-LN(2)/25))/(LN(2)/25)*Calculateur!CG73*Calculateur!CI73*VLOOKUP('Données projet'!$B$12,Paramètres!$A$1:$I$89,3,0)*0.475*44/12</f>
        <v>18.665783399001622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59.82559910355711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6</v>
      </c>
      <c r="CT73" s="12">
        <f>IF('Données projet'!$A$140&gt;35,CT72+CS73-DB72,IF(A73&lt;'Données projet'!$A$140,$CQ$205^A73,IF(A73='Données projet'!$A$140,'Données projet'!$B$140,CT72+CS73-DB72)))</f>
        <v>224</v>
      </c>
      <c r="CU73" s="17">
        <f>CT73*VLOOKUP('Données projet'!$B$13,Paramètres!$A$1:$I$89,3,0)*VLOOKUP('Données projet'!$B$13,Paramètres!$A$1:$I$89,5,0)</f>
        <v>227.136</v>
      </c>
      <c r="CV73" s="13">
        <f t="shared" si="95"/>
        <v>55.662966886685133</v>
      </c>
      <c r="CW73" s="20">
        <f t="shared" si="67"/>
        <v>492.54153399430999</v>
      </c>
      <c r="CX73" s="59">
        <f t="shared" si="68"/>
        <v>785.8748673276433</v>
      </c>
      <c r="CY73" s="59">
        <f ca="1">AVERAGE(OFFSET($CX$3,0,0,'Données projet'!$E$13+1,1))-AVERAGE(OFFSET($H$3,0,0,'Données projet'!$E$13+1,1))</f>
        <v>261.75887764015459</v>
      </c>
      <c r="CZ73" s="59">
        <f t="shared" si="96"/>
        <v>209.74127356028544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6.7830305213752622</v>
      </c>
      <c r="DG73" s="21">
        <f>EXP(-LN(2)/25)*DG72+(1-EXP(-LN(2)/25))/(LN(2)/25)*Calculateur!DB73*Calculateur!DD73*VLOOKUP('Données projet'!$B$13,Paramètres!$A$1:$I$89,3,0)*0.475*44/12</f>
        <v>15.956533139401804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22.739563660777065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278</v>
      </c>
      <c r="DM73" s="12">
        <f>VLOOKUP(A73,'Données projet'!$A$165:$I$185,9,0)</f>
        <v>3.8</v>
      </c>
      <c r="DN73" s="12">
        <f t="array" ref="DN73">INDEX(DM:DM,MIN(IF(ISNUMBER(DM73:DM269),ROW(DM73:DM269),"")))</f>
        <v>3.8</v>
      </c>
      <c r="DO73" s="12">
        <f>IF('Données projet'!$A$166&gt;35,DO72+DN73-DW72,IF(A73&lt;'Données projet'!$A$166,$DL$205^A73,IF(A73='Données projet'!$A$166,'Données projet'!$B$166,DO72+DN73-DW72)))</f>
        <v>277.99999999999983</v>
      </c>
      <c r="DP73" s="17">
        <f>DO73*VLOOKUP('Données projet'!$B$14,Paramètres!$A$1:$I$89,3,0)*VLOOKUP('Données projet'!$B$14,Paramètres!$A$1:$I$89,5,0)</f>
        <v>221.17679999999987</v>
      </c>
      <c r="DQ73" s="13">
        <f t="shared" si="97"/>
        <v>54.370577918219368</v>
      </c>
      <c r="DR73" s="20">
        <f t="shared" si="70"/>
        <v>479.91168320756515</v>
      </c>
      <c r="DS73" s="59">
        <f t="shared" si="71"/>
        <v>773.2450165408984</v>
      </c>
      <c r="DT73" s="59">
        <f ca="1">AVERAGE(OFFSET($DS$3,0,0,'Données projet'!$E$14+1,1))-AVERAGE(OFFSET($H$3,0,0,'Données projet'!$E$14+1,1))</f>
        <v>215.37468832969444</v>
      </c>
      <c r="DU73" s="59">
        <f t="shared" si="98"/>
        <v>208.60212063136419</v>
      </c>
      <c r="DV73" s="15">
        <f>IF(ISNA(VLOOKUP(A73,'Données projet'!$A$165:$I$185,3,0)),0,VLOOKUP(A73,'Données projet'!$A$165:$I$185,3,0))</f>
        <v>11</v>
      </c>
      <c r="DW73" s="15">
        <f>IF(ISNA(VLOOKUP(A73,'Données projet'!$A$165:$I$185,4,0)),0,VLOOKUP(A73,'Données projet'!$A$165:$I$185,4,0))</f>
        <v>10</v>
      </c>
      <c r="DX73" s="16">
        <f>IF(ISNA(VLOOKUP(A73,'Données projet'!$A$165:$I$185,5,0)),0%,VLOOKUP(A73,'Données projet'!$A$165:$I$185,5,0)*VLOOKUP('Données projet'!$B$14,Paramètres!$A$1:$I$89,7,0))</f>
        <v>0.318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17.999974134243807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17.999974134243807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278</v>
      </c>
      <c r="EH73" s="12">
        <f>VLOOKUP(A73,'Données projet'!$A$191:$I$211,9,0)</f>
        <v>3.8</v>
      </c>
      <c r="EI73" s="12">
        <f t="array" ref="EI73">INDEX(EH:EH,MIN(IF(ISNUMBER(EH73:EH269),ROW(EH73:EH269),"")))</f>
        <v>3.8</v>
      </c>
      <c r="EJ73" s="12">
        <f>IF('Données projet'!$A$192&gt;35,EJ72+EI73-ER72,IF(A73&lt;'Données projet'!$A$192,$EG$205^A73,IF(A73='Données projet'!$A$192,'Données projet'!$B$192,EJ72+EI73-ER72)))</f>
        <v>277.99999999999983</v>
      </c>
      <c r="EK73" s="17">
        <f>EJ73*VLOOKUP('Données projet'!$B$15,Paramètres!$A$1:$I$89,3,0)*VLOOKUP('Données projet'!$B$15,Paramètres!$A$1:$I$89,5,0)</f>
        <v>221.17679999999987</v>
      </c>
      <c r="EL73" s="13">
        <f t="shared" si="99"/>
        <v>54.370577918219368</v>
      </c>
      <c r="EM73" s="20">
        <f t="shared" si="73"/>
        <v>479.91168320756515</v>
      </c>
      <c r="EN73" s="59">
        <f t="shared" si="74"/>
        <v>773.2450165408984</v>
      </c>
      <c r="EO73" s="59">
        <f ca="1">AVERAGE(OFFSET($EN$3,0,0,'Données projet'!$E$15+1,1))-AVERAGE(OFFSET($H$3,0,0,'Données projet'!$E$15+1,1))</f>
        <v>215.37468832969444</v>
      </c>
      <c r="EP73" s="59">
        <f t="shared" si="100"/>
        <v>208.60212063136419</v>
      </c>
      <c r="EQ73" s="15">
        <f>IF(ISNA(VLOOKUP(A73,'Données projet'!$A$191:$I$211,3,0)),0,VLOOKUP(A73,'Données projet'!$A$191:$I$211,3,0))</f>
        <v>11</v>
      </c>
      <c r="ER73" s="15">
        <f>IF(ISNA(VLOOKUP(A73,'Données projet'!$A$191:$I$211,4,0)),0,VLOOKUP(A73,'Données projet'!$A$191:$I$211,4,0))</f>
        <v>10</v>
      </c>
      <c r="ES73" s="16">
        <f>IF(ISNA(VLOOKUP(A73,'Données projet'!$A$191:$I$211,5,0)),0%,VLOOKUP(A73,'Données projet'!$A$191:$I$211,5,0)*VLOOKUP('Données projet'!$B$15,Paramètres!$A$1:$I$89,7,0))</f>
        <v>0.318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17.999974134243807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17.999974134243807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278</v>
      </c>
      <c r="FC73" s="12">
        <f>VLOOKUP(A73,'Données projet'!$A$217:$I$237,9,0)</f>
        <v>3.8</v>
      </c>
      <c r="FD73" s="12">
        <f t="array" ref="FD73">INDEX(FC:FC,MIN(IF(ISNUMBER(FC73:FC269),ROW(FC73:FC269),"")))</f>
        <v>3.8</v>
      </c>
      <c r="FE73" s="12">
        <f>IF('Données projet'!$A$218&gt;35,FE72+FD73-FM72,IF(A73&lt;'Données projet'!$A$218,$FB$205^A73,IF(A73='Données projet'!$A$218,'Données projet'!$B$218,FE72+FD73-FM72)))</f>
        <v>277.99999999999983</v>
      </c>
      <c r="FF73" s="17">
        <f>FE73*VLOOKUP('Données projet'!$B$16,Paramètres!$A$1:$I$89,3,0)*VLOOKUP('Données projet'!$B$16,Paramètres!$A$1:$I$89,5,0)</f>
        <v>225.51359999999988</v>
      </c>
      <c r="FG73" s="13">
        <f t="shared" si="101"/>
        <v>55.311507611662591</v>
      </c>
      <c r="FH73" s="20">
        <f t="shared" si="76"/>
        <v>489.10372909031207</v>
      </c>
      <c r="FI73" s="59">
        <f t="shared" si="77"/>
        <v>782.43706242364533</v>
      </c>
      <c r="FJ73" s="59">
        <f ca="1">AVERAGE(OFFSET($FI$3,0,0,'Données projet'!$E$16+1,1))-AVERAGE(OFFSET($H$3,0,0,'Données projet'!$E$16+1,1))</f>
        <v>220.90439367987847</v>
      </c>
      <c r="FK73" s="59">
        <f t="shared" si="102"/>
        <v>213.66046131354858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0.318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18.352914803542706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18.352914803542706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1">
        <f t="shared" si="86"/>
        <v>16.558820232488433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67">
        <f t="shared" si="56"/>
        <v>422.48491857158399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16.8</v>
      </c>
      <c r="N74" s="13">
        <f>IF('Données projet'!$A$36&gt;35,N73+M74-V73,IF(A74&lt;'Données projet'!$A$36,$K$205^A74,IF(A74='Données projet'!$A$36,'Données projet'!$B$36,N73+M74-V73)))</f>
        <v>448.00000000000011</v>
      </c>
      <c r="O74" s="13">
        <f>N74*VLOOKUP('Données projet'!$B$9,Paramètres!$A$1:$I$89,3,0)*VLOOKUP('Données projet'!$B$9,Paramètres!$A$1:$I$89,5,0)</f>
        <v>209.66400000000004</v>
      </c>
      <c r="P74" s="13">
        <f t="shared" si="87"/>
        <v>51.862154403304537</v>
      </c>
      <c r="Q74" s="20">
        <f t="shared" si="54"/>
        <v>455.49138558575549</v>
      </c>
      <c r="R74" s="59">
        <f t="shared" si="55"/>
        <v>748.82471891908881</v>
      </c>
      <c r="S74" s="59">
        <f ca="1">AVERAGE(OFFSET($R$3,0,0,'Données projet'!$E$9+1,1))-AVERAGE(OFFSET($H$3,0,0,'Données projet'!$E$9+1,1))</f>
        <v>196.72624686715807</v>
      </c>
      <c r="T74" s="59">
        <f t="shared" si="88"/>
        <v>37.315661698104691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34.49837764195982</v>
      </c>
      <c r="AA74" s="21">
        <f>EXP(-LN(2)/25)*AA73+(1-EXP(-LN(2)/25))/(LN(2)/25)*Calculateur!V74*Calculateur!X74*VLOOKUP('Données projet'!$B$9,Paramètres!$A$1:$I$89,3,0)*0.475*44/12</f>
        <v>24.551797402902611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59.050175044862428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-1.0000000000001137</v>
      </c>
      <c r="AJ74" s="13">
        <f>AI74*VLOOKUP('Données projet'!$B$10,Paramètres!$A$1:$I$89,3,0)*VLOOKUP('Données projet'!$B$10,Paramètres!$A$1:$I$89,5,0)</f>
        <v>-0.55900000000006356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325.42940802362739</v>
      </c>
      <c r="AO74" s="59">
        <f t="shared" si="90"/>
        <v>388.87198417542277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188.46322979273918</v>
      </c>
      <c r="AV74" s="21">
        <f>EXP(-LN(2)/25)*AV73+(1-EXP(-LN(2)/25))/(LN(2)/25)*Calculateur!AQ74*Calculateur!AS74*VLOOKUP('Données projet'!$B$10,Paramètres!$A$1:$I$89,3,0)*0.475*44/12</f>
        <v>66.71096691784858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255.17419671058775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</v>
      </c>
      <c r="BE74" s="13">
        <f>BD74*VLOOKUP('Données projet'!$B$11,Paramètres!$A$1:$I$89,3,0)*VLOOKUP('Données projet'!$B$11,Paramètres!$A$1:$I$89,5,0)</f>
        <v>-0.624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162.87524915738271</v>
      </c>
      <c r="BJ74" s="59">
        <f t="shared" si="92"/>
        <v>249.37880137966658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120.23911627308821</v>
      </c>
      <c r="BQ74" s="21">
        <f>EXP(-LN(2)/25)*BQ73+(1-EXP(-LN(2)/25))/(LN(2)/25)*Calculateur!BL74*Calculateur!BN74*VLOOKUP('Données projet'!$B$11,Paramètres!$A$1:$I$89,3,0)*0.475*44/12</f>
        <v>47.033276983190333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167.27239325627855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-1.4210854715202004E-13</v>
      </c>
      <c r="BZ74" s="13">
        <f>BY74*VLOOKUP('Données projet'!$B$12,Paramètres!$A$1:$I$89,3,0)*VLOOKUP('Données projet'!$B$12,Paramètres!$A$1:$I$89,5,0)</f>
        <v>-9.3109520094003535E-14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119.88584888779422</v>
      </c>
      <c r="CE74" s="59">
        <f t="shared" si="94"/>
        <v>162.97244314258774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40.352696823597817</v>
      </c>
      <c r="CL74" s="21">
        <f>EXP(-LN(2)/25)*CL73+(1-EXP(-LN(2)/25))/(LN(2)/25)*Calculateur!CG74*Calculateur!CI74*VLOOKUP('Données projet'!$B$12,Paramètres!$A$1:$I$89,3,0)*0.475*44/12</f>
        <v>18.155366570365036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58.508063393962857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6</v>
      </c>
      <c r="CT74" s="12">
        <f>IF('Données projet'!$A$140&gt;35,CT73+CS74-DB73,IF(A74&lt;'Données projet'!$A$140,$CQ$205^A74,IF(A74='Données projet'!$A$140,'Données projet'!$B$140,CT73+CS74-DB73)))</f>
        <v>230</v>
      </c>
      <c r="CU74" s="17">
        <f>CT74*VLOOKUP('Données projet'!$B$13,Paramètres!$A$1:$I$89,3,0)*VLOOKUP('Données projet'!$B$13,Paramètres!$A$1:$I$89,5,0)</f>
        <v>233.22</v>
      </c>
      <c r="CV74" s="13">
        <f t="shared" si="95"/>
        <v>56.978356452817273</v>
      </c>
      <c r="CW74" s="20">
        <f t="shared" si="67"/>
        <v>505.42880415532341</v>
      </c>
      <c r="CX74" s="59">
        <f t="shared" si="68"/>
        <v>798.76213748865666</v>
      </c>
      <c r="CY74" s="59">
        <f ca="1">AVERAGE(OFFSET($CX$3,0,0,'Données projet'!$E$13+1,1))-AVERAGE(OFFSET($H$3,0,0,'Données projet'!$E$13+1,1))</f>
        <v>261.75887764015459</v>
      </c>
      <c r="CZ74" s="59">
        <f t="shared" si="96"/>
        <v>209.74127356028544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6.6500194300911932</v>
      </c>
      <c r="DG74" s="21">
        <f>EXP(-LN(2)/25)*DG73+(1-EXP(-LN(2)/25))/(LN(2)/25)*Calculateur!DB74*Calculateur!DD74*VLOOKUP('Données projet'!$B$13,Paramètres!$A$1:$I$89,3,0)*0.475*44/12</f>
        <v>15.520200901587254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22.170220331678447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3.4</v>
      </c>
      <c r="DO74" s="12">
        <f>IF('Données projet'!$A$166&gt;35,DO73+DN74-DW73,IF(A74&lt;'Données projet'!$A$166,$DL$205^A74,IF(A74='Données projet'!$A$166,'Données projet'!$B$166,DO73+DN74-DW73)))</f>
        <v>271.39999999999981</v>
      </c>
      <c r="DP74" s="17">
        <f>DO74*VLOOKUP('Données projet'!$B$14,Paramètres!$A$1:$I$89,3,0)*VLOOKUP('Données projet'!$B$14,Paramètres!$A$1:$I$89,5,0)</f>
        <v>215.92583999999985</v>
      </c>
      <c r="DQ74" s="13">
        <f t="shared" si="97"/>
        <v>53.22842614105901</v>
      </c>
      <c r="DR74" s="20">
        <f t="shared" si="70"/>
        <v>468.7770135290109</v>
      </c>
      <c r="DS74" s="59">
        <f t="shared" si="71"/>
        <v>762.11034686234416</v>
      </c>
      <c r="DT74" s="59">
        <f ca="1">AVERAGE(OFFSET($DS$3,0,0,'Données projet'!$E$14+1,1))-AVERAGE(OFFSET($H$3,0,0,'Données projet'!$E$14+1,1))</f>
        <v>215.37468832969444</v>
      </c>
      <c r="DU74" s="59">
        <f t="shared" si="98"/>
        <v>208.60212063136419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17.647005620371431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17.647005620371431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3.4</v>
      </c>
      <c r="EJ74" s="12">
        <f>IF('Données projet'!$A$192&gt;35,EJ73+EI74-ER73,IF(A74&lt;'Données projet'!$A$192,$EG$205^A74,IF(A74='Données projet'!$A$192,'Données projet'!$B$192,EJ73+EI74-ER73)))</f>
        <v>271.39999999999981</v>
      </c>
      <c r="EK74" s="17">
        <f>EJ74*VLOOKUP('Données projet'!$B$15,Paramètres!$A$1:$I$89,3,0)*VLOOKUP('Données projet'!$B$15,Paramètres!$A$1:$I$89,5,0)</f>
        <v>215.92583999999985</v>
      </c>
      <c r="EL74" s="13">
        <f t="shared" si="99"/>
        <v>53.22842614105901</v>
      </c>
      <c r="EM74" s="20">
        <f t="shared" si="73"/>
        <v>468.7770135290109</v>
      </c>
      <c r="EN74" s="59">
        <f t="shared" si="74"/>
        <v>762.11034686234416</v>
      </c>
      <c r="EO74" s="59">
        <f ca="1">AVERAGE(OFFSET($EN$3,0,0,'Données projet'!$E$15+1,1))-AVERAGE(OFFSET($H$3,0,0,'Données projet'!$E$15+1,1))</f>
        <v>215.37468832969444</v>
      </c>
      <c r="EP74" s="59">
        <f t="shared" si="100"/>
        <v>208.60212063136419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17.647005620371431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17.647005620371431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3.4</v>
      </c>
      <c r="FE74" s="12">
        <f>IF('Données projet'!$A$218&gt;35,FE73+FD74-FM73,IF(A74&lt;'Données projet'!$A$218,$FB$205^A74,IF(A74='Données projet'!$A$218,'Données projet'!$B$218,FE73+FD74-FM73)))</f>
        <v>271.39999999999981</v>
      </c>
      <c r="FF74" s="17">
        <f>FE74*VLOOKUP('Données projet'!$B$16,Paramètres!$A$1:$I$89,3,0)*VLOOKUP('Données projet'!$B$16,Paramètres!$A$1:$I$89,5,0)</f>
        <v>220.15967999999987</v>
      </c>
      <c r="FG74" s="13">
        <f t="shared" si="101"/>
        <v>54.149589913986027</v>
      </c>
      <c r="FH74" s="20">
        <f t="shared" si="76"/>
        <v>477.75531176685877</v>
      </c>
      <c r="FI74" s="59">
        <f t="shared" si="77"/>
        <v>771.08864510019202</v>
      </c>
      <c r="FJ74" s="59">
        <f ca="1">AVERAGE(OFFSET($FI$3,0,0,'Données projet'!$E$16+1,1))-AVERAGE(OFFSET($H$3,0,0,'Données projet'!$E$16+1,1))</f>
        <v>220.90439367987847</v>
      </c>
      <c r="FK74" s="59">
        <f t="shared" si="102"/>
        <v>213.66046131354858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17.99302533841793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17.99302533841793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1">
        <f t="shared" si="86"/>
        <v>16.764727871227809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67">
        <f t="shared" si="56"/>
        <v>424.2563810423884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16.8</v>
      </c>
      <c r="N75" s="13">
        <f>IF('Données projet'!$A$36&gt;35,N74+M75-V74,IF(A75&lt;'Données projet'!$A$36,$K$205^A75,IF(A75='Données projet'!$A$36,'Données projet'!$B$36,N74+M75-V74)))</f>
        <v>464.80000000000013</v>
      </c>
      <c r="O75" s="13">
        <f>N75*VLOOKUP('Données projet'!$B$9,Paramètres!$A$1:$I$89,3,0)*VLOOKUP('Données projet'!$B$9,Paramètres!$A$1:$I$89,5,0)</f>
        <v>217.52640000000005</v>
      </c>
      <c r="P75" s="13">
        <f t="shared" si="87"/>
        <v>53.576907690651254</v>
      </c>
      <c r="Q75" s="20">
        <f t="shared" si="54"/>
        <v>472.17159422788433</v>
      </c>
      <c r="R75" s="59">
        <f t="shared" si="55"/>
        <v>765.50492756121764</v>
      </c>
      <c r="S75" s="59">
        <f ca="1">AVERAGE(OFFSET($R$3,0,0,'Données projet'!$E$9+1,1))-AVERAGE(OFFSET($H$3,0,0,'Données projet'!$E$9+1,1))</f>
        <v>196.72624686715807</v>
      </c>
      <c r="T75" s="59">
        <f t="shared" si="88"/>
        <v>37.315661698104691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33.821885498333629</v>
      </c>
      <c r="AA75" s="21">
        <f>EXP(-LN(2)/25)*AA74+(1-EXP(-LN(2)/25))/(LN(2)/25)*Calculateur!V75*Calculateur!X75*VLOOKUP('Données projet'!$B$9,Paramètres!$A$1:$I$89,3,0)*0.475*44/12</f>
        <v>23.880427211797329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57.702312710130954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-1.0000000000001137</v>
      </c>
      <c r="AJ75" s="13">
        <f>AI75*VLOOKUP('Données projet'!$B$10,Paramètres!$A$1:$I$89,3,0)*VLOOKUP('Données projet'!$B$10,Paramètres!$A$1:$I$89,5,0)</f>
        <v>-0.55900000000006356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325.42940802362739</v>
      </c>
      <c r="AO75" s="59">
        <f t="shared" si="90"/>
        <v>388.87198417542277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184.76758080772325</v>
      </c>
      <c r="AV75" s="21">
        <f>EXP(-LN(2)/25)*AV74+(1-EXP(-LN(2)/25))/(LN(2)/25)*Calculateur!AQ75*Calculateur!AS75*VLOOKUP('Données projet'!$B$10,Paramètres!$A$1:$I$89,3,0)*0.475*44/12</f>
        <v>64.886752019302733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249.654332827026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</v>
      </c>
      <c r="BE75" s="13">
        <f>BD75*VLOOKUP('Données projet'!$B$11,Paramètres!$A$1:$I$89,3,0)*VLOOKUP('Données projet'!$B$11,Paramètres!$A$1:$I$89,5,0)</f>
        <v>-0.624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162.87524915738271</v>
      </c>
      <c r="BJ75" s="59">
        <f t="shared" si="92"/>
        <v>249.37880137966658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117.8813005415923</v>
      </c>
      <c r="BQ75" s="21">
        <f>EXP(-LN(2)/25)*BQ74+(1-EXP(-LN(2)/25))/(LN(2)/25)*Calculateur!BL75*Calculateur!BN75*VLOOKUP('Données projet'!$B$11,Paramètres!$A$1:$I$89,3,0)*0.475*44/12</f>
        <v>45.74714955071245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163.62845009230475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-1.4210854715202004E-13</v>
      </c>
      <c r="BZ75" s="13">
        <f>BY75*VLOOKUP('Données projet'!$B$12,Paramètres!$A$1:$I$89,3,0)*VLOOKUP('Données projet'!$B$12,Paramètres!$A$1:$I$89,5,0)</f>
        <v>-9.3109520094003535E-14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119.88584888779422</v>
      </c>
      <c r="CE75" s="59">
        <f t="shared" si="94"/>
        <v>162.97244314258774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39.561405051601824</v>
      </c>
      <c r="CL75" s="21">
        <f>EXP(-LN(2)/25)*CL74+(1-EXP(-LN(2)/25))/(LN(2)/25)*Calculateur!CG75*Calculateur!CI75*VLOOKUP('Données projet'!$B$12,Paramètres!$A$1:$I$89,3,0)*0.475*44/12</f>
        <v>17.65890711674917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57.220312168350993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6</v>
      </c>
      <c r="CT75" s="12">
        <f>IF('Données projet'!$A$140&gt;35,CT74+CS75-DB74,IF(A75&lt;'Données projet'!$A$140,$CQ$205^A75,IF(A75='Données projet'!$A$140,'Données projet'!$B$140,CT74+CS75-DB74)))</f>
        <v>236</v>
      </c>
      <c r="CU75" s="17">
        <f>CT75*VLOOKUP('Données projet'!$B$13,Paramètres!$A$1:$I$89,3,0)*VLOOKUP('Données projet'!$B$13,Paramètres!$A$1:$I$89,5,0)</f>
        <v>239.30400000000003</v>
      </c>
      <c r="CV75" s="13">
        <f t="shared" si="95"/>
        <v>58.28975738997584</v>
      </c>
      <c r="CW75" s="20">
        <f t="shared" si="67"/>
        <v>518.3091274542079</v>
      </c>
      <c r="CX75" s="59">
        <f t="shared" si="68"/>
        <v>811.64246078754127</v>
      </c>
      <c r="CY75" s="59">
        <f ca="1">AVERAGE(OFFSET($CX$3,0,0,'Données projet'!$E$13+1,1))-AVERAGE(OFFSET($H$3,0,0,'Données projet'!$E$13+1,1))</f>
        <v>261.75887764015459</v>
      </c>
      <c r="CZ75" s="59">
        <f t="shared" si="96"/>
        <v>209.74127356028544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6.5196166051784497</v>
      </c>
      <c r="DG75" s="21">
        <f>EXP(-LN(2)/25)*DG74+(1-EXP(-LN(2)/25))/(LN(2)/25)*Calculateur!DB75*Calculateur!DD75*VLOOKUP('Données projet'!$B$13,Paramètres!$A$1:$I$89,3,0)*0.475*44/12</f>
        <v>15.095800191761457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21.615416796939908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3.4</v>
      </c>
      <c r="DO75" s="12">
        <f>IF('Données projet'!$A$166&gt;35,DO74+DN75-DW74,IF(A75&lt;'Données projet'!$A$166,$DL$205^A75,IF(A75='Données projet'!$A$166,'Données projet'!$B$166,DO74+DN75-DW74)))</f>
        <v>274.79999999999978</v>
      </c>
      <c r="DP75" s="17">
        <f>DO75*VLOOKUP('Données projet'!$B$14,Paramètres!$A$1:$I$89,3,0)*VLOOKUP('Données projet'!$B$14,Paramètres!$A$1:$I$89,5,0)</f>
        <v>218.63087999999982</v>
      </c>
      <c r="DQ75" s="13">
        <f t="shared" si="97"/>
        <v>53.817206223982794</v>
      </c>
      <c r="DR75" s="20">
        <f t="shared" si="70"/>
        <v>474.51375017343634</v>
      </c>
      <c r="DS75" s="59">
        <f t="shared" si="71"/>
        <v>767.84708350676965</v>
      </c>
      <c r="DT75" s="59">
        <f ca="1">AVERAGE(OFFSET($DS$3,0,0,'Données projet'!$E$14+1,1))-AVERAGE(OFFSET($H$3,0,0,'Données projet'!$E$14+1,1))</f>
        <v>215.37468832969444</v>
      </c>
      <c r="DU75" s="59">
        <f t="shared" si="98"/>
        <v>208.60212063136419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17.300958603766556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17.300958603766556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3.4</v>
      </c>
      <c r="EJ75" s="12">
        <f>IF('Données projet'!$A$192&gt;35,EJ74+EI75-ER74,IF(A75&lt;'Données projet'!$A$192,$EG$205^A75,IF(A75='Données projet'!$A$192,'Données projet'!$B$192,EJ74+EI75-ER74)))</f>
        <v>274.79999999999978</v>
      </c>
      <c r="EK75" s="17">
        <f>EJ75*VLOOKUP('Données projet'!$B$15,Paramètres!$A$1:$I$89,3,0)*VLOOKUP('Données projet'!$B$15,Paramètres!$A$1:$I$89,5,0)</f>
        <v>218.63087999999982</v>
      </c>
      <c r="EL75" s="13">
        <f t="shared" si="99"/>
        <v>53.817206223982794</v>
      </c>
      <c r="EM75" s="20">
        <f t="shared" si="73"/>
        <v>474.51375017343634</v>
      </c>
      <c r="EN75" s="59">
        <f t="shared" si="74"/>
        <v>767.84708350676965</v>
      </c>
      <c r="EO75" s="59">
        <f ca="1">AVERAGE(OFFSET($EN$3,0,0,'Données projet'!$E$15+1,1))-AVERAGE(OFFSET($H$3,0,0,'Données projet'!$E$15+1,1))</f>
        <v>215.37468832969444</v>
      </c>
      <c r="EP75" s="59">
        <f t="shared" si="100"/>
        <v>208.60212063136419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17.300958603766556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17.300958603766556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3.4</v>
      </c>
      <c r="FE75" s="12">
        <f>IF('Données projet'!$A$218&gt;35,FE74+FD75-FM74,IF(A75&lt;'Données projet'!$A$218,$FB$205^A75,IF(A75='Données projet'!$A$218,'Données projet'!$B$218,FE74+FD75-FM74)))</f>
        <v>274.79999999999978</v>
      </c>
      <c r="FF75" s="17">
        <f>FE75*VLOOKUP('Données projet'!$B$16,Paramètres!$A$1:$I$89,3,0)*VLOOKUP('Données projet'!$B$16,Paramètres!$A$1:$I$89,5,0)</f>
        <v>222.91775999999984</v>
      </c>
      <c r="FG75" s="13">
        <f t="shared" si="101"/>
        <v>54.74855934350397</v>
      </c>
      <c r="FH75" s="20">
        <f t="shared" si="76"/>
        <v>483.60217285660246</v>
      </c>
      <c r="FI75" s="59">
        <f t="shared" si="77"/>
        <v>776.93550618993572</v>
      </c>
      <c r="FJ75" s="59">
        <f ca="1">AVERAGE(OFFSET($FI$3,0,0,'Données projet'!$E$16+1,1))-AVERAGE(OFFSET($H$3,0,0,'Données projet'!$E$16+1,1))</f>
        <v>220.90439367987847</v>
      </c>
      <c r="FK75" s="59">
        <f t="shared" si="102"/>
        <v>213.66046131354858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17.640193086193353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17.640193086193353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1">
        <f t="shared" si="86"/>
        <v>16.970302883579727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67">
        <f t="shared" si="56"/>
        <v>426.02726418890131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16.8</v>
      </c>
      <c r="N76" s="13">
        <f>IF('Données projet'!$A$36&gt;35,N75+M76-V75,IF(A76&lt;'Données projet'!$A$36,$K$205^A76,IF(A76='Données projet'!$A$36,'Données projet'!$B$36,N75+M76-V75)))</f>
        <v>481.60000000000014</v>
      </c>
      <c r="O76" s="13">
        <f>N76*VLOOKUP('Données projet'!$B$9,Paramètres!$A$1:$I$89,3,0)*VLOOKUP('Données projet'!$B$9,Paramètres!$A$1:$I$89,5,0)</f>
        <v>225.38880000000006</v>
      </c>
      <c r="P76" s="13">
        <f t="shared" si="87"/>
        <v>55.284460117161593</v>
      </c>
      <c r="Q76" s="20">
        <f t="shared" si="54"/>
        <v>488.83926137072314</v>
      </c>
      <c r="R76" s="59">
        <f t="shared" si="55"/>
        <v>782.17259470405645</v>
      </c>
      <c r="S76" s="59">
        <f ca="1">AVERAGE(OFFSET($R$3,0,0,'Données projet'!$E$9+1,1))-AVERAGE(OFFSET($H$3,0,0,'Données projet'!$E$9+1,1))</f>
        <v>196.72624686715807</v>
      </c>
      <c r="T76" s="59">
        <f t="shared" si="88"/>
        <v>37.315661698104691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33.158658953024485</v>
      </c>
      <c r="AA76" s="21">
        <f>EXP(-LN(2)/25)*AA75+(1-EXP(-LN(2)/25))/(LN(2)/25)*Calculateur!V76*Calculateur!X76*VLOOKUP('Données projet'!$B$9,Paramètres!$A$1:$I$89,3,0)*0.475*44/12</f>
        <v>23.227415673873644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56.386074626898129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-1.0000000000001137</v>
      </c>
      <c r="AJ76" s="13">
        <f>AI76*VLOOKUP('Données projet'!$B$10,Paramètres!$A$1:$I$89,3,0)*VLOOKUP('Données projet'!$B$10,Paramètres!$A$1:$I$89,5,0)</f>
        <v>-0.55900000000006356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325.42940802362739</v>
      </c>
      <c r="AO76" s="59">
        <f t="shared" si="90"/>
        <v>388.87198417542277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181.14440124518018</v>
      </c>
      <c r="AV76" s="21">
        <f>EXP(-LN(2)/25)*AV75+(1-EXP(-LN(2)/25))/(LN(2)/25)*Calculateur!AQ76*Calculateur!AS76*VLOOKUP('Données projet'!$B$10,Paramètres!$A$1:$I$89,3,0)*0.475*44/12</f>
        <v>63.112420373088909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244.2568216182691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</v>
      </c>
      <c r="BE76" s="13">
        <f>BD76*VLOOKUP('Données projet'!$B$11,Paramètres!$A$1:$I$89,3,0)*VLOOKUP('Données projet'!$B$11,Paramètres!$A$1:$I$89,5,0)</f>
        <v>-0.624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162.87524915738271</v>
      </c>
      <c r="BJ76" s="59">
        <f t="shared" si="92"/>
        <v>249.37880137966658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115.56972013846541</v>
      </c>
      <c r="BQ76" s="21">
        <f>EXP(-LN(2)/25)*BQ75+(1-EXP(-LN(2)/25))/(LN(2)/25)*Calculateur!BL76*Calculateur!BN76*VLOOKUP('Données projet'!$B$11,Paramètres!$A$1:$I$89,3,0)*0.475*44/12</f>
        <v>44.49619134051018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160.06591147897558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-1.4210854715202004E-13</v>
      </c>
      <c r="BZ76" s="13">
        <f>BY76*VLOOKUP('Données projet'!$B$12,Paramètres!$A$1:$I$89,3,0)*VLOOKUP('Données projet'!$B$12,Paramètres!$A$1:$I$89,5,0)</f>
        <v>-9.3109520094003535E-14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119.88584888779422</v>
      </c>
      <c r="CE76" s="59">
        <f t="shared" si="94"/>
        <v>162.97244314258774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38.785630028614349</v>
      </c>
      <c r="CL76" s="21">
        <f>EXP(-LN(2)/25)*CL75+(1-EXP(-LN(2)/25))/(LN(2)/25)*Calculateur!CG76*Calculateur!CI76*VLOOKUP('Données projet'!$B$12,Paramètres!$A$1:$I$89,3,0)*0.475*44/12</f>
        <v>17.176023373000099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55.961653401614448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6</v>
      </c>
      <c r="CT76" s="12">
        <f>IF('Données projet'!$A$140&gt;35,CT75+CS76-DB75,IF(A76&lt;'Données projet'!$A$140,$CQ$205^A76,IF(A76='Données projet'!$A$140,'Données projet'!$B$140,CT75+CS76-DB75)))</f>
        <v>242</v>
      </c>
      <c r="CU76" s="17">
        <f>CT76*VLOOKUP('Données projet'!$B$13,Paramètres!$A$1:$I$89,3,0)*VLOOKUP('Données projet'!$B$13,Paramètres!$A$1:$I$89,5,0)</f>
        <v>245.38800000000003</v>
      </c>
      <c r="CV76" s="13">
        <f t="shared" si="95"/>
        <v>59.597282764919569</v>
      </c>
      <c r="CW76" s="20">
        <f t="shared" si="67"/>
        <v>531.18270081556818</v>
      </c>
      <c r="CX76" s="59">
        <f t="shared" si="68"/>
        <v>824.51603414890155</v>
      </c>
      <c r="CY76" s="59">
        <f ca="1">AVERAGE(OFFSET($CX$3,0,0,'Données projet'!$E$13+1,1))-AVERAGE(OFFSET($H$3,0,0,'Données projet'!$E$13+1,1))</f>
        <v>261.75887764015459</v>
      </c>
      <c r="CZ76" s="59">
        <f t="shared" si="96"/>
        <v>209.74127356028544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6.3917709001243752</v>
      </c>
      <c r="DG76" s="21">
        <f>EXP(-LN(2)/25)*DG75+(1-EXP(-LN(2)/25))/(LN(2)/25)*Calculateur!DB76*Calculateur!DD76*VLOOKUP('Données projet'!$B$13,Paramètres!$A$1:$I$89,3,0)*0.475*44/12</f>
        <v>14.68300474166411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21.074775641788484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3.4</v>
      </c>
      <c r="DO76" s="12">
        <f>IF('Données projet'!$A$166&gt;35,DO75+DN76-DW75,IF(A76&lt;'Données projet'!$A$166,$DL$205^A76,IF(A76='Données projet'!$A$166,'Données projet'!$B$166,DO75+DN76-DW75)))</f>
        <v>278.19999999999976</v>
      </c>
      <c r="DP76" s="17">
        <f>DO76*VLOOKUP('Données projet'!$B$14,Paramètres!$A$1:$I$89,3,0)*VLOOKUP('Données projet'!$B$14,Paramètres!$A$1:$I$89,5,0)</f>
        <v>221.33591999999985</v>
      </c>
      <c r="DQ76" s="13">
        <f t="shared" si="97"/>
        <v>54.405138948183939</v>
      </c>
      <c r="DR76" s="20">
        <f t="shared" si="70"/>
        <v>480.24901100142</v>
      </c>
      <c r="DS76" s="59">
        <f t="shared" si="71"/>
        <v>773.58234433475332</v>
      </c>
      <c r="DT76" s="59">
        <f ca="1">AVERAGE(OFFSET($DS$3,0,0,'Données projet'!$E$14+1,1))-AVERAGE(OFFSET($H$3,0,0,'Données projet'!$E$14+1,1))</f>
        <v>215.37468832969444</v>
      </c>
      <c r="DU76" s="59">
        <f t="shared" si="98"/>
        <v>208.60212063136419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16.961697358089467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16.961697358089467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3.4</v>
      </c>
      <c r="EJ76" s="12">
        <f>IF('Données projet'!$A$192&gt;35,EJ75+EI76-ER75,IF(A76&lt;'Données projet'!$A$192,$EG$205^A76,IF(A76='Données projet'!$A$192,'Données projet'!$B$192,EJ75+EI76-ER75)))</f>
        <v>278.19999999999976</v>
      </c>
      <c r="EK76" s="17">
        <f>EJ76*VLOOKUP('Données projet'!$B$15,Paramètres!$A$1:$I$89,3,0)*VLOOKUP('Données projet'!$B$15,Paramètres!$A$1:$I$89,5,0)</f>
        <v>221.33591999999985</v>
      </c>
      <c r="EL76" s="13">
        <f t="shared" si="99"/>
        <v>54.405138948183939</v>
      </c>
      <c r="EM76" s="20">
        <f t="shared" si="73"/>
        <v>480.24901100142</v>
      </c>
      <c r="EN76" s="59">
        <f t="shared" si="74"/>
        <v>773.58234433475332</v>
      </c>
      <c r="EO76" s="59">
        <f ca="1">AVERAGE(OFFSET($EN$3,0,0,'Données projet'!$E$15+1,1))-AVERAGE(OFFSET($H$3,0,0,'Données projet'!$E$15+1,1))</f>
        <v>215.37468832969444</v>
      </c>
      <c r="EP76" s="59">
        <f t="shared" si="100"/>
        <v>208.60212063136419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16.961697358089467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16.961697358089467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3.4</v>
      </c>
      <c r="FE76" s="12">
        <f>IF('Données projet'!$A$218&gt;35,FE75+FD76-FM75,IF(A76&lt;'Données projet'!$A$218,$FB$205^A76,IF(A76='Données projet'!$A$218,'Données projet'!$B$218,FE75+FD76-FM75)))</f>
        <v>278.19999999999976</v>
      </c>
      <c r="FF76" s="17">
        <f>FE76*VLOOKUP('Données projet'!$B$16,Paramètres!$A$1:$I$89,3,0)*VLOOKUP('Données projet'!$B$16,Paramètres!$A$1:$I$89,5,0)</f>
        <v>225.67583999999982</v>
      </c>
      <c r="FG76" s="13">
        <f t="shared" si="101"/>
        <v>55.346666750026444</v>
      </c>
      <c r="FH76" s="20">
        <f t="shared" si="76"/>
        <v>489.44753258962902</v>
      </c>
      <c r="FI76" s="59">
        <f t="shared" si="77"/>
        <v>782.78086592296233</v>
      </c>
      <c r="FJ76" s="59">
        <f ca="1">AVERAGE(OFFSET($FI$3,0,0,'Données projet'!$E$16+1,1))-AVERAGE(OFFSET($H$3,0,0,'Données projet'!$E$16+1,1))</f>
        <v>220.90439367987847</v>
      </c>
      <c r="FK76" s="59">
        <f t="shared" si="102"/>
        <v>213.66046131354858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17.294279659228476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17.294279659228476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1">
        <f t="shared" si="86"/>
        <v>17.175550352716158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67">
        <f t="shared" si="56"/>
        <v>427.7975768643139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16.8</v>
      </c>
      <c r="N77" s="13">
        <f>IF('Données projet'!$A$36&gt;35,N76+M77-V76,IF(A77&lt;'Données projet'!$A$36,$K$205^A77,IF(A77='Données projet'!$A$36,'Données projet'!$B$36,N76+M77-V76)))</f>
        <v>498.40000000000015</v>
      </c>
      <c r="O77" s="13">
        <f>N77*VLOOKUP('Données projet'!$B$9,Paramètres!$A$1:$I$89,3,0)*VLOOKUP('Données projet'!$B$9,Paramètres!$A$1:$I$89,5,0)</f>
        <v>233.25120000000004</v>
      </c>
      <c r="P77" s="13">
        <f t="shared" si="87"/>
        <v>56.985091661350914</v>
      </c>
      <c r="Q77" s="20">
        <f t="shared" si="54"/>
        <v>505.49487464351949</v>
      </c>
      <c r="R77" s="59">
        <f t="shared" si="55"/>
        <v>798.82820797685281</v>
      </c>
      <c r="S77" s="59">
        <f ca="1">AVERAGE(OFFSET($R$3,0,0,'Données projet'!$E$9+1,1))-AVERAGE(OFFSET($H$3,0,0,'Données projet'!$E$9+1,1))</f>
        <v>196.72624686715807</v>
      </c>
      <c r="T77" s="59">
        <f t="shared" si="88"/>
        <v>37.315661698104691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32.508437875740604</v>
      </c>
      <c r="AA77" s="21">
        <f>EXP(-LN(2)/25)*AA76+(1-EXP(-LN(2)/25))/(LN(2)/25)*Calculateur!V77*Calculateur!X77*VLOOKUP('Données projet'!$B$9,Paramètres!$A$1:$I$89,3,0)*0.475*44/12</f>
        <v>22.592260770794866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55.10069864653547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-1.0000000000001137</v>
      </c>
      <c r="AJ77" s="13">
        <f>AI77*VLOOKUP('Données projet'!$B$10,Paramètres!$A$1:$I$89,3,0)*VLOOKUP('Données projet'!$B$10,Paramètres!$A$1:$I$89,5,0)</f>
        <v>-0.55900000000006356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325.42940802362739</v>
      </c>
      <c r="AO77" s="59">
        <f t="shared" si="90"/>
        <v>388.87198417542277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177.59227002393726</v>
      </c>
      <c r="AV77" s="21">
        <f>EXP(-LN(2)/25)*AV76+(1-EXP(-LN(2)/25))/(LN(2)/25)*Calculateur!AQ77*Calculateur!AS77*VLOOKUP('Données projet'!$B$10,Paramètres!$A$1:$I$89,3,0)*0.475*44/12</f>
        <v>61.386607919048849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238.97887794298612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</v>
      </c>
      <c r="BE77" s="13">
        <f>BD77*VLOOKUP('Données projet'!$B$11,Paramètres!$A$1:$I$89,3,0)*VLOOKUP('Données projet'!$B$11,Paramètres!$A$1:$I$89,5,0)</f>
        <v>-0.624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162.87524915738271</v>
      </c>
      <c r="BJ77" s="59">
        <f t="shared" si="92"/>
        <v>249.37880137966658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113.30346841711902</v>
      </c>
      <c r="BQ77" s="21">
        <f>EXP(-LN(2)/25)*BQ76+(1-EXP(-LN(2)/25))/(LN(2)/25)*Calculateur!BL77*Calculateur!BN77*VLOOKUP('Données projet'!$B$11,Paramètres!$A$1:$I$89,3,0)*0.475*44/12</f>
        <v>43.279440648350921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156.58290906546995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-1.4210854715202004E-13</v>
      </c>
      <c r="BZ77" s="13">
        <f>BY77*VLOOKUP('Données projet'!$B$12,Paramètres!$A$1:$I$89,3,0)*VLOOKUP('Données projet'!$B$12,Paramètres!$A$1:$I$89,5,0)</f>
        <v>-9.3109520094003535E-14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119.88584888779422</v>
      </c>
      <c r="CE77" s="59">
        <f t="shared" si="94"/>
        <v>162.97244314258774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38.025067480651614</v>
      </c>
      <c r="CL77" s="21">
        <f>EXP(-LN(2)/25)*CL76+(1-EXP(-LN(2)/25))/(LN(2)/25)*Calculateur!CG77*Calculateur!CI77*VLOOKUP('Données projet'!$B$12,Paramètres!$A$1:$I$89,3,0)*0.475*44/12</f>
        <v>16.7063441106176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54.731411591269215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6</v>
      </c>
      <c r="CT77" s="12">
        <f>IF('Données projet'!$A$140&gt;35,CT76+CS77-DB76,IF(A77&lt;'Données projet'!$A$140,$CQ$205^A77,IF(A77='Données projet'!$A$140,'Données projet'!$B$140,CT76+CS77-DB76)))</f>
        <v>248</v>
      </c>
      <c r="CU77" s="17">
        <f>CT77*VLOOKUP('Données projet'!$B$13,Paramètres!$A$1:$I$89,3,0)*VLOOKUP('Données projet'!$B$13,Paramètres!$A$1:$I$89,5,0)</f>
        <v>251.47200000000004</v>
      </c>
      <c r="CV77" s="13">
        <f t="shared" si="95"/>
        <v>60.901039718208651</v>
      </c>
      <c r="CW77" s="20">
        <f t="shared" si="67"/>
        <v>544.0497108425468</v>
      </c>
      <c r="CX77" s="59">
        <f t="shared" si="68"/>
        <v>837.38304417588006</v>
      </c>
      <c r="CY77" s="59">
        <f ca="1">AVERAGE(OFFSET($CX$3,0,0,'Données projet'!$E$13+1,1))-AVERAGE(OFFSET($H$3,0,0,'Données projet'!$E$13+1,1))</f>
        <v>261.75887764015459</v>
      </c>
      <c r="CZ77" s="59">
        <f t="shared" si="96"/>
        <v>209.74127356028544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6.2664321713682307</v>
      </c>
      <c r="DG77" s="21">
        <f>EXP(-LN(2)/25)*DG76+(1-EXP(-LN(2)/25))/(LN(2)/25)*Calculateur!DB77*Calculateur!DD77*VLOOKUP('Données projet'!$B$13,Paramètres!$A$1:$I$89,3,0)*0.475*44/12</f>
        <v>14.281497204857644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20.547929376225873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3.4</v>
      </c>
      <c r="DO77" s="12">
        <f>IF('Données projet'!$A$166&gt;35,DO76+DN77-DW76,IF(A77&lt;'Données projet'!$A$166,$DL$205^A77,IF(A77='Données projet'!$A$166,'Données projet'!$B$166,DO76+DN77-DW76)))</f>
        <v>281.59999999999974</v>
      </c>
      <c r="DP77" s="17">
        <f>DO77*VLOOKUP('Données projet'!$B$14,Paramètres!$A$1:$I$89,3,0)*VLOOKUP('Données projet'!$B$14,Paramètres!$A$1:$I$89,5,0)</f>
        <v>224.04095999999981</v>
      </c>
      <c r="DQ77" s="13">
        <f t="shared" si="97"/>
        <v>54.992235867381233</v>
      </c>
      <c r="DR77" s="20">
        <f t="shared" si="70"/>
        <v>485.98281613568861</v>
      </c>
      <c r="DS77" s="59">
        <f t="shared" si="71"/>
        <v>779.31614946902187</v>
      </c>
      <c r="DT77" s="59">
        <f ca="1">AVERAGE(OFFSET($DS$3,0,0,'Données projet'!$E$14+1,1))-AVERAGE(OFFSET($H$3,0,0,'Données projet'!$E$14+1,1))</f>
        <v>215.37468832969444</v>
      </c>
      <c r="DU77" s="59">
        <f t="shared" si="98"/>
        <v>208.60212063136419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16.629088818511175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16.629088818511175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3.4</v>
      </c>
      <c r="EJ77" s="12">
        <f>IF('Données projet'!$A$192&gt;35,EJ76+EI77-ER76,IF(A77&lt;'Données projet'!$A$192,$EG$205^A77,IF(A77='Données projet'!$A$192,'Données projet'!$B$192,EJ76+EI77-ER76)))</f>
        <v>281.59999999999974</v>
      </c>
      <c r="EK77" s="17">
        <f>EJ77*VLOOKUP('Données projet'!$B$15,Paramètres!$A$1:$I$89,3,0)*VLOOKUP('Données projet'!$B$15,Paramètres!$A$1:$I$89,5,0)</f>
        <v>224.04095999999981</v>
      </c>
      <c r="EL77" s="13">
        <f t="shared" si="99"/>
        <v>54.992235867381233</v>
      </c>
      <c r="EM77" s="20">
        <f t="shared" si="73"/>
        <v>485.98281613568861</v>
      </c>
      <c r="EN77" s="59">
        <f t="shared" si="74"/>
        <v>779.31614946902187</v>
      </c>
      <c r="EO77" s="59">
        <f ca="1">AVERAGE(OFFSET($EN$3,0,0,'Données projet'!$E$15+1,1))-AVERAGE(OFFSET($H$3,0,0,'Données projet'!$E$15+1,1))</f>
        <v>215.37468832969444</v>
      </c>
      <c r="EP77" s="59">
        <f t="shared" si="100"/>
        <v>208.60212063136419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16.629088818511175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16.629088818511175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3.4</v>
      </c>
      <c r="FE77" s="12">
        <f>IF('Données projet'!$A$218&gt;35,FE76+FD77-FM76,IF(A77&lt;'Données projet'!$A$218,$FB$205^A77,IF(A77='Données projet'!$A$218,'Données projet'!$B$218,FE76+FD77-FM76)))</f>
        <v>281.59999999999974</v>
      </c>
      <c r="FF77" s="17">
        <f>FE77*VLOOKUP('Données projet'!$B$16,Paramètres!$A$1:$I$89,3,0)*VLOOKUP('Données projet'!$B$16,Paramètres!$A$1:$I$89,5,0)</f>
        <v>228.4339199999998</v>
      </c>
      <c r="FG77" s="13">
        <f t="shared" si="101"/>
        <v>55.943923887219448</v>
      </c>
      <c r="FH77" s="20">
        <f t="shared" si="76"/>
        <v>495.2914114369068</v>
      </c>
      <c r="FI77" s="59">
        <f t="shared" si="77"/>
        <v>788.62474477024011</v>
      </c>
      <c r="FJ77" s="59">
        <f ca="1">AVERAGE(OFFSET($FI$3,0,0,'Données projet'!$E$16+1,1))-AVERAGE(OFFSET($H$3,0,0,'Données projet'!$E$16+1,1))</f>
        <v>220.90439367987847</v>
      </c>
      <c r="FK77" s="59">
        <f t="shared" si="102"/>
        <v>213.66046131354858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16.955149383580022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16.955149383580022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1">
        <f t="shared" si="86"/>
        <v>17.38047521653144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67">
        <f t="shared" si="56"/>
        <v>429.56732766879213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16.8</v>
      </c>
      <c r="N78" s="13">
        <f>IF('Données projet'!$A$36&gt;35,N77+M78-V77,IF(A78&lt;'Données projet'!$A$36,$K$205^A78,IF(A78='Données projet'!$A$36,'Données projet'!$B$36,N77+M78-V77)))</f>
        <v>515.20000000000016</v>
      </c>
      <c r="O78" s="13">
        <f>N78*VLOOKUP('Données projet'!$B$9,Paramètres!$A$1:$I$89,3,0)*VLOOKUP('Données projet'!$B$9,Paramètres!$A$1:$I$89,5,0)</f>
        <v>241.11360000000005</v>
      </c>
      <c r="P78" s="13">
        <f t="shared" si="87"/>
        <v>58.679062355898857</v>
      </c>
      <c r="Q78" s="20">
        <f t="shared" si="54"/>
        <v>522.13888693652405</v>
      </c>
      <c r="R78" s="59">
        <f t="shared" si="55"/>
        <v>815.47222026985742</v>
      </c>
      <c r="S78" s="59">
        <f ca="1">AVERAGE(OFFSET($R$3,0,0,'Données projet'!$E$9+1,1))-AVERAGE(OFFSET($H$3,0,0,'Données projet'!$E$9+1,1))</f>
        <v>196.72624686715807</v>
      </c>
      <c r="T78" s="59">
        <f t="shared" si="88"/>
        <v>37.315661698104691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31.870967237186566</v>
      </c>
      <c r="AA78" s="21">
        <f>EXP(-LN(2)/25)*AA77+(1-EXP(-LN(2)/25))/(LN(2)/25)*Calculateur!V78*Calculateur!X78*VLOOKUP('Données projet'!$B$9,Paramètres!$A$1:$I$89,3,0)*0.475*44/12</f>
        <v>21.974474211942123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53.845441449128685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-1.0000000000001137</v>
      </c>
      <c r="AJ78" s="13">
        <f>AI78*VLOOKUP('Données projet'!$B$10,Paramètres!$A$1:$I$89,3,0)*VLOOKUP('Données projet'!$B$10,Paramètres!$A$1:$I$89,5,0)</f>
        <v>-0.55900000000006356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325.42940802362739</v>
      </c>
      <c r="AO78" s="59">
        <f t="shared" si="90"/>
        <v>388.87198417542277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174.10979392935678</v>
      </c>
      <c r="AV78" s="21">
        <f>EXP(-LN(2)/25)*AV77+(1-EXP(-LN(2)/25))/(LN(2)/25)*Calculateur!AQ78*Calculateur!AS78*VLOOKUP('Données projet'!$B$10,Paramètres!$A$1:$I$89,3,0)*0.475*44/12</f>
        <v>59.707987897321047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233.81778182667784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</v>
      </c>
      <c r="BE78" s="13">
        <f>BD78*VLOOKUP('Données projet'!$B$11,Paramètres!$A$1:$I$89,3,0)*VLOOKUP('Données projet'!$B$11,Paramètres!$A$1:$I$89,5,0)</f>
        <v>-0.624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162.87524915738271</v>
      </c>
      <c r="BJ78" s="59">
        <f t="shared" si="92"/>
        <v>249.37880137966658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111.08165650975117</v>
      </c>
      <c r="BQ78" s="21">
        <f>EXP(-LN(2)/25)*BQ77+(1-EXP(-LN(2)/25))/(LN(2)/25)*Calculateur!BL78*Calculateur!BN78*VLOOKUP('Données projet'!$B$11,Paramètres!$A$1:$I$89,3,0)*0.475*44/12</f>
        <v>42.095962067854899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153.17761857760607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-1.4210854715202004E-13</v>
      </c>
      <c r="BZ78" s="13">
        <f>BY78*VLOOKUP('Données projet'!$B$12,Paramètres!$A$1:$I$89,3,0)*VLOOKUP('Données projet'!$B$12,Paramètres!$A$1:$I$89,5,0)</f>
        <v>-9.3109520094003535E-14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119.88584888779422</v>
      </c>
      <c r="CE78" s="59">
        <f t="shared" si="94"/>
        <v>162.97244314258774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37.279419100357082</v>
      </c>
      <c r="CL78" s="21">
        <f>EXP(-LN(2)/25)*CL77+(1-EXP(-LN(2)/25))/(LN(2)/25)*Calculateur!CG78*Calculateur!CI78*VLOOKUP('Données projet'!$B$12,Paramètres!$A$1:$I$89,3,0)*0.475*44/12</f>
        <v>16.249508252364308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53.528927352721389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254</v>
      </c>
      <c r="CR78" s="12">
        <f>VLOOKUP(A78,'Données projet'!$A$139:$I$159,9,0)</f>
        <v>6</v>
      </c>
      <c r="CS78" s="12">
        <f t="array" ref="CS78">INDEX(CR:CR,MIN(IF(ISNUMBER(CR78:CR274),ROW(CR78:CR274),"")))</f>
        <v>6</v>
      </c>
      <c r="CT78" s="12">
        <f>IF('Données projet'!$A$140&gt;35,CT77+CS78-DB77,IF(A78&lt;'Données projet'!$A$140,$CQ$205^A78,IF(A78='Données projet'!$A$140,'Données projet'!$B$140,CT77+CS78-DB77)))</f>
        <v>254</v>
      </c>
      <c r="CU78" s="17">
        <f>CT78*VLOOKUP('Données projet'!$B$13,Paramètres!$A$1:$I$89,3,0)*VLOOKUP('Données projet'!$B$13,Paramètres!$A$1:$I$89,5,0)</f>
        <v>257.55599999999998</v>
      </c>
      <c r="CV78" s="13">
        <f t="shared" si="95"/>
        <v>62.201129910568184</v>
      </c>
      <c r="CW78" s="20">
        <f t="shared" si="67"/>
        <v>556.91033459423954</v>
      </c>
      <c r="CX78" s="59">
        <f t="shared" si="68"/>
        <v>850.24366792757291</v>
      </c>
      <c r="CY78" s="59">
        <f ca="1">AVERAGE(OFFSET($CX$3,0,0,'Données projet'!$E$13+1,1))-AVERAGE(OFFSET($H$3,0,0,'Données projet'!$E$13+1,1))</f>
        <v>261.75887764015459</v>
      </c>
      <c r="CZ78" s="59">
        <f t="shared" si="96"/>
        <v>209.74127356028544</v>
      </c>
      <c r="DA78" s="15">
        <f>IF(ISNA(VLOOKUP(A78,'Données projet'!$A$139:$I$159,3,0)),0,VLOOKUP(A78,'Données projet'!$A$139:$I$159,3,0))</f>
        <v>5</v>
      </c>
      <c r="DB78" s="15">
        <f>IF(ISNA(VLOOKUP(A78,'Données projet'!$A$139:$I$159,4,0)),0,VLOOKUP(A78,'Données projet'!$A$139:$I$159,4,0))</f>
        <v>50</v>
      </c>
      <c r="DC78" s="16">
        <f>IF(ISNA(VLOOKUP(A78,'Données projet'!$A$139:$I$159,5,0)),0%,VLOOKUP(A78,'Données projet'!$A$139:$I$159,5,0)*VLOOKUP('Données projet'!$B$13,Paramètres!$A$1:$I$89,7,0))</f>
        <v>0.17200000000000001</v>
      </c>
      <c r="DD78" s="16">
        <f>IF(ISNA(VLOOKUP(A78,'Données projet'!$A$139:$I$159,6,0)),0%,VLOOKUP(A78,'Données projet'!$A$139:$I$159,6,0)*VLOOKUP('Données projet'!$B$13,Paramètres!$A$1:$I$89,7,0))</f>
        <v>0.129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15.783695156313058</v>
      </c>
      <c r="DG78" s="21">
        <f>EXP(-LN(2)/25)*DG77+(1-EXP(-LN(2)/25))/(LN(2)/25)*Calculateur!DB78*Calculateur!DD78*VLOOKUP('Données projet'!$B$13,Paramètres!$A$1:$I$89,3,0)*0.475*44/12</f>
        <v>21.092609146237898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36.876304302550956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285</v>
      </c>
      <c r="DM78" s="12">
        <f>VLOOKUP(A78,'Données projet'!$A$165:$I$185,9,0)</f>
        <v>3.4</v>
      </c>
      <c r="DN78" s="12">
        <f t="array" ref="DN78">INDEX(DM:DM,MIN(IF(ISNUMBER(DM78:DM274),ROW(DM78:DM274),"")))</f>
        <v>3.4</v>
      </c>
      <c r="DO78" s="12">
        <f>IF('Données projet'!$A$166&gt;35,DO77+DN78-DW77,IF(A78&lt;'Données projet'!$A$166,$DL$205^A78,IF(A78='Données projet'!$A$166,'Données projet'!$B$166,DO77+DN78-DW77)))</f>
        <v>284.99999999999972</v>
      </c>
      <c r="DP78" s="17">
        <f>DO78*VLOOKUP('Données projet'!$B$14,Paramètres!$A$1:$I$89,3,0)*VLOOKUP('Données projet'!$B$14,Paramètres!$A$1:$I$89,5,0)</f>
        <v>226.74599999999978</v>
      </c>
      <c r="DQ78" s="13">
        <f t="shared" si="97"/>
        <v>55.578508240245867</v>
      </c>
      <c r="DR78" s="20">
        <f t="shared" si="70"/>
        <v>491.71518518509453</v>
      </c>
      <c r="DS78" s="59">
        <f t="shared" si="71"/>
        <v>785.04851851842784</v>
      </c>
      <c r="DT78" s="59">
        <f ca="1">AVERAGE(OFFSET($DS$3,0,0,'Données projet'!$E$14+1,1))-AVERAGE(OFFSET($H$3,0,0,'Données projet'!$E$14+1,1))</f>
        <v>215.37468832969444</v>
      </c>
      <c r="DU78" s="59">
        <f t="shared" si="98"/>
        <v>208.60212063136419</v>
      </c>
      <c r="DV78" s="15">
        <f>IF(ISNA(VLOOKUP(A78,'Données projet'!$A$165:$I$185,3,0)),0,VLOOKUP(A78,'Données projet'!$A$165:$I$185,3,0))</f>
        <v>12</v>
      </c>
      <c r="DW78" s="15">
        <f>IF(ISNA(VLOOKUP(A78,'Données projet'!$A$165:$I$185,4,0)),0,VLOOKUP(A78,'Données projet'!$A$165:$I$185,4,0))</f>
        <v>9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16.303002529522836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16.303002529522836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>
        <f>VLOOKUP(A78,'Données projet'!$A$191:$I$211,2,0)</f>
        <v>285</v>
      </c>
      <c r="EH78" s="12">
        <f>VLOOKUP(A78,'Données projet'!$A$191:$I$211,9,0)</f>
        <v>3.4</v>
      </c>
      <c r="EI78" s="12">
        <f t="array" ref="EI78">INDEX(EH:EH,MIN(IF(ISNUMBER(EH78:EH274),ROW(EH78:EH274),"")))</f>
        <v>3.4</v>
      </c>
      <c r="EJ78" s="12">
        <f>IF('Données projet'!$A$192&gt;35,EJ77+EI78-ER77,IF(A78&lt;'Données projet'!$A$192,$EG$205^A78,IF(A78='Données projet'!$A$192,'Données projet'!$B$192,EJ77+EI78-ER77)))</f>
        <v>284.99999999999972</v>
      </c>
      <c r="EK78" s="17">
        <f>EJ78*VLOOKUP('Données projet'!$B$15,Paramètres!$A$1:$I$89,3,0)*VLOOKUP('Données projet'!$B$15,Paramètres!$A$1:$I$89,5,0)</f>
        <v>226.74599999999978</v>
      </c>
      <c r="EL78" s="13">
        <f t="shared" si="99"/>
        <v>55.578508240245867</v>
      </c>
      <c r="EM78" s="20">
        <f t="shared" si="73"/>
        <v>491.71518518509453</v>
      </c>
      <c r="EN78" s="59">
        <f t="shared" si="74"/>
        <v>785.04851851842784</v>
      </c>
      <c r="EO78" s="59">
        <f ca="1">AVERAGE(OFFSET($EN$3,0,0,'Données projet'!$E$15+1,1))-AVERAGE(OFFSET($H$3,0,0,'Données projet'!$E$15+1,1))</f>
        <v>215.37468832969444</v>
      </c>
      <c r="EP78" s="59">
        <f t="shared" si="100"/>
        <v>208.60212063136419</v>
      </c>
      <c r="EQ78" s="15">
        <f>IF(ISNA(VLOOKUP(A78,'Données projet'!$A$191:$I$211,3,0)),0,VLOOKUP(A78,'Données projet'!$A$191:$I$211,3,0))</f>
        <v>12</v>
      </c>
      <c r="ER78" s="15">
        <f>IF(ISNA(VLOOKUP(A78,'Données projet'!$A$191:$I$211,4,0)),0,VLOOKUP(A78,'Données projet'!$A$191:$I$211,4,0))</f>
        <v>9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16.303002529522836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16.303002529522836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285</v>
      </c>
      <c r="FC78" s="12">
        <f>VLOOKUP(A78,'Données projet'!$A$217:$I$237,9,0)</f>
        <v>3.4</v>
      </c>
      <c r="FD78" s="12">
        <f t="array" ref="FD78">INDEX(FC:FC,MIN(IF(ISNUMBER(FC78:FC274),ROW(FC78:FC274),"")))</f>
        <v>3.4</v>
      </c>
      <c r="FE78" s="12">
        <f>IF('Données projet'!$A$218&gt;35,FE77+FD78-FM77,IF(A78&lt;'Données projet'!$A$218,$FB$205^A78,IF(A78='Données projet'!$A$218,'Données projet'!$B$218,FE77+FD78-FM77)))</f>
        <v>284.99999999999972</v>
      </c>
      <c r="FF78" s="17">
        <f>FE78*VLOOKUP('Données projet'!$B$16,Paramètres!$A$1:$I$89,3,0)*VLOOKUP('Données projet'!$B$16,Paramètres!$A$1:$I$89,5,0)</f>
        <v>231.19199999999978</v>
      </c>
      <c r="FG78" s="13">
        <f t="shared" si="101"/>
        <v>56.540342208595177</v>
      </c>
      <c r="FH78" s="20">
        <f t="shared" si="76"/>
        <v>501.13382934663622</v>
      </c>
      <c r="FI78" s="59">
        <f t="shared" si="77"/>
        <v>794.46716267996953</v>
      </c>
      <c r="FJ78" s="59">
        <f ca="1">AVERAGE(OFFSET($FI$3,0,0,'Données projet'!$E$16+1,1))-AVERAGE(OFFSET($H$3,0,0,'Données projet'!$E$16+1,1))</f>
        <v>220.90439367987847</v>
      </c>
      <c r="FK78" s="59">
        <f t="shared" si="102"/>
        <v>213.66046131354858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16.622669245787993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16.622669245787993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1">
        <f t="shared" si="86"/>
        <v>17.585082273674896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67">
        <f t="shared" si="56"/>
        <v>431.33652495998365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>
        <f>VLOOKUP(A79,'Données projet'!$A$35:$I$55,2,0)</f>
        <v>532</v>
      </c>
      <c r="L79" s="12">
        <f>VLOOKUP(A79,'Données projet'!$A$35:$I$55,9,0)</f>
        <v>16.8</v>
      </c>
      <c r="M79" s="12">
        <f t="array" ref="M79">INDEX(L:L,MIN(IF(ISNUMBER(L79:L275),ROW(L79:L275),"")))</f>
        <v>16.8</v>
      </c>
      <c r="N79" s="13">
        <f>IF('Données projet'!$A$36&gt;35,N78+M79-V78,IF(A79&lt;'Données projet'!$A$36,$K$205^A79,IF(A79='Données projet'!$A$36,'Données projet'!$B$36,N78+M79-V78)))</f>
        <v>532.00000000000011</v>
      </c>
      <c r="O79" s="13">
        <f>N79*VLOOKUP('Données projet'!$B$9,Paramètres!$A$1:$I$89,3,0)*VLOOKUP('Données projet'!$B$9,Paramètres!$A$1:$I$89,5,0)</f>
        <v>248.97600000000006</v>
      </c>
      <c r="P79" s="13">
        <f t="shared" si="87"/>
        <v>60.366614312202735</v>
      </c>
      <c r="Q79" s="20">
        <f t="shared" si="54"/>
        <v>538.77171992708645</v>
      </c>
      <c r="R79" s="59">
        <f t="shared" si="55"/>
        <v>832.10505326041971</v>
      </c>
      <c r="S79" s="59">
        <f ca="1">AVERAGE(OFFSET($R$3,0,0,'Données projet'!$E$9+1,1))-AVERAGE(OFFSET($H$3,0,0,'Données projet'!$E$9+1,1))</f>
        <v>196.72624686715807</v>
      </c>
      <c r="T79" s="59">
        <f t="shared" si="88"/>
        <v>37.315661698104691</v>
      </c>
      <c r="U79" s="15">
        <f>IF(ISNA(VLOOKUP(A79,'Données projet'!$A$35:$I$55,3,0)),0,VLOOKUP(A79,'Données projet'!$A$35:$I$55,3,0))</f>
        <v>4</v>
      </c>
      <c r="V79" s="15">
        <f>IF(ISNA(VLOOKUP(A79,'Données projet'!$A$35:$I$55,4,0)),0,VLOOKUP(A79,'Données projet'!$A$35:$I$55,4,0))</f>
        <v>106</v>
      </c>
      <c r="W79" s="16">
        <f>IF(ISNA(VLOOKUP(A79,'Données projet'!$A$35:$I$55,5,0)),0%,VLOOKUP(A79,'Données projet'!$A$35:$I$55,5,0)*VLOOKUP('Données projet'!$B$9,Paramètres!$A$1:$I$89,7,0))</f>
        <v>0.30250000000000005</v>
      </c>
      <c r="X79" s="16">
        <f>IF(ISNA(VLOOKUP(A79,'Données projet'!$A$35:$I$55,6,0)),0%,VLOOKUP(A79,'Données projet'!$A$35:$I$55,6,0)*VLOOKUP('Données projet'!$B$9,Paramètres!$A$1:$I$89,7,0))</f>
        <v>0.16500000000000001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51.152980384432908</v>
      </c>
      <c r="AA79" s="21">
        <f>EXP(-LN(2)/25)*AA78+(1-EXP(-LN(2)/25))/(LN(2)/25)*Calculateur!V79*Calculateur!X79*VLOOKUP('Données projet'!$B$9,Paramètres!$A$1:$I$89,3,0)*0.475*44/12</f>
        <v>32.189182148134329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83.342162532567244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-1.0000000000001137</v>
      </c>
      <c r="AJ79" s="13">
        <f>AI79*VLOOKUP('Données projet'!$B$10,Paramètres!$A$1:$I$89,3,0)*VLOOKUP('Données projet'!$B$10,Paramètres!$A$1:$I$89,5,0)</f>
        <v>-0.55900000000006356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325.42940802362739</v>
      </c>
      <c r="AO79" s="59">
        <f t="shared" si="90"/>
        <v>388.87198417542277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170.69560706689037</v>
      </c>
      <c r="AV79" s="21">
        <f>EXP(-LN(2)/25)*AV78+(1-EXP(-LN(2)/25))/(LN(2)/25)*Calculateur!AQ79*Calculateur!AS79*VLOOKUP('Données projet'!$B$10,Paramètres!$A$1:$I$89,3,0)*0.475*44/12</f>
        <v>58.075269828362181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228.77087689525257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</v>
      </c>
      <c r="BE79" s="13">
        <f>BD79*VLOOKUP('Données projet'!$B$11,Paramètres!$A$1:$I$89,3,0)*VLOOKUP('Données projet'!$B$11,Paramètres!$A$1:$I$89,5,0)</f>
        <v>-0.624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162.87524915738271</v>
      </c>
      <c r="BJ79" s="59">
        <f t="shared" si="92"/>
        <v>249.37880137966658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108.90341297871535</v>
      </c>
      <c r="BQ79" s="21">
        <f>EXP(-LN(2)/25)*BQ78+(1-EXP(-LN(2)/25))/(LN(2)/25)*Calculateur!BL79*Calculateur!BN79*VLOOKUP('Données projet'!$B$11,Paramètres!$A$1:$I$89,3,0)*0.475*44/12</f>
        <v>40.944845771378972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149.84825875009432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-1.4210854715202004E-13</v>
      </c>
      <c r="BZ79" s="13">
        <f>BY79*VLOOKUP('Données projet'!$B$12,Paramètres!$A$1:$I$89,3,0)*VLOOKUP('Données projet'!$B$12,Paramètres!$A$1:$I$89,5,0)</f>
        <v>-9.3109520094003535E-14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119.88584888779422</v>
      </c>
      <c r="CE79" s="59">
        <f t="shared" si="94"/>
        <v>162.97244314258774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36.548392429999517</v>
      </c>
      <c r="CL79" s="21">
        <f>EXP(-LN(2)/25)*CL78+(1-EXP(-LN(2)/25))/(LN(2)/25)*Calculateur!CG79*Calculateur!CI79*VLOOKUP('Données projet'!$B$12,Paramètres!$A$1:$I$89,3,0)*0.475*44/12</f>
        <v>15.805164594678905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52.353557024678423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5</v>
      </c>
      <c r="CT79" s="12">
        <f>IF('Données projet'!$A$140&gt;35,CT78+CS79-DB78,IF(A79&lt;'Données projet'!$A$140,$CQ$205^A79,IF(A79='Données projet'!$A$140,'Données projet'!$B$140,CT78+CS79-DB78)))</f>
        <v>209</v>
      </c>
      <c r="CU79" s="17">
        <f>CT79*VLOOKUP('Données projet'!$B$13,Paramètres!$A$1:$I$89,3,0)*VLOOKUP('Données projet'!$B$13,Paramètres!$A$1:$I$89,5,0)</f>
        <v>211.92599999999999</v>
      </c>
      <c r="CV79" s="13">
        <f t="shared" si="95"/>
        <v>52.356241262970116</v>
      </c>
      <c r="CW79" s="20">
        <f t="shared" si="67"/>
        <v>460.29157019967289</v>
      </c>
      <c r="CX79" s="59">
        <f t="shared" si="68"/>
        <v>753.6249035330062</v>
      </c>
      <c r="CY79" s="59">
        <f ca="1">AVERAGE(OFFSET($CX$3,0,0,'Données projet'!$E$13+1,1))-AVERAGE(OFFSET($H$3,0,0,'Données projet'!$E$13+1,1))</f>
        <v>261.75887764015459</v>
      </c>
      <c r="CZ79" s="59">
        <f t="shared" si="96"/>
        <v>209.74127356028544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15.474186521401206</v>
      </c>
      <c r="DG79" s="21">
        <f>EXP(-LN(2)/25)*DG78+(1-EXP(-LN(2)/25))/(LN(2)/25)*Calculateur!DB79*Calculateur!DD79*VLOOKUP('Données projet'!$B$13,Paramètres!$A$1:$I$89,3,0)*0.475*44/12</f>
        <v>20.515830639921916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35.990017161323124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2.8</v>
      </c>
      <c r="DO79" s="12">
        <f>IF('Données projet'!$A$166&gt;35,DO78+DN79-DW78,IF(A79&lt;'Données projet'!$A$166,$DL$205^A79,IF(A79='Données projet'!$A$166,'Données projet'!$B$166,DO78+DN79-DW78)))</f>
        <v>278.79999999999973</v>
      </c>
      <c r="DP79" s="17">
        <f>DO79*VLOOKUP('Données projet'!$B$14,Paramètres!$A$1:$I$89,3,0)*VLOOKUP('Données projet'!$B$14,Paramètres!$A$1:$I$89,5,0)</f>
        <v>221.81327999999982</v>
      </c>
      <c r="DQ79" s="13">
        <f t="shared" si="97"/>
        <v>54.508804695506775</v>
      </c>
      <c r="DR79" s="20">
        <f t="shared" si="70"/>
        <v>481.26096417800727</v>
      </c>
      <c r="DS79" s="59">
        <f t="shared" si="71"/>
        <v>774.59429751134053</v>
      </c>
      <c r="DT79" s="59">
        <f ca="1">AVERAGE(OFFSET($DS$3,0,0,'Données projet'!$E$14+1,1))-AVERAGE(OFFSET($H$3,0,0,'Données projet'!$E$14+1,1))</f>
        <v>215.37468832969444</v>
      </c>
      <c r="DU79" s="59">
        <f t="shared" si="98"/>
        <v>208.60212063136419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15.983310593768563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15.983310593768563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2.8</v>
      </c>
      <c r="EJ79" s="12">
        <f>IF('Données projet'!$A$192&gt;35,EJ78+EI79-ER78,IF(A79&lt;'Données projet'!$A$192,$EG$205^A79,IF(A79='Données projet'!$A$192,'Données projet'!$B$192,EJ78+EI79-ER78)))</f>
        <v>278.79999999999973</v>
      </c>
      <c r="EK79" s="17">
        <f>EJ79*VLOOKUP('Données projet'!$B$15,Paramètres!$A$1:$I$89,3,0)*VLOOKUP('Données projet'!$B$15,Paramètres!$A$1:$I$89,5,0)</f>
        <v>221.81327999999982</v>
      </c>
      <c r="EL79" s="13">
        <f t="shared" si="99"/>
        <v>54.508804695506775</v>
      </c>
      <c r="EM79" s="20">
        <f t="shared" si="73"/>
        <v>481.26096417800727</v>
      </c>
      <c r="EN79" s="59">
        <f t="shared" si="74"/>
        <v>774.59429751134053</v>
      </c>
      <c r="EO79" s="59">
        <f ca="1">AVERAGE(OFFSET($EN$3,0,0,'Données projet'!$E$15+1,1))-AVERAGE(OFFSET($H$3,0,0,'Données projet'!$E$15+1,1))</f>
        <v>215.37468832969444</v>
      </c>
      <c r="EP79" s="59">
        <f t="shared" si="100"/>
        <v>208.60212063136419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15.983310593768563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15.983310593768563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2.8</v>
      </c>
      <c r="FE79" s="12">
        <f>IF('Données projet'!$A$218&gt;35,FE78+FD79-FM78,IF(A79&lt;'Données projet'!$A$218,$FB$205^A79,IF(A79='Données projet'!$A$218,'Données projet'!$B$218,FE78+FD79-FM78)))</f>
        <v>278.79999999999973</v>
      </c>
      <c r="FF79" s="17">
        <f>FE79*VLOOKUP('Données projet'!$B$16,Paramètres!$A$1:$I$89,3,0)*VLOOKUP('Données projet'!$B$16,Paramètres!$A$1:$I$89,5,0)</f>
        <v>226.16255999999979</v>
      </c>
      <c r="FG79" s="13">
        <f t="shared" si="101"/>
        <v>55.452126522419213</v>
      </c>
      <c r="FH79" s="20">
        <f t="shared" si="76"/>
        <v>490.47891235987964</v>
      </c>
      <c r="FI79" s="59">
        <f t="shared" si="77"/>
        <v>783.81224569321296</v>
      </c>
      <c r="FJ79" s="59">
        <f ca="1">AVERAGE(OFFSET($FI$3,0,0,'Données projet'!$E$16+1,1))-AVERAGE(OFFSET($H$3,0,0,'Données projet'!$E$16+1,1))</f>
        <v>220.90439367987847</v>
      </c>
      <c r="FK79" s="59">
        <f t="shared" si="102"/>
        <v>213.66046131354858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16.296708840705204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16.296708840705204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1">
        <f t="shared" si="86"/>
        <v>17.789376189256863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67">
        <f t="shared" si="56"/>
        <v>433.10517686295566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14.1</v>
      </c>
      <c r="N80" s="13">
        <f>IF('Données projet'!$A$36&gt;35,N79+M80-V79,IF(A80&lt;'Données projet'!$A$36,$K$205^A80,IF(A80='Données projet'!$A$36,'Données projet'!$B$36,N79+M80-V79)))</f>
        <v>440.10000000000014</v>
      </c>
      <c r="O80" s="13">
        <f>N80*VLOOKUP('Données projet'!$B$9,Paramètres!$A$1:$I$89,3,0)*VLOOKUP('Données projet'!$B$9,Paramètres!$A$1:$I$89,5,0)</f>
        <v>205.96680000000006</v>
      </c>
      <c r="P80" s="13">
        <f t="shared" si="87"/>
        <v>51.053237755863506</v>
      </c>
      <c r="Q80" s="20">
        <f t="shared" si="54"/>
        <v>447.6432324247956</v>
      </c>
      <c r="R80" s="59">
        <f t="shared" si="55"/>
        <v>740.97656575812891</v>
      </c>
      <c r="S80" s="59">
        <f ca="1">AVERAGE(OFFSET($R$3,0,0,'Données projet'!$E$9+1,1))-AVERAGE(OFFSET($H$3,0,0,'Données projet'!$E$9+1,1))</f>
        <v>196.72624686715807</v>
      </c>
      <c r="T80" s="59">
        <f t="shared" si="88"/>
        <v>37.315661698104691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50.149901639331446</v>
      </c>
      <c r="AA80" s="21">
        <f>EXP(-LN(2)/25)*AA79+(1-EXP(-LN(2)/25))/(LN(2)/25)*Calculateur!V80*Calculateur!X80*VLOOKUP('Données projet'!$B$9,Paramètres!$A$1:$I$89,3,0)*0.475*44/12</f>
        <v>31.308967269538076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81.458868908869519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-1.0000000000001137</v>
      </c>
      <c r="AJ80" s="13">
        <f>AI80*VLOOKUP('Données projet'!$B$10,Paramètres!$A$1:$I$89,3,0)*VLOOKUP('Données projet'!$B$10,Paramètres!$A$1:$I$89,5,0)</f>
        <v>-0.55900000000006356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325.42940802362739</v>
      </c>
      <c r="AO80" s="59">
        <f t="shared" si="90"/>
        <v>388.87198417542277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167.34837032634854</v>
      </c>
      <c r="AV80" s="21">
        <f>EXP(-LN(2)/25)*AV79+(1-EXP(-LN(2)/25))/(LN(2)/25)*Calculateur!AQ80*Calculateur!AS80*VLOOKUP('Données projet'!$B$10,Paramètres!$A$1:$I$89,3,0)*0.475*44/12</f>
        <v>56.487198520859913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223.83556884720846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</v>
      </c>
      <c r="BE80" s="13">
        <f>BD80*VLOOKUP('Données projet'!$B$11,Paramètres!$A$1:$I$89,3,0)*VLOOKUP('Données projet'!$B$11,Paramètres!$A$1:$I$89,5,0)</f>
        <v>-0.624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162.87524915738271</v>
      </c>
      <c r="BJ80" s="59">
        <f t="shared" si="92"/>
        <v>249.37880137966658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106.76788347472578</v>
      </c>
      <c r="BQ80" s="21">
        <f>EXP(-LN(2)/25)*BQ79+(1-EXP(-LN(2)/25))/(LN(2)/25)*Calculateur!BL80*Calculateur!BN80*VLOOKUP('Données projet'!$B$11,Paramètres!$A$1:$I$89,3,0)*0.475*44/12</f>
        <v>39.825206810564758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146.59309028529054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-1.4210854715202004E-13</v>
      </c>
      <c r="BZ80" s="13">
        <f>BY80*VLOOKUP('Données projet'!$B$12,Paramètres!$A$1:$I$89,3,0)*VLOOKUP('Données projet'!$B$12,Paramètres!$A$1:$I$89,5,0)</f>
        <v>-9.3109520094003535E-14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119.88584888779422</v>
      </c>
      <c r="CE80" s="59">
        <f t="shared" si="94"/>
        <v>162.97244314258774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35.831700746765428</v>
      </c>
      <c r="CL80" s="21">
        <f>EXP(-LN(2)/25)*CL79+(1-EXP(-LN(2)/25))/(LN(2)/25)*Calculateur!CG80*Calculateur!CI80*VLOOKUP('Données projet'!$B$12,Paramètres!$A$1:$I$89,3,0)*0.475*44/12</f>
        <v>15.372971537679927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51.204672284445351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5</v>
      </c>
      <c r="CT80" s="12">
        <f>IF('Données projet'!$A$140&gt;35,CT79+CS80-DB79,IF(A80&lt;'Données projet'!$A$140,$CQ$205^A80,IF(A80='Données projet'!$A$140,'Données projet'!$B$140,CT79+CS80-DB79)))</f>
        <v>214</v>
      </c>
      <c r="CU80" s="17">
        <f>CT80*VLOOKUP('Données projet'!$B$13,Paramètres!$A$1:$I$89,3,0)*VLOOKUP('Données projet'!$B$13,Paramètres!$A$1:$I$89,5,0)</f>
        <v>216.99600000000001</v>
      </c>
      <c r="CV80" s="13">
        <f t="shared" si="95"/>
        <v>53.461459647386917</v>
      </c>
      <c r="CW80" s="20">
        <f t="shared" si="67"/>
        <v>471.04674221919896</v>
      </c>
      <c r="CX80" s="59">
        <f t="shared" si="68"/>
        <v>764.38007555253228</v>
      </c>
      <c r="CY80" s="59">
        <f ca="1">AVERAGE(OFFSET($CX$3,0,0,'Données projet'!$E$13+1,1))-AVERAGE(OFFSET($H$3,0,0,'Données projet'!$E$13+1,1))</f>
        <v>261.75887764015459</v>
      </c>
      <c r="CZ80" s="59">
        <f t="shared" si="96"/>
        <v>209.74127356028544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15.170747162038349</v>
      </c>
      <c r="DG80" s="21">
        <f>EXP(-LN(2)/25)*DG79+(1-EXP(-LN(2)/25))/(LN(2)/25)*Calculateur!DB80*Calculateur!DD80*VLOOKUP('Données projet'!$B$13,Paramètres!$A$1:$I$89,3,0)*0.475*44/12</f>
        <v>19.954824172192605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35.125571334230955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2.8</v>
      </c>
      <c r="DO80" s="12">
        <f>IF('Données projet'!$A$166&gt;35,DO79+DN80-DW79,IF(A80&lt;'Données projet'!$A$166,$DL$205^A80,IF(A80='Données projet'!$A$166,'Données projet'!$B$166,DO79+DN80-DW79)))</f>
        <v>281.59999999999974</v>
      </c>
      <c r="DP80" s="17">
        <f>DO80*VLOOKUP('Données projet'!$B$14,Paramètres!$A$1:$I$89,3,0)*VLOOKUP('Données projet'!$B$14,Paramètres!$A$1:$I$89,5,0)</f>
        <v>224.04095999999981</v>
      </c>
      <c r="DQ80" s="13">
        <f t="shared" si="97"/>
        <v>54.992235867381233</v>
      </c>
      <c r="DR80" s="20">
        <f t="shared" si="70"/>
        <v>485.98281613568861</v>
      </c>
      <c r="DS80" s="59">
        <f t="shared" si="71"/>
        <v>779.31614946902187</v>
      </c>
      <c r="DT80" s="59">
        <f ca="1">AVERAGE(OFFSET($DS$3,0,0,'Données projet'!$E$14+1,1))-AVERAGE(OFFSET($H$3,0,0,'Données projet'!$E$14+1,1))</f>
        <v>215.37468832969444</v>
      </c>
      <c r="DU80" s="59">
        <f t="shared" si="98"/>
        <v>208.60212063136419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15.669887621881603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15.669887621881603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2.8</v>
      </c>
      <c r="EJ80" s="12">
        <f>IF('Données projet'!$A$192&gt;35,EJ79+EI80-ER79,IF(A80&lt;'Données projet'!$A$192,$EG$205^A80,IF(A80='Données projet'!$A$192,'Données projet'!$B$192,EJ79+EI80-ER79)))</f>
        <v>281.59999999999974</v>
      </c>
      <c r="EK80" s="17">
        <f>EJ80*VLOOKUP('Données projet'!$B$15,Paramètres!$A$1:$I$89,3,0)*VLOOKUP('Données projet'!$B$15,Paramètres!$A$1:$I$89,5,0)</f>
        <v>224.04095999999981</v>
      </c>
      <c r="EL80" s="13">
        <f t="shared" si="99"/>
        <v>54.992235867381233</v>
      </c>
      <c r="EM80" s="20">
        <f t="shared" si="73"/>
        <v>485.98281613568861</v>
      </c>
      <c r="EN80" s="59">
        <f t="shared" si="74"/>
        <v>779.31614946902187</v>
      </c>
      <c r="EO80" s="59">
        <f ca="1">AVERAGE(OFFSET($EN$3,0,0,'Données projet'!$E$15+1,1))-AVERAGE(OFFSET($H$3,0,0,'Données projet'!$E$15+1,1))</f>
        <v>215.37468832969444</v>
      </c>
      <c r="EP80" s="59">
        <f t="shared" si="100"/>
        <v>208.60212063136419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15.669887621881603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15.669887621881603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2.8</v>
      </c>
      <c r="FE80" s="12">
        <f>IF('Données projet'!$A$218&gt;35,FE79+FD80-FM79,IF(A80&lt;'Données projet'!$A$218,$FB$205^A80,IF(A80='Données projet'!$A$218,'Données projet'!$B$218,FE79+FD80-FM79)))</f>
        <v>281.59999999999974</v>
      </c>
      <c r="FF80" s="17">
        <f>FE80*VLOOKUP('Données projet'!$B$16,Paramètres!$A$1:$I$89,3,0)*VLOOKUP('Données projet'!$B$16,Paramètres!$A$1:$I$89,5,0)</f>
        <v>228.4339199999998</v>
      </c>
      <c r="FG80" s="13">
        <f t="shared" si="101"/>
        <v>55.943923887219448</v>
      </c>
      <c r="FH80" s="20">
        <f t="shared" si="76"/>
        <v>495.2914114369068</v>
      </c>
      <c r="FI80" s="59">
        <f t="shared" si="77"/>
        <v>788.62474477024011</v>
      </c>
      <c r="FJ80" s="59">
        <f ca="1">AVERAGE(OFFSET($FI$3,0,0,'Données projet'!$E$16+1,1))-AVERAGE(OFFSET($H$3,0,0,'Données projet'!$E$16+1,1))</f>
        <v>220.90439367987847</v>
      </c>
      <c r="FK80" s="59">
        <f t="shared" si="102"/>
        <v>213.66046131354858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15.977140320349873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15.977140320349873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1">
        <f t="shared" si="86"/>
        <v>17.99336150025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67">
        <f t="shared" si="56"/>
        <v>434.87329127960197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14.1</v>
      </c>
      <c r="N81" s="13">
        <f>IF('Données projet'!$A$36&gt;35,N80+M81-V80,IF(A81&lt;'Données projet'!$A$36,$K$205^A81,IF(A81='Données projet'!$A$36,'Données projet'!$B$36,N80+M81-V80)))</f>
        <v>454.20000000000016</v>
      </c>
      <c r="O81" s="13">
        <f>N81*VLOOKUP('Données projet'!$B$9,Paramètres!$A$1:$I$89,3,0)*VLOOKUP('Données projet'!$B$9,Paramètres!$A$1:$I$89,5,0)</f>
        <v>212.56560000000007</v>
      </c>
      <c r="P81" s="13">
        <f t="shared" si="87"/>
        <v>52.495837006639036</v>
      </c>
      <c r="Q81" s="20">
        <f t="shared" si="54"/>
        <v>461.64866945322973</v>
      </c>
      <c r="R81" s="59">
        <f t="shared" si="55"/>
        <v>754.98200278656304</v>
      </c>
      <c r="S81" s="59">
        <f ca="1">AVERAGE(OFFSET($R$3,0,0,'Données projet'!$E$9+1,1))-AVERAGE(OFFSET($H$3,0,0,'Données projet'!$E$9+1,1))</f>
        <v>196.72624686715807</v>
      </c>
      <c r="T81" s="59">
        <f t="shared" si="88"/>
        <v>37.315661698104691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49.166492656603801</v>
      </c>
      <c r="AA81" s="21">
        <f>EXP(-LN(2)/25)*AA80+(1-EXP(-LN(2)/25))/(LN(2)/25)*Calculateur!V81*Calculateur!X81*VLOOKUP('Données projet'!$B$9,Paramètres!$A$1:$I$89,3,0)*0.475*44/12</f>
        <v>30.452821913085526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79.619314569689323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-1.0000000000001137</v>
      </c>
      <c r="AJ81" s="13">
        <f>AI81*VLOOKUP('Données projet'!$B$10,Paramètres!$A$1:$I$89,3,0)*VLOOKUP('Données projet'!$B$10,Paramètres!$A$1:$I$89,5,0)</f>
        <v>-0.55900000000006356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325.42940802362739</v>
      </c>
      <c r="AO81" s="59">
        <f t="shared" si="90"/>
        <v>388.87198417542277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164.06677085667593</v>
      </c>
      <c r="AV81" s="21">
        <f>EXP(-LN(2)/25)*AV80+(1-EXP(-LN(2)/25))/(LN(2)/25)*Calculateur!AQ81*Calculateur!AS81*VLOOKUP('Données projet'!$B$10,Paramètres!$A$1:$I$89,3,0)*0.475*44/12</f>
        <v>54.942553106774334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219.00932396345027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</v>
      </c>
      <c r="BE81" s="13">
        <f>BD81*VLOOKUP('Données projet'!$B$11,Paramètres!$A$1:$I$89,3,0)*VLOOKUP('Données projet'!$B$11,Paramètres!$A$1:$I$89,5,0)</f>
        <v>-0.624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162.87524915738271</v>
      </c>
      <c r="BJ81" s="59">
        <f t="shared" si="92"/>
        <v>249.37880137966658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104.67423040176506</v>
      </c>
      <c r="BQ81" s="21">
        <f>EXP(-LN(2)/25)*BQ80+(1-EXP(-LN(2)/25))/(LN(2)/25)*Calculateur!BL81*Calculateur!BN81*VLOOKUP('Données projet'!$B$11,Paramètres!$A$1:$I$89,3,0)*0.475*44/12</f>
        <v>38.736184436013261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143.41041483777832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-1.4210854715202004E-13</v>
      </c>
      <c r="BZ81" s="13">
        <f>BY81*VLOOKUP('Données projet'!$B$12,Paramètres!$A$1:$I$89,3,0)*VLOOKUP('Données projet'!$B$12,Paramètres!$A$1:$I$89,5,0)</f>
        <v>-9.3109520094003535E-14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119.88584888779422</v>
      </c>
      <c r="CE81" s="59">
        <f t="shared" si="94"/>
        <v>162.97244314258774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35.129062950300792</v>
      </c>
      <c r="CL81" s="21">
        <f>EXP(-LN(2)/25)*CL80+(1-EXP(-LN(2)/25))/(LN(2)/25)*Calculateur!CG81*Calculateur!CI81*VLOOKUP('Données projet'!$B$12,Paramètres!$A$1:$I$89,3,0)*0.475*44/12</f>
        <v>14.952596822552632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50.081659772853428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5</v>
      </c>
      <c r="CT81" s="12">
        <f>IF('Données projet'!$A$140&gt;35,CT80+CS81-DB80,IF(A81&lt;'Données projet'!$A$140,$CQ$205^A81,IF(A81='Données projet'!$A$140,'Données projet'!$B$140,CT80+CS81-DB80)))</f>
        <v>219</v>
      </c>
      <c r="CU81" s="17">
        <f>CT81*VLOOKUP('Données projet'!$B$13,Paramètres!$A$1:$I$89,3,0)*VLOOKUP('Données projet'!$B$13,Paramètres!$A$1:$I$89,5,0)</f>
        <v>222.066</v>
      </c>
      <c r="CV81" s="13">
        <f t="shared" si="95"/>
        <v>54.563676045889338</v>
      </c>
      <c r="CW81" s="20">
        <f t="shared" si="67"/>
        <v>481.79668577992396</v>
      </c>
      <c r="CX81" s="59">
        <f t="shared" si="68"/>
        <v>775.13001911325728</v>
      </c>
      <c r="CY81" s="59">
        <f ca="1">AVERAGE(OFFSET($CX$3,0,0,'Données projet'!$E$13+1,1))-AVERAGE(OFFSET($H$3,0,0,'Données projet'!$E$13+1,1))</f>
        <v>261.75887764015459</v>
      </c>
      <c r="CZ81" s="59">
        <f t="shared" si="96"/>
        <v>209.74127356028544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14.873258063432864</v>
      </c>
      <c r="DG81" s="21">
        <f>EXP(-LN(2)/25)*DG80+(1-EXP(-LN(2)/25))/(LN(2)/25)*Calculateur!DB81*Calculateur!DD81*VLOOKUP('Données projet'!$B$13,Paramètres!$A$1:$I$89,3,0)*0.475*44/12</f>
        <v>19.409158455825402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34.282416519258263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2.8</v>
      </c>
      <c r="DO81" s="12">
        <f>IF('Données projet'!$A$166&gt;35,DO80+DN81-DW80,IF(A81&lt;'Données projet'!$A$166,$DL$205^A81,IF(A81='Données projet'!$A$166,'Données projet'!$B$166,DO80+DN81-DW80)))</f>
        <v>284.39999999999975</v>
      </c>
      <c r="DP81" s="17">
        <f>DO81*VLOOKUP('Données projet'!$B$14,Paramètres!$A$1:$I$89,3,0)*VLOOKUP('Données projet'!$B$14,Paramètres!$A$1:$I$89,5,0)</f>
        <v>226.26863999999981</v>
      </c>
      <c r="DQ81" s="13">
        <f t="shared" si="97"/>
        <v>55.475107836527862</v>
      </c>
      <c r="DR81" s="20">
        <f t="shared" si="70"/>
        <v>490.70369414861904</v>
      </c>
      <c r="DS81" s="59">
        <f t="shared" si="71"/>
        <v>784.03702748195235</v>
      </c>
      <c r="DT81" s="59">
        <f ca="1">AVERAGE(OFFSET($DS$3,0,0,'Données projet'!$E$14+1,1))-AVERAGE(OFFSET($H$3,0,0,'Données projet'!$E$14+1,1))</f>
        <v>215.37468832969444</v>
      </c>
      <c r="DU81" s="59">
        <f t="shared" si="98"/>
        <v>208.60212063136419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15.362610683304212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15.362610683304212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2.8</v>
      </c>
      <c r="EJ81" s="12">
        <f>IF('Données projet'!$A$192&gt;35,EJ80+EI81-ER80,IF(A81&lt;'Données projet'!$A$192,$EG$205^A81,IF(A81='Données projet'!$A$192,'Données projet'!$B$192,EJ80+EI81-ER80)))</f>
        <v>284.39999999999975</v>
      </c>
      <c r="EK81" s="17">
        <f>EJ81*VLOOKUP('Données projet'!$B$15,Paramètres!$A$1:$I$89,3,0)*VLOOKUP('Données projet'!$B$15,Paramètres!$A$1:$I$89,5,0)</f>
        <v>226.26863999999981</v>
      </c>
      <c r="EL81" s="13">
        <f t="shared" si="99"/>
        <v>55.475107836527862</v>
      </c>
      <c r="EM81" s="20">
        <f t="shared" si="73"/>
        <v>490.70369414861904</v>
      </c>
      <c r="EN81" s="59">
        <f t="shared" si="74"/>
        <v>784.03702748195235</v>
      </c>
      <c r="EO81" s="59">
        <f ca="1">AVERAGE(OFFSET($EN$3,0,0,'Données projet'!$E$15+1,1))-AVERAGE(OFFSET($H$3,0,0,'Données projet'!$E$15+1,1))</f>
        <v>215.37468832969444</v>
      </c>
      <c r="EP81" s="59">
        <f t="shared" si="100"/>
        <v>208.60212063136419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15.362610683304212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15.362610683304212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2.8</v>
      </c>
      <c r="FE81" s="12">
        <f>IF('Données projet'!$A$218&gt;35,FE80+FD81-FM80,IF(A81&lt;'Données projet'!$A$218,$FB$205^A81,IF(A81='Données projet'!$A$218,'Données projet'!$B$218,FE80+FD81-FM80)))</f>
        <v>284.39999999999975</v>
      </c>
      <c r="FF81" s="17">
        <f>FE81*VLOOKUP('Données projet'!$B$16,Paramètres!$A$1:$I$89,3,0)*VLOOKUP('Données projet'!$B$16,Paramètres!$A$1:$I$89,5,0)</f>
        <v>230.70527999999979</v>
      </c>
      <c r="FG81" s="13">
        <f t="shared" si="101"/>
        <v>56.435152371806929</v>
      </c>
      <c r="FH81" s="20">
        <f t="shared" si="76"/>
        <v>500.10291971422998</v>
      </c>
      <c r="FI81" s="59">
        <f t="shared" si="77"/>
        <v>793.43625304756324</v>
      </c>
      <c r="FJ81" s="59">
        <f ca="1">AVERAGE(OFFSET($FI$3,0,0,'Données projet'!$E$16+1,1))-AVERAGE(OFFSET($H$3,0,0,'Données projet'!$E$16+1,1))</f>
        <v>220.90439367987847</v>
      </c>
      <c r="FK81" s="59">
        <f t="shared" si="102"/>
        <v>213.66046131354858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15.66383834376116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15.66383834376116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1">
        <f t="shared" si="86"/>
        <v>18.197042620605469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67">
        <f t="shared" si="56"/>
        <v>436.64087589755445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14.1</v>
      </c>
      <c r="N82" s="13">
        <f>IF('Données projet'!$A$36&gt;35,N81+M82-V81,IF(A82&lt;'Données projet'!$A$36,$K$205^A82,IF(A82='Données projet'!$A$36,'Données projet'!$B$36,N81+M82-V81)))</f>
        <v>468.30000000000018</v>
      </c>
      <c r="O82" s="13">
        <f>N82*VLOOKUP('Données projet'!$B$9,Paramètres!$A$1:$I$89,3,0)*VLOOKUP('Données projet'!$B$9,Paramètres!$A$1:$I$89,5,0)</f>
        <v>219.16440000000009</v>
      </c>
      <c r="P82" s="13">
        <f t="shared" si="87"/>
        <v>53.933231985844266</v>
      </c>
      <c r="Q82" s="20">
        <f t="shared" si="54"/>
        <v>475.64504237534555</v>
      </c>
      <c r="R82" s="59">
        <f t="shared" si="55"/>
        <v>768.97837570867887</v>
      </c>
      <c r="S82" s="59">
        <f ca="1">AVERAGE(OFFSET($R$3,0,0,'Données projet'!$E$9+1,1))-AVERAGE(OFFSET($H$3,0,0,'Données projet'!$E$9+1,1))</f>
        <v>196.72624686715807</v>
      </c>
      <c r="T82" s="59">
        <f t="shared" si="88"/>
        <v>37.315661698104691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48.202367724207193</v>
      </c>
      <c r="AA82" s="21">
        <f>EXP(-LN(2)/25)*AA81+(1-EXP(-LN(2)/25))/(LN(2)/25)*Calculateur!V82*Calculateur!X82*VLOOKUP('Données projet'!$B$9,Paramètres!$A$1:$I$89,3,0)*0.475*44/12</f>
        <v>29.620087896427897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77.822455620635083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-1.0000000000001137</v>
      </c>
      <c r="AJ82" s="13">
        <f>AI82*VLOOKUP('Données projet'!$B$10,Paramètres!$A$1:$I$89,3,0)*VLOOKUP('Données projet'!$B$10,Paramètres!$A$1:$I$89,5,0)</f>
        <v>-0.55900000000006356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325.42940802362739</v>
      </c>
      <c r="AO82" s="59">
        <f t="shared" si="90"/>
        <v>388.87198417542277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160.84952155102556</v>
      </c>
      <c r="AV82" s="21">
        <f>EXP(-LN(2)/25)*AV81+(1-EXP(-LN(2)/25))/(LN(2)/25)*Calculateur!AQ82*Calculateur!AS82*VLOOKUP('Données projet'!$B$10,Paramètres!$A$1:$I$89,3,0)*0.475*44/12</f>
        <v>53.440146102766292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214.28966765379187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</v>
      </c>
      <c r="BE82" s="13">
        <f>BD82*VLOOKUP('Données projet'!$B$11,Paramètres!$A$1:$I$89,3,0)*VLOOKUP('Données projet'!$B$11,Paramètres!$A$1:$I$89,5,0)</f>
        <v>-0.624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162.87524915738271</v>
      </c>
      <c r="BJ82" s="59">
        <f t="shared" si="92"/>
        <v>249.37880137966658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102.62163258856282</v>
      </c>
      <c r="BQ82" s="21">
        <f>EXP(-LN(2)/25)*BQ81+(1-EXP(-LN(2)/25))/(LN(2)/25)*Calculateur!BL82*Calculateur!BN82*VLOOKUP('Données projet'!$B$11,Paramètres!$A$1:$I$89,3,0)*0.475*44/12</f>
        <v>37.676941435563073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140.29857402412588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-1.4210854715202004E-13</v>
      </c>
      <c r="BZ82" s="13">
        <f>BY82*VLOOKUP('Données projet'!$B$12,Paramètres!$A$1:$I$89,3,0)*VLOOKUP('Données projet'!$B$12,Paramètres!$A$1:$I$89,5,0)</f>
        <v>-9.3109520094003535E-14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119.88584888779422</v>
      </c>
      <c r="CE82" s="59">
        <f t="shared" si="94"/>
        <v>162.97244314258774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34.440203452458093</v>
      </c>
      <c r="CL82" s="21">
        <f>EXP(-LN(2)/25)*CL81+(1-EXP(-LN(2)/25))/(LN(2)/25)*Calculateur!CG82*Calculateur!CI82*VLOOKUP('Données projet'!$B$12,Paramètres!$A$1:$I$89,3,0)*0.475*44/12</f>
        <v>14.543717276117038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48.983920728575129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5</v>
      </c>
      <c r="CT82" s="12">
        <f>IF('Données projet'!$A$140&gt;35,CT81+CS82-DB81,IF(A82&lt;'Données projet'!$A$140,$CQ$205^A82,IF(A82='Données projet'!$A$140,'Données projet'!$B$140,CT81+CS82-DB81)))</f>
        <v>224</v>
      </c>
      <c r="CU82" s="17">
        <f>CT82*VLOOKUP('Données projet'!$B$13,Paramètres!$A$1:$I$89,3,0)*VLOOKUP('Données projet'!$B$13,Paramètres!$A$1:$I$89,5,0)</f>
        <v>227.136</v>
      </c>
      <c r="CV82" s="13">
        <f t="shared" si="95"/>
        <v>55.662966886685133</v>
      </c>
      <c r="CW82" s="20">
        <f t="shared" si="67"/>
        <v>492.54153399430999</v>
      </c>
      <c r="CX82" s="59">
        <f t="shared" si="68"/>
        <v>785.8748673276433</v>
      </c>
      <c r="CY82" s="59">
        <f ca="1">AVERAGE(OFFSET($CX$3,0,0,'Données projet'!$E$13+1,1))-AVERAGE(OFFSET($H$3,0,0,'Données projet'!$E$13+1,1))</f>
        <v>261.75887764015459</v>
      </c>
      <c r="CZ82" s="59">
        <f t="shared" si="96"/>
        <v>209.74127356028544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14.581602544600599</v>
      </c>
      <c r="DG82" s="21">
        <f>EXP(-LN(2)/25)*DG81+(1-EXP(-LN(2)/25))/(LN(2)/25)*Calculateur!DB82*Calculateur!DD82*VLOOKUP('Données projet'!$B$13,Paramètres!$A$1:$I$89,3,0)*0.475*44/12</f>
        <v>18.878413997167574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33.460016541768169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2.8</v>
      </c>
      <c r="DO82" s="12">
        <f>IF('Données projet'!$A$166&gt;35,DO81+DN82-DW81,IF(A82&lt;'Données projet'!$A$166,$DL$205^A82,IF(A82='Données projet'!$A$166,'Données projet'!$B$166,DO81+DN82-DW81)))</f>
        <v>287.19999999999976</v>
      </c>
      <c r="DP82" s="17">
        <f>DO82*VLOOKUP('Données projet'!$B$14,Paramètres!$A$1:$I$89,3,0)*VLOOKUP('Données projet'!$B$14,Paramètres!$A$1:$I$89,5,0)</f>
        <v>228.49631999999986</v>
      </c>
      <c r="DQ82" s="13">
        <f t="shared" si="97"/>
        <v>55.957426745979213</v>
      </c>
      <c r="DR82" s="20">
        <f t="shared" si="70"/>
        <v>495.42360891591352</v>
      </c>
      <c r="DS82" s="59">
        <f t="shared" si="71"/>
        <v>788.75694224924678</v>
      </c>
      <c r="DT82" s="59">
        <f ca="1">AVERAGE(OFFSET($DS$3,0,0,'Données projet'!$E$14+1,1))-AVERAGE(OFFSET($H$3,0,0,'Données projet'!$E$14+1,1))</f>
        <v>215.37468832969444</v>
      </c>
      <c r="DU82" s="59">
        <f t="shared" si="98"/>
        <v>208.60212063136419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15.061359258071896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15.061359258071896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2.8</v>
      </c>
      <c r="EJ82" s="12">
        <f>IF('Données projet'!$A$192&gt;35,EJ81+EI82-ER81,IF(A82&lt;'Données projet'!$A$192,$EG$205^A82,IF(A82='Données projet'!$A$192,'Données projet'!$B$192,EJ81+EI82-ER81)))</f>
        <v>287.19999999999976</v>
      </c>
      <c r="EK82" s="17">
        <f>EJ82*VLOOKUP('Données projet'!$B$15,Paramètres!$A$1:$I$89,3,0)*VLOOKUP('Données projet'!$B$15,Paramètres!$A$1:$I$89,5,0)</f>
        <v>228.49631999999986</v>
      </c>
      <c r="EL82" s="13">
        <f t="shared" si="99"/>
        <v>55.957426745979213</v>
      </c>
      <c r="EM82" s="20">
        <f t="shared" si="73"/>
        <v>495.42360891591352</v>
      </c>
      <c r="EN82" s="59">
        <f t="shared" si="74"/>
        <v>788.75694224924678</v>
      </c>
      <c r="EO82" s="59">
        <f ca="1">AVERAGE(OFFSET($EN$3,0,0,'Données projet'!$E$15+1,1))-AVERAGE(OFFSET($H$3,0,0,'Données projet'!$E$15+1,1))</f>
        <v>215.37468832969444</v>
      </c>
      <c r="EP82" s="59">
        <f t="shared" si="100"/>
        <v>208.60212063136419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15.061359258071896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15.061359258071896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2.8</v>
      </c>
      <c r="FE82" s="12">
        <f>IF('Données projet'!$A$218&gt;35,FE81+FD82-FM81,IF(A82&lt;'Données projet'!$A$218,$FB$205^A82,IF(A82='Données projet'!$A$218,'Données projet'!$B$218,FE81+FD82-FM81)))</f>
        <v>287.19999999999976</v>
      </c>
      <c r="FF82" s="17">
        <f>FE82*VLOOKUP('Données projet'!$B$16,Paramètres!$A$1:$I$89,3,0)*VLOOKUP('Données projet'!$B$16,Paramètres!$A$1:$I$89,5,0)</f>
        <v>232.97663999999983</v>
      </c>
      <c r="FG82" s="13">
        <f t="shared" si="101"/>
        <v>56.925818225524672</v>
      </c>
      <c r="FH82" s="20">
        <f t="shared" si="76"/>
        <v>504.91344807612194</v>
      </c>
      <c r="FI82" s="59">
        <f t="shared" si="77"/>
        <v>798.24678140945525</v>
      </c>
      <c r="FJ82" s="59">
        <f ca="1">AVERAGE(OFFSET($FI$3,0,0,'Données projet'!$E$16+1,1))-AVERAGE(OFFSET($H$3,0,0,'Données projet'!$E$16+1,1))</f>
        <v>220.90439367987847</v>
      </c>
      <c r="FK82" s="59">
        <f t="shared" si="102"/>
        <v>213.66046131354858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15.356680027838015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15.356680027838015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1">
        <f t="shared" si="86"/>
        <v>18.400423846102949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67">
        <f t="shared" si="56"/>
        <v>438.40793819862927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14.1</v>
      </c>
      <c r="N83" s="13">
        <f>IF('Données projet'!$A$36&gt;35,N82+M83-V82,IF(A83&lt;'Données projet'!$A$36,$K$205^A83,IF(A83='Données projet'!$A$36,'Données projet'!$B$36,N82+M83-V82)))</f>
        <v>482.4000000000002</v>
      </c>
      <c r="O83" s="13">
        <f>N83*VLOOKUP('Données projet'!$B$9,Paramètres!$A$1:$I$89,3,0)*VLOOKUP('Données projet'!$B$9,Paramètres!$A$1:$I$89,5,0)</f>
        <v>225.7632000000001</v>
      </c>
      <c r="P83" s="13">
        <f t="shared" si="87"/>
        <v>55.365597375021402</v>
      </c>
      <c r="Q83" s="20">
        <f t="shared" si="54"/>
        <v>489.63265542816242</v>
      </c>
      <c r="R83" s="59">
        <f t="shared" si="55"/>
        <v>782.96598876149574</v>
      </c>
      <c r="S83" s="59">
        <f ca="1">AVERAGE(OFFSET($R$3,0,0,'Données projet'!$E$9+1,1))-AVERAGE(OFFSET($H$3,0,0,'Données projet'!$E$9+1,1))</f>
        <v>196.72624686715807</v>
      </c>
      <c r="T83" s="59">
        <f t="shared" si="88"/>
        <v>37.315661698104691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47.25714869367674</v>
      </c>
      <c r="AA83" s="21">
        <f>EXP(-LN(2)/25)*AA82+(1-EXP(-LN(2)/25))/(LN(2)/25)*Calculateur!V83*Calculateur!X83*VLOOKUP('Données projet'!$B$9,Paramètres!$A$1:$I$89,3,0)*0.475*44/12</f>
        <v>28.810125035247353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76.067273728924093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-1.0000000000001137</v>
      </c>
      <c r="AJ83" s="13">
        <f>AI83*VLOOKUP('Données projet'!$B$10,Paramètres!$A$1:$I$89,3,0)*VLOOKUP('Données projet'!$B$10,Paramètres!$A$1:$I$89,5,0)</f>
        <v>-0.55900000000006356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325.42940802362739</v>
      </c>
      <c r="AO83" s="59">
        <f t="shared" si="90"/>
        <v>388.87198417542277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157.69536054193068</v>
      </c>
      <c r="AV83" s="21">
        <f>EXP(-LN(2)/25)*AV82+(1-EXP(-LN(2)/25))/(LN(2)/25)*Calculateur!AQ83*Calculateur!AS83*VLOOKUP('Données projet'!$B$10,Paramètres!$A$1:$I$89,3,0)*0.475*44/12</f>
        <v>51.978822497291006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209.6741830392217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</v>
      </c>
      <c r="BE83" s="13">
        <f>BD83*VLOOKUP('Données projet'!$B$11,Paramètres!$A$1:$I$89,3,0)*VLOOKUP('Données projet'!$B$11,Paramètres!$A$1:$I$89,5,0)</f>
        <v>-0.624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162.87524915738271</v>
      </c>
      <c r="BJ83" s="59">
        <f t="shared" si="92"/>
        <v>249.37880137966658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100.60928496651643</v>
      </c>
      <c r="BQ83" s="21">
        <f>EXP(-LN(2)/25)*BQ82+(1-EXP(-LN(2)/25))/(LN(2)/25)*Calculateur!BL83*Calculateur!BN83*VLOOKUP('Données projet'!$B$11,Paramètres!$A$1:$I$89,3,0)*0.475*44/12</f>
        <v>36.646663490663364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137.25594845717978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-1.4210854715202004E-13</v>
      </c>
      <c r="BZ83" s="13">
        <f>BY83*VLOOKUP('Données projet'!$B$12,Paramètres!$A$1:$I$89,3,0)*VLOOKUP('Données projet'!$B$12,Paramètres!$A$1:$I$89,5,0)</f>
        <v>-9.3109520094003535E-14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119.88584888779422</v>
      </c>
      <c r="CE83" s="59">
        <f t="shared" si="94"/>
        <v>162.97244314258774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33.764852069205283</v>
      </c>
      <c r="CL83" s="21">
        <f>EXP(-LN(2)/25)*CL82+(1-EXP(-LN(2)/25))/(LN(2)/25)*Calculateur!CG83*Calculateur!CI83*VLOOKUP('Données projet'!$B$12,Paramètres!$A$1:$I$89,3,0)*0.475*44/12</f>
        <v>14.146018562380766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47.91087063158605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5</v>
      </c>
      <c r="CT83" s="12">
        <f>IF('Données projet'!$A$140&gt;35,CT82+CS83-DB82,IF(A83&lt;'Données projet'!$A$140,$CQ$205^A83,IF(A83='Données projet'!$A$140,'Données projet'!$B$140,CT82+CS83-DB82)))</f>
        <v>229</v>
      </c>
      <c r="CU83" s="17">
        <f>CT83*VLOOKUP('Données projet'!$B$13,Paramètres!$A$1:$I$89,3,0)*VLOOKUP('Données projet'!$B$13,Paramètres!$A$1:$I$89,5,0)</f>
        <v>232.20599999999999</v>
      </c>
      <c r="CV83" s="13">
        <f t="shared" si="95"/>
        <v>56.759404991217572</v>
      </c>
      <c r="CW83" s="20">
        <f t="shared" si="67"/>
        <v>503.28141369303722</v>
      </c>
      <c r="CX83" s="59">
        <f t="shared" si="68"/>
        <v>796.61474702637054</v>
      </c>
      <c r="CY83" s="59">
        <f ca="1">AVERAGE(OFFSET($CX$3,0,0,'Données projet'!$E$13+1,1))-AVERAGE(OFFSET($H$3,0,0,'Données projet'!$E$13+1,1))</f>
        <v>261.75887764015459</v>
      </c>
      <c r="CZ83" s="59">
        <f t="shared" si="96"/>
        <v>209.74127356028544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14.295666212600334</v>
      </c>
      <c r="DG83" s="21">
        <f>EXP(-LN(2)/25)*DG82+(1-EXP(-LN(2)/25))/(LN(2)/25)*Calculateur!DB83*Calculateur!DD83*VLOOKUP('Données projet'!$B$13,Paramètres!$A$1:$I$89,3,0)*0.475*44/12</f>
        <v>18.362182773642381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32.657848986242712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290</v>
      </c>
      <c r="DM83" s="12">
        <f>VLOOKUP(A83,'Données projet'!$A$165:$I$185,9,0)</f>
        <v>2.8</v>
      </c>
      <c r="DN83" s="12">
        <f t="array" ref="DN83">INDEX(DM:DM,MIN(IF(ISNUMBER(DM83:DM279),ROW(DM83:DM279),"")))</f>
        <v>2.8</v>
      </c>
      <c r="DO83" s="12">
        <f>IF('Données projet'!$A$166&gt;35,DO82+DN83-DW82,IF(A83&lt;'Données projet'!$A$166,$DL$205^A83,IF(A83='Données projet'!$A$166,'Données projet'!$B$166,DO82+DN83-DW82)))</f>
        <v>289.99999999999977</v>
      </c>
      <c r="DP83" s="17">
        <f>DO83*VLOOKUP('Données projet'!$B$14,Paramètres!$A$1:$I$89,3,0)*VLOOKUP('Données projet'!$B$14,Paramètres!$A$1:$I$89,5,0)</f>
        <v>230.72399999999985</v>
      </c>
      <c r="DQ83" s="13">
        <f t="shared" si="97"/>
        <v>56.439198612082045</v>
      </c>
      <c r="DR83" s="20">
        <f t="shared" si="70"/>
        <v>500.14257091604259</v>
      </c>
      <c r="DS83" s="59">
        <f t="shared" si="71"/>
        <v>793.47590424937584</v>
      </c>
      <c r="DT83" s="59">
        <f ca="1">AVERAGE(OFFSET($DS$3,0,0,'Données projet'!$E$14+1,1))-AVERAGE(OFFSET($H$3,0,0,'Données projet'!$E$14+1,1))</f>
        <v>215.37468832969444</v>
      </c>
      <c r="DU83" s="59">
        <f t="shared" si="98"/>
        <v>208.60212063136419</v>
      </c>
      <c r="DV83" s="15">
        <f>IF(ISNA(VLOOKUP(A83,'Données projet'!$A$165:$I$185,3,0)),0,VLOOKUP(A83,'Données projet'!$A$165:$I$185,3,0))</f>
        <v>13</v>
      </c>
      <c r="DW83" s="15">
        <f>IF(ISNA(VLOOKUP(A83,'Données projet'!$A$165:$I$185,4,0)),0,VLOOKUP(A83,'Données projet'!$A$165:$I$185,4,0))</f>
        <v>290</v>
      </c>
      <c r="DX83" s="16">
        <f>IF(ISNA(VLOOKUP(A83,'Données projet'!$A$165:$I$185,5,0)),0%,VLOOKUP(A83,'Données projet'!$A$165:$I$185,5,0)*VLOOKUP('Données projet'!$B$14,Paramètres!$A$1:$I$89,7,0))</f>
        <v>0.371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109.39273644091384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109.39273644091384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290</v>
      </c>
      <c r="EH83" s="12">
        <f>VLOOKUP(A83,'Données projet'!$A$191:$I$211,9,0)</f>
        <v>2.8</v>
      </c>
      <c r="EI83" s="12">
        <f t="array" ref="EI83">INDEX(EH:EH,MIN(IF(ISNUMBER(EH83:EH279),ROW(EH83:EH279),"")))</f>
        <v>2.8</v>
      </c>
      <c r="EJ83" s="12">
        <f>IF('Données projet'!$A$192&gt;35,EJ82+EI83-ER82,IF(A83&lt;'Données projet'!$A$192,$EG$205^A83,IF(A83='Données projet'!$A$192,'Données projet'!$B$192,EJ82+EI83-ER82)))</f>
        <v>289.99999999999977</v>
      </c>
      <c r="EK83" s="17">
        <f>EJ83*VLOOKUP('Données projet'!$B$15,Paramètres!$A$1:$I$89,3,0)*VLOOKUP('Données projet'!$B$15,Paramètres!$A$1:$I$89,5,0)</f>
        <v>230.72399999999985</v>
      </c>
      <c r="EL83" s="13">
        <f t="shared" si="99"/>
        <v>56.439198612082045</v>
      </c>
      <c r="EM83" s="20">
        <f t="shared" si="73"/>
        <v>500.14257091604259</v>
      </c>
      <c r="EN83" s="59">
        <f t="shared" si="74"/>
        <v>793.47590424937584</v>
      </c>
      <c r="EO83" s="59">
        <f ca="1">AVERAGE(OFFSET($EN$3,0,0,'Données projet'!$E$15+1,1))-AVERAGE(OFFSET($H$3,0,0,'Données projet'!$E$15+1,1))</f>
        <v>215.37468832969444</v>
      </c>
      <c r="EP83" s="59">
        <f t="shared" si="100"/>
        <v>208.60212063136419</v>
      </c>
      <c r="EQ83" s="15">
        <f>IF(ISNA(VLOOKUP(A83,'Données projet'!$A$191:$I$211,3,0)),0,VLOOKUP(A83,'Données projet'!$A$191:$I$211,3,0))</f>
        <v>13</v>
      </c>
      <c r="ER83" s="15">
        <f>IF(ISNA(VLOOKUP(A83,'Données projet'!$A$191:$I$211,4,0)),0,VLOOKUP(A83,'Données projet'!$A$191:$I$211,4,0))</f>
        <v>290</v>
      </c>
      <c r="ES83" s="16">
        <f>IF(ISNA(VLOOKUP(A83,'Données projet'!$A$191:$I$211,5,0)),0%,VLOOKUP(A83,'Données projet'!$A$191:$I$211,5,0)*VLOOKUP('Données projet'!$B$15,Paramètres!$A$1:$I$89,7,0))</f>
        <v>0.371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109.39273644091384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109.39273644091384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290</v>
      </c>
      <c r="FC83" s="12">
        <f>VLOOKUP(A83,'Données projet'!$A$217:$I$237,9,0)</f>
        <v>2.8</v>
      </c>
      <c r="FD83" s="12">
        <f t="array" ref="FD83">INDEX(FC:FC,MIN(IF(ISNUMBER(FC83:FC279),ROW(FC83:FC279),"")))</f>
        <v>2.8</v>
      </c>
      <c r="FE83" s="12">
        <f>IF('Données projet'!$A$218&gt;35,FE82+FD83-FM82,IF(A83&lt;'Données projet'!$A$218,$FB$205^A83,IF(A83='Données projet'!$A$218,'Données projet'!$B$218,FE82+FD83-FM82)))</f>
        <v>289.99999999999977</v>
      </c>
      <c r="FF83" s="17">
        <f>FE83*VLOOKUP('Données projet'!$B$16,Paramètres!$A$1:$I$89,3,0)*VLOOKUP('Données projet'!$B$16,Paramètres!$A$1:$I$89,5,0)</f>
        <v>235.24799999999985</v>
      </c>
      <c r="FG83" s="13">
        <f t="shared" si="101"/>
        <v>57.41592756883739</v>
      </c>
      <c r="FH83" s="20">
        <f t="shared" si="76"/>
        <v>509.72300718239154</v>
      </c>
      <c r="FI83" s="59">
        <f t="shared" si="77"/>
        <v>803.05634051572486</v>
      </c>
      <c r="FJ83" s="59">
        <f ca="1">AVERAGE(OFFSET($FI$3,0,0,'Données projet'!$E$16+1,1))-AVERAGE(OFFSET($H$3,0,0,'Données projet'!$E$16+1,1))</f>
        <v>220.90439367987847</v>
      </c>
      <c r="FK83" s="59">
        <f t="shared" si="102"/>
        <v>213.66046131354858</v>
      </c>
      <c r="FL83" s="15">
        <f>IF(ISNA(VLOOKUP(A83,'Données projet'!$A$217:$I$237,3,0)),0,VLOOKUP(A83,'Données projet'!$A$217:$I$237,3,0))</f>
        <v>13</v>
      </c>
      <c r="FM83" s="15">
        <f>IF(ISNA(VLOOKUP(A83,'Données projet'!$A$217:$I$237,4,0)),0,VLOOKUP(A83,'Données projet'!$A$217:$I$237,4,0))</f>
        <v>290</v>
      </c>
      <c r="FN83" s="16">
        <f>IF(ISNA(VLOOKUP(A83,'Données projet'!$A$217:$I$237,5,0)),0%,VLOOKUP(A83,'Données projet'!$A$217:$I$237,5,0)*VLOOKUP('Données projet'!$B$16,Paramètres!$A$1:$I$89,7,0))</f>
        <v>0.371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111.53769205740237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111.53769205740237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1">
        <f t="shared" si="86"/>
        <v>18.603509358951104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67">
        <f t="shared" si="56"/>
        <v>440.17448546683977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14.1</v>
      </c>
      <c r="N84" s="13">
        <f>IF('Données projet'!$A$36&gt;35,N83+M84-V83,IF(A84&lt;'Données projet'!$A$36,$K$205^A84,IF(A84='Données projet'!$A$36,'Données projet'!$B$36,N83+M84-V83)))</f>
        <v>496.50000000000023</v>
      </c>
      <c r="O84" s="13">
        <f>N84*VLOOKUP('Données projet'!$B$9,Paramètres!$A$1:$I$89,3,0)*VLOOKUP('Données projet'!$B$9,Paramètres!$A$1:$I$89,5,0)</f>
        <v>232.36200000000008</v>
      </c>
      <c r="P84" s="13">
        <f t="shared" si="87"/>
        <v>56.793097063629432</v>
      </c>
      <c r="Q84" s="20">
        <f t="shared" si="54"/>
        <v>503.61179405248805</v>
      </c>
      <c r="R84" s="59">
        <f t="shared" si="55"/>
        <v>796.94512738582137</v>
      </c>
      <c r="S84" s="59">
        <f ca="1">AVERAGE(OFFSET($R$3,0,0,'Données projet'!$E$9+1,1))-AVERAGE(OFFSET($H$3,0,0,'Données projet'!$E$9+1,1))</f>
        <v>196.72624686715807</v>
      </c>
      <c r="T84" s="59">
        <f t="shared" si="88"/>
        <v>37.315661698104691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46.330464831808307</v>
      </c>
      <c r="AA84" s="21">
        <f>EXP(-LN(2)/25)*AA83+(1-EXP(-LN(2)/25))/(LN(2)/25)*Calculateur!V84*Calculateur!X84*VLOOKUP('Données projet'!$B$9,Paramètres!$A$1:$I$89,3,0)*0.475*44/12</f>
        <v>28.022310651099886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74.352775482908186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-1.0000000000001137</v>
      </c>
      <c r="AJ84" s="13">
        <f>AI84*VLOOKUP('Données projet'!$B$10,Paramètres!$A$1:$I$89,3,0)*VLOOKUP('Données projet'!$B$10,Paramètres!$A$1:$I$89,5,0)</f>
        <v>-0.55900000000006356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325.42940802362739</v>
      </c>
      <c r="AO84" s="59">
        <f t="shared" si="90"/>
        <v>388.87198417542277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154.60305070637591</v>
      </c>
      <c r="AV84" s="21">
        <f>EXP(-LN(2)/25)*AV83+(1-EXP(-LN(2)/25))/(LN(2)/25)*Calculateur!AQ84*Calculateur!AS84*VLOOKUP('Données projet'!$B$10,Paramètres!$A$1:$I$89,3,0)*0.475*44/12</f>
        <v>50.55745886265511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205.16050956903103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</v>
      </c>
      <c r="BE84" s="13">
        <f>BD84*VLOOKUP('Données projet'!$B$11,Paramètres!$A$1:$I$89,3,0)*VLOOKUP('Données projet'!$B$11,Paramètres!$A$1:$I$89,5,0)</f>
        <v>-0.624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162.87524915738271</v>
      </c>
      <c r="BJ84" s="59">
        <f t="shared" si="92"/>
        <v>249.37880137966658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98.636398253927524</v>
      </c>
      <c r="BQ84" s="21">
        <f>EXP(-LN(2)/25)*BQ83+(1-EXP(-LN(2)/25))/(LN(2)/25)*Calculateur!BL84*Calculateur!BN84*VLOOKUP('Données projet'!$B$11,Paramètres!$A$1:$I$89,3,0)*0.475*44/12</f>
        <v>35.6445585503469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134.28095680427441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-1.4210854715202004E-13</v>
      </c>
      <c r="BZ84" s="13">
        <f>BY84*VLOOKUP('Données projet'!$B$12,Paramètres!$A$1:$I$89,3,0)*VLOOKUP('Données projet'!$B$12,Paramètres!$A$1:$I$89,5,0)</f>
        <v>-9.3109520094003535E-14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119.88584888779422</v>
      </c>
      <c r="CE84" s="59">
        <f t="shared" si="94"/>
        <v>162.97244314258774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33.10274391465439</v>
      </c>
      <c r="CL84" s="21">
        <f>EXP(-LN(2)/25)*CL83+(1-EXP(-LN(2)/25))/(LN(2)/25)*Calculateur!CG84*Calculateur!CI84*VLOOKUP('Données projet'!$B$12,Paramètres!$A$1:$I$89,3,0)*0.475*44/12</f>
        <v>13.75919494088568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46.861938855540068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5</v>
      </c>
      <c r="CT84" s="12">
        <f>IF('Données projet'!$A$140&gt;35,CT83+CS84-DB83,IF(A84&lt;'Données projet'!$A$140,$CQ$205^A84,IF(A84='Données projet'!$A$140,'Données projet'!$B$140,CT83+CS84-DB83)))</f>
        <v>234</v>
      </c>
      <c r="CU84" s="17">
        <f>CT84*VLOOKUP('Données projet'!$B$13,Paramètres!$A$1:$I$89,3,0)*VLOOKUP('Données projet'!$B$13,Paramètres!$A$1:$I$89,5,0)</f>
        <v>237.27600000000001</v>
      </c>
      <c r="CV84" s="13">
        <f t="shared" si="95"/>
        <v>57.853059819349561</v>
      </c>
      <c r="CW84" s="20">
        <f t="shared" si="67"/>
        <v>514.01644585203383</v>
      </c>
      <c r="CX84" s="59">
        <f t="shared" si="68"/>
        <v>807.3497791853672</v>
      </c>
      <c r="CY84" s="59">
        <f ca="1">AVERAGE(OFFSET($CX$3,0,0,'Données projet'!$E$13+1,1))-AVERAGE(OFFSET($H$3,0,0,'Données projet'!$E$13+1,1))</f>
        <v>261.75887764015459</v>
      </c>
      <c r="CZ84" s="59">
        <f t="shared" si="96"/>
        <v>209.74127356028544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14.015336917666653</v>
      </c>
      <c r="DG84" s="21">
        <f>EXP(-LN(2)/25)*DG83+(1-EXP(-LN(2)/25))/(LN(2)/25)*Calculateur!DB84*Calculateur!DD84*VLOOKUP('Données projet'!$B$13,Paramètres!$A$1:$I$89,3,0)*0.475*44/12</f>
        <v>17.860067920071906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31.875404837738557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-2.2737367544323206E-13</v>
      </c>
      <c r="DP84" s="17">
        <f>DO84*VLOOKUP('Données projet'!$B$14,Paramètres!$A$1:$I$89,3,0)*VLOOKUP('Données projet'!$B$14,Paramètres!$A$1:$I$89,5,0)</f>
        <v>-1.8089849618263545E-13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215.37468832969444</v>
      </c>
      <c r="DU84" s="59">
        <f t="shared" si="98"/>
        <v>208.60212063136419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107.2476116022884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107.2476116022884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-2.2737367544323206E-13</v>
      </c>
      <c r="EK84" s="17">
        <f>EJ84*VLOOKUP('Données projet'!$B$15,Paramètres!$A$1:$I$89,3,0)*VLOOKUP('Données projet'!$B$15,Paramètres!$A$1:$I$89,5,0)</f>
        <v>-1.8089849618263545E-13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215.37468832969444</v>
      </c>
      <c r="EP84" s="59">
        <f t="shared" si="100"/>
        <v>208.60212063136419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107.2476116022884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107.2476116022884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-2.2737367544323206E-13</v>
      </c>
      <c r="FF84" s="17">
        <f>FE84*VLOOKUP('Données projet'!$B$16,Paramètres!$A$1:$I$89,3,0)*VLOOKUP('Données projet'!$B$16,Paramètres!$A$1:$I$89,5,0)</f>
        <v>-1.8444552551954985E-13</v>
      </c>
      <c r="FG84" s="13" t="e">
        <f t="shared" si="101"/>
        <v>#NUM!</v>
      </c>
      <c r="FH84" s="20" t="e">
        <f t="shared" si="76"/>
        <v>#NUM!</v>
      </c>
      <c r="FI84" s="59" t="e">
        <f t="shared" si="77"/>
        <v>#NUM!</v>
      </c>
      <c r="FJ84" s="59">
        <f ca="1">AVERAGE(OFFSET($FI$3,0,0,'Données projet'!$E$16+1,1))-AVERAGE(OFFSET($H$3,0,0,'Données projet'!$E$16+1,1))</f>
        <v>220.90439367987847</v>
      </c>
      <c r="FK84" s="59">
        <f t="shared" si="102"/>
        <v>213.66046131354858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109.35050594743133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109.35050594743133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1">
        <f t="shared" si="86"/>
        <v>18.80630323215442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67">
        <f t="shared" si="56"/>
        <v>441.94052479600219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14.1</v>
      </c>
      <c r="N85" s="13">
        <f>IF('Données projet'!$A$36&gt;35,N84+M85-V84,IF(A85&lt;'Données projet'!$A$36,$K$205^A85,IF(A85='Données projet'!$A$36,'Données projet'!$B$36,N84+M85-V84)))</f>
        <v>510.60000000000025</v>
      </c>
      <c r="O85" s="13">
        <f>N85*VLOOKUP('Données projet'!$B$9,Paramètres!$A$1:$I$89,3,0)*VLOOKUP('Données projet'!$B$9,Paramètres!$A$1:$I$89,5,0)</f>
        <v>238.96080000000012</v>
      </c>
      <c r="P85" s="13">
        <f t="shared" si="87"/>
        <v>58.215885103108349</v>
      </c>
      <c r="Q85" s="20">
        <f t="shared" si="54"/>
        <v>517.58272655458052</v>
      </c>
      <c r="R85" s="59">
        <f t="shared" si="55"/>
        <v>810.91605988791389</v>
      </c>
      <c r="S85" s="59">
        <f ca="1">AVERAGE(OFFSET($R$3,0,0,'Données projet'!$E$9+1,1))-AVERAGE(OFFSET($H$3,0,0,'Données projet'!$E$9+1,1))</f>
        <v>196.72624686715807</v>
      </c>
      <c r="T85" s="59">
        <f t="shared" si="88"/>
        <v>37.315661698104691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45.42195267524977</v>
      </c>
      <c r="AA85" s="21">
        <f>EXP(-LN(2)/25)*AA84+(1-EXP(-LN(2)/25))/(LN(2)/25)*Calculateur!V85*Calculateur!X85*VLOOKUP('Données projet'!$B$9,Paramètres!$A$1:$I$89,3,0)*0.475*44/12</f>
        <v>27.256039092716289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72.677991767966063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-1.0000000000001137</v>
      </c>
      <c r="AJ85" s="13">
        <f>AI85*VLOOKUP('Données projet'!$B$10,Paramètres!$A$1:$I$89,3,0)*VLOOKUP('Données projet'!$B$10,Paramètres!$A$1:$I$89,5,0)</f>
        <v>-0.55900000000006356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325.42940802362739</v>
      </c>
      <c r="AO85" s="59">
        <f t="shared" si="90"/>
        <v>388.87198417542277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151.57137918057362</v>
      </c>
      <c r="AV85" s="21">
        <f>EXP(-LN(2)/25)*AV84+(1-EXP(-LN(2)/25))/(LN(2)/25)*Calculateur!AQ85*Calculateur!AS85*VLOOKUP('Données projet'!$B$10,Paramètres!$A$1:$I$89,3,0)*0.475*44/12</f>
        <v>49.174962491354599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200.74634167192821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</v>
      </c>
      <c r="BE85" s="13">
        <f>BD85*VLOOKUP('Données projet'!$B$11,Paramètres!$A$1:$I$89,3,0)*VLOOKUP('Données projet'!$B$11,Paramètres!$A$1:$I$89,5,0)</f>
        <v>-0.624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162.87524915738271</v>
      </c>
      <c r="BJ85" s="59">
        <f t="shared" si="92"/>
        <v>249.37880137966658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96.702198646430404</v>
      </c>
      <c r="BQ85" s="21">
        <f>EXP(-LN(2)/25)*BQ84+(1-EXP(-LN(2)/25))/(LN(2)/25)*Calculateur!BL85*Calculateur!BN85*VLOOKUP('Données projet'!$B$11,Paramètres!$A$1:$I$89,3,0)*0.475*44/12</f>
        <v>34.669856222321798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131.3720548687522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-1.4210854715202004E-13</v>
      </c>
      <c r="BZ85" s="13">
        <f>BY85*VLOOKUP('Données projet'!$B$12,Paramètres!$A$1:$I$89,3,0)*VLOOKUP('Données projet'!$B$12,Paramètres!$A$1:$I$89,5,0)</f>
        <v>-9.3109520094003535E-14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119.88584888779422</v>
      </c>
      <c r="CE85" s="59">
        <f t="shared" si="94"/>
        <v>162.97244314258774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32.453619297168139</v>
      </c>
      <c r="CL85" s="21">
        <f>EXP(-LN(2)/25)*CL84+(1-EXP(-LN(2)/25))/(LN(2)/25)*Calculateur!CG85*Calculateur!CI85*VLOOKUP('Données projet'!$B$12,Paramètres!$A$1:$I$89,3,0)*0.475*44/12</f>
        <v>13.382949031662546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45.836568328830687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5</v>
      </c>
      <c r="CT85" s="12">
        <f>IF('Données projet'!$A$140&gt;35,CT84+CS85-DB84,IF(A85&lt;'Données projet'!$A$140,$CQ$205^A85,IF(A85='Données projet'!$A$140,'Données projet'!$B$140,CT84+CS85-DB84)))</f>
        <v>239</v>
      </c>
      <c r="CU85" s="17">
        <f>CT85*VLOOKUP('Données projet'!$B$13,Paramètres!$A$1:$I$89,3,0)*VLOOKUP('Données projet'!$B$13,Paramètres!$A$1:$I$89,5,0)</f>
        <v>242.346</v>
      </c>
      <c r="CV85" s="13">
        <f t="shared" si="95"/>
        <v>58.943997693000377</v>
      </c>
      <c r="CW85" s="20">
        <f t="shared" si="67"/>
        <v>524.74674598197555</v>
      </c>
      <c r="CX85" s="59">
        <f t="shared" si="68"/>
        <v>818.08007931530892</v>
      </c>
      <c r="CY85" s="59">
        <f ca="1">AVERAGE(OFFSET($CX$3,0,0,'Données projet'!$E$13+1,1))-AVERAGE(OFFSET($H$3,0,0,'Données projet'!$E$13+1,1))</f>
        <v>261.75887764015459</v>
      </c>
      <c r="CZ85" s="59">
        <f t="shared" si="96"/>
        <v>209.74127356028544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13.740504709222634</v>
      </c>
      <c r="DG85" s="21">
        <f>EXP(-LN(2)/25)*DG84+(1-EXP(-LN(2)/25))/(LN(2)/25)*Calculateur!DB85*Calculateur!DD85*VLOOKUP('Données projet'!$B$13,Paramètres!$A$1:$I$89,3,0)*0.475*44/12</f>
        <v>17.371683423577387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31.112188132800021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-2.2737367544323206E-13</v>
      </c>
      <c r="DP85" s="17">
        <f>DO85*VLOOKUP('Données projet'!$B$14,Paramètres!$A$1:$I$89,3,0)*VLOOKUP('Données projet'!$B$14,Paramètres!$A$1:$I$89,5,0)</f>
        <v>-1.8089849618263545E-13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215.37468832969444</v>
      </c>
      <c r="DU85" s="59">
        <f t="shared" si="98"/>
        <v>208.60212063136419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105.14455135335145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105.14455135335145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-2.2737367544323206E-13</v>
      </c>
      <c r="EK85" s="17">
        <f>EJ85*VLOOKUP('Données projet'!$B$15,Paramètres!$A$1:$I$89,3,0)*VLOOKUP('Données projet'!$B$15,Paramètres!$A$1:$I$89,5,0)</f>
        <v>-1.8089849618263545E-13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215.37468832969444</v>
      </c>
      <c r="EP85" s="59">
        <f t="shared" si="100"/>
        <v>208.60212063136419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105.14455135335145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105.14455135335145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-2.2737367544323206E-13</v>
      </c>
      <c r="FF85" s="17">
        <f>FE85*VLOOKUP('Données projet'!$B$16,Paramètres!$A$1:$I$89,3,0)*VLOOKUP('Données projet'!$B$16,Paramètres!$A$1:$I$89,5,0)</f>
        <v>-1.8444552551954985E-13</v>
      </c>
      <c r="FG85" s="13" t="e">
        <f t="shared" si="101"/>
        <v>#NUM!</v>
      </c>
      <c r="FH85" s="20" t="e">
        <f t="shared" si="76"/>
        <v>#NUM!</v>
      </c>
      <c r="FI85" s="59" t="e">
        <f t="shared" si="77"/>
        <v>#NUM!</v>
      </c>
      <c r="FJ85" s="59">
        <f ca="1">AVERAGE(OFFSET($FI$3,0,0,'Données projet'!$E$16+1,1))-AVERAGE(OFFSET($H$3,0,0,'Données projet'!$E$16+1,1))</f>
        <v>220.90439367987847</v>
      </c>
      <c r="FK85" s="59">
        <f t="shared" si="102"/>
        <v>213.66046131354858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107.20620922302503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107.20620922302503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1">
        <f t="shared" si="86"/>
        <v>19.008809433660943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67">
        <f t="shared" si="56"/>
        <v>443.70606309695938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14.1</v>
      </c>
      <c r="N86" s="13">
        <f>IF('Données projet'!$A$36&gt;35,N85+M86-V85,IF(A86&lt;'Données projet'!$A$36,$K$205^A86,IF(A86='Données projet'!$A$36,'Données projet'!$B$36,N85+M86-V85)))</f>
        <v>524.70000000000027</v>
      </c>
      <c r="O86" s="13">
        <f>N86*VLOOKUP('Données projet'!$B$9,Paramètres!$A$1:$I$89,3,0)*VLOOKUP('Données projet'!$B$9,Paramètres!$A$1:$I$89,5,0)</f>
        <v>245.5596000000001</v>
      </c>
      <c r="P86" s="13">
        <f t="shared" si="87"/>
        <v>59.634106552595767</v>
      </c>
      <c r="Q86" s="20">
        <f t="shared" si="54"/>
        <v>531.54570557910438</v>
      </c>
      <c r="R86" s="59">
        <f t="shared" si="55"/>
        <v>824.87903891243764</v>
      </c>
      <c r="S86" s="59">
        <f ca="1">AVERAGE(OFFSET($R$3,0,0,'Données projet'!$E$9+1,1))-AVERAGE(OFFSET($H$3,0,0,'Données projet'!$E$9+1,1))</f>
        <v>196.72624686715807</v>
      </c>
      <c r="T86" s="59">
        <f t="shared" si="88"/>
        <v>37.315661698104691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44.531255887943644</v>
      </c>
      <c r="AA86" s="21">
        <f>EXP(-LN(2)/25)*AA85+(1-EXP(-LN(2)/25))/(LN(2)/25)*Calculateur!V86*Calculateur!X86*VLOOKUP('Données projet'!$B$9,Paramètres!$A$1:$I$89,3,0)*0.475*44/12</f>
        <v>26.510721270393162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71.041977158336806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-1.0000000000001137</v>
      </c>
      <c r="AJ86" s="13">
        <f>AI86*VLOOKUP('Données projet'!$B$10,Paramètres!$A$1:$I$89,3,0)*VLOOKUP('Données projet'!$B$10,Paramètres!$A$1:$I$89,5,0)</f>
        <v>-0.55900000000006356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325.42940802362739</v>
      </c>
      <c r="AO86" s="59">
        <f t="shared" si="90"/>
        <v>388.87198417542277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148.59915688425525</v>
      </c>
      <c r="AV86" s="21">
        <f>EXP(-LN(2)/25)*AV85+(1-EXP(-LN(2)/25))/(LN(2)/25)*Calculateur!AQ86*Calculateur!AS86*VLOOKUP('Données projet'!$B$10,Paramètres!$A$1:$I$89,3,0)*0.475*44/12</f>
        <v>47.830270556029618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196.42942744028488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</v>
      </c>
      <c r="BE86" s="13">
        <f>BD86*VLOOKUP('Données projet'!$B$11,Paramètres!$A$1:$I$89,3,0)*VLOOKUP('Données projet'!$B$11,Paramètres!$A$1:$I$89,5,0)</f>
        <v>-0.624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162.87524915738271</v>
      </c>
      <c r="BJ86" s="59">
        <f t="shared" si="92"/>
        <v>249.37880137966658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94.805927513491042</v>
      </c>
      <c r="BQ86" s="21">
        <f>EXP(-LN(2)/25)*BQ85+(1-EXP(-LN(2)/25))/(LN(2)/25)*Calculateur!BL86*Calculateur!BN86*VLOOKUP('Données projet'!$B$11,Paramètres!$A$1:$I$89,3,0)*0.475*44/12</f>
        <v>33.72180718071391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128.52773469420495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-1.4210854715202004E-13</v>
      </c>
      <c r="BZ86" s="13">
        <f>BY86*VLOOKUP('Données projet'!$B$12,Paramètres!$A$1:$I$89,3,0)*VLOOKUP('Données projet'!$B$12,Paramètres!$A$1:$I$89,5,0)</f>
        <v>-9.3109520094003535E-14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119.88584888779422</v>
      </c>
      <c r="CE86" s="59">
        <f t="shared" si="94"/>
        <v>162.97244314258774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31.817223617503874</v>
      </c>
      <c r="CL86" s="21">
        <f>EXP(-LN(2)/25)*CL85+(1-EXP(-LN(2)/25))/(LN(2)/25)*Calculateur!CG86*Calculateur!CI86*VLOOKUP('Données projet'!$B$12,Paramètres!$A$1:$I$89,3,0)*0.475*44/12</f>
        <v>13.016991586613031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44.834215204116902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5</v>
      </c>
      <c r="CT86" s="12">
        <f>IF('Données projet'!$A$140&gt;35,CT85+CS86-DB85,IF(A86&lt;'Données projet'!$A$140,$CQ$205^A86,IF(A86='Données projet'!$A$140,'Données projet'!$B$140,CT85+CS86-DB85)))</f>
        <v>244</v>
      </c>
      <c r="CU86" s="17">
        <f>CT86*VLOOKUP('Données projet'!$B$13,Paramètres!$A$1:$I$89,3,0)*VLOOKUP('Données projet'!$B$13,Paramètres!$A$1:$I$89,5,0)</f>
        <v>247.416</v>
      </c>
      <c r="CV86" s="13">
        <f t="shared" si="95"/>
        <v>60.032282000540192</v>
      </c>
      <c r="CW86" s="20">
        <f t="shared" si="67"/>
        <v>535.47242448427414</v>
      </c>
      <c r="CX86" s="59">
        <f t="shared" si="68"/>
        <v>828.8057578176074</v>
      </c>
      <c r="CY86" s="59">
        <f ca="1">AVERAGE(OFFSET($CX$3,0,0,'Données projet'!$E$13+1,1))-AVERAGE(OFFSET($H$3,0,0,'Données projet'!$E$13+1,1))</f>
        <v>261.75887764015459</v>
      </c>
      <c r="CZ86" s="59">
        <f t="shared" si="96"/>
        <v>209.74127356028544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13.471061792755108</v>
      </c>
      <c r="DG86" s="21">
        <f>EXP(-LN(2)/25)*DG85+(1-EXP(-LN(2)/25))/(LN(2)/25)*Calculateur!DB86*Calculateur!DD86*VLOOKUP('Données projet'!$B$13,Paramètres!$A$1:$I$89,3,0)*0.475*44/12</f>
        <v>16.896653826822536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30.367715619577645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-2.2737367544323206E-13</v>
      </c>
      <c r="DP86" s="17">
        <f>DO86*VLOOKUP('Données projet'!$B$14,Paramètres!$A$1:$I$89,3,0)*VLOOKUP('Données projet'!$B$14,Paramètres!$A$1:$I$89,5,0)</f>
        <v>-1.8089849618263545E-13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215.37468832969444</v>
      </c>
      <c r="DU86" s="59">
        <f t="shared" si="98"/>
        <v>208.60212063136419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103.08273083315605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103.08273083315605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-2.2737367544323206E-13</v>
      </c>
      <c r="EK86" s="17">
        <f>EJ86*VLOOKUP('Données projet'!$B$15,Paramètres!$A$1:$I$89,3,0)*VLOOKUP('Données projet'!$B$15,Paramètres!$A$1:$I$89,5,0)</f>
        <v>-1.8089849618263545E-13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215.37468832969444</v>
      </c>
      <c r="EP86" s="59">
        <f t="shared" si="100"/>
        <v>208.60212063136419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103.08273083315605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103.08273083315605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-2.2737367544323206E-13</v>
      </c>
      <c r="FF86" s="17">
        <f>FE86*VLOOKUP('Données projet'!$B$16,Paramètres!$A$1:$I$89,3,0)*VLOOKUP('Données projet'!$B$16,Paramètres!$A$1:$I$89,5,0)</f>
        <v>-1.8444552551954985E-13</v>
      </c>
      <c r="FG86" s="13" t="e">
        <f t="shared" si="101"/>
        <v>#NUM!</v>
      </c>
      <c r="FH86" s="20" t="e">
        <f t="shared" si="76"/>
        <v>#NUM!</v>
      </c>
      <c r="FI86" s="59" t="e">
        <f t="shared" si="77"/>
        <v>#NUM!</v>
      </c>
      <c r="FJ86" s="59">
        <f ca="1">AVERAGE(OFFSET($FI$3,0,0,'Données projet'!$E$16+1,1))-AVERAGE(OFFSET($H$3,0,0,'Données projet'!$E$16+1,1))</f>
        <v>220.90439367987847</v>
      </c>
      <c r="FK86" s="59">
        <f t="shared" si="102"/>
        <v>213.66046131354858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105.10396084949247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105.10396084949247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1">
        <f t="shared" si="86"/>
        <v>19.21103183030446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67">
        <f t="shared" si="56"/>
        <v>445.4711071044469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14.1</v>
      </c>
      <c r="N87" s="13">
        <f>IF('Données projet'!$A$36&gt;35,N86+M87-V86,IF(A87&lt;'Données projet'!$A$36,$K$205^A87,IF(A87='Données projet'!$A$36,'Données projet'!$B$36,N86+M87-V86)))</f>
        <v>538.8000000000003</v>
      </c>
      <c r="O87" s="13">
        <f>N87*VLOOKUP('Données projet'!$B$9,Paramètres!$A$1:$I$89,3,0)*VLOOKUP('Données projet'!$B$9,Paramètres!$A$1:$I$89,5,0)</f>
        <v>252.15840000000014</v>
      </c>
      <c r="P87" s="13">
        <f t="shared" si="87"/>
        <v>61.047898231181165</v>
      </c>
      <c r="Q87" s="20">
        <f t="shared" si="54"/>
        <v>545.50096941930758</v>
      </c>
      <c r="R87" s="59">
        <f t="shared" si="55"/>
        <v>838.83430275264095</v>
      </c>
      <c r="S87" s="59">
        <f ca="1">AVERAGE(OFFSET($R$3,0,0,'Données projet'!$E$9+1,1))-AVERAGE(OFFSET($H$3,0,0,'Données projet'!$E$9+1,1))</f>
        <v>196.72624686715807</v>
      </c>
      <c r="T87" s="59">
        <f t="shared" si="88"/>
        <v>37.315661698104691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43.658025121365199</v>
      </c>
      <c r="AA87" s="21">
        <f>EXP(-LN(2)/25)*AA86+(1-EXP(-LN(2)/25))/(LN(2)/25)*Calculateur!V87*Calculateur!X87*VLOOKUP('Données projet'!$B$9,Paramètres!$A$1:$I$89,3,0)*0.475*44/12</f>
        <v>25.78578420311602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69.443809324481222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-1.0000000000001137</v>
      </c>
      <c r="AJ87" s="13">
        <f>AI87*VLOOKUP('Données projet'!$B$10,Paramètres!$A$1:$I$89,3,0)*VLOOKUP('Données projet'!$B$10,Paramètres!$A$1:$I$89,5,0)</f>
        <v>-0.55900000000006356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325.42940802362739</v>
      </c>
      <c r="AO87" s="59">
        <f t="shared" si="90"/>
        <v>388.87198417542277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145.68521805429108</v>
      </c>
      <c r="AV87" s="21">
        <f>EXP(-LN(2)/25)*AV86+(1-EXP(-LN(2)/25))/(LN(2)/25)*Calculateur!AQ87*Calculateur!AS87*VLOOKUP('Données projet'!$B$10,Paramètres!$A$1:$I$89,3,0)*0.475*44/12</f>
        <v>46.522349292390373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192.20756734668146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</v>
      </c>
      <c r="BE87" s="13">
        <f>BD87*VLOOKUP('Données projet'!$B$11,Paramètres!$A$1:$I$89,3,0)*VLOOKUP('Données projet'!$B$11,Paramètres!$A$1:$I$89,5,0)</f>
        <v>-0.624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162.87524915738271</v>
      </c>
      <c r="BJ87" s="59">
        <f t="shared" si="92"/>
        <v>249.37880137966658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92.946841100857426</v>
      </c>
      <c r="BQ87" s="21">
        <f>EXP(-LN(2)/25)*BQ86+(1-EXP(-LN(2)/25))/(LN(2)/25)*Calculateur!BL87*Calculateur!BN87*VLOOKUP('Données projet'!$B$11,Paramètres!$A$1:$I$89,3,0)*0.475*44/12</f>
        <v>32.799682590004522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125.74652369086195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-1.4210854715202004E-13</v>
      </c>
      <c r="BZ87" s="13">
        <f>BY87*VLOOKUP('Données projet'!$B$12,Paramètres!$A$1:$I$89,3,0)*VLOOKUP('Données projet'!$B$12,Paramètres!$A$1:$I$89,5,0)</f>
        <v>-9.3109520094003535E-14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119.88584888779422</v>
      </c>
      <c r="CE87" s="59">
        <f t="shared" si="94"/>
        <v>162.97244314258774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31.19330726895479</v>
      </c>
      <c r="CL87" s="21">
        <f>EXP(-LN(2)/25)*CL86+(1-EXP(-LN(2)/25))/(LN(2)/25)*Calculateur!CG87*Calculateur!CI87*VLOOKUP('Données projet'!$B$12,Paramètres!$A$1:$I$89,3,0)*0.475*44/12</f>
        <v>12.661041267143261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43.854348536098051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5</v>
      </c>
      <c r="CT87" s="12">
        <f>IF('Données projet'!$A$140&gt;35,CT86+CS87-DB86,IF(A87&lt;'Données projet'!$A$140,$CQ$205^A87,IF(A87='Données projet'!$A$140,'Données projet'!$B$140,CT86+CS87-DB86)))</f>
        <v>249</v>
      </c>
      <c r="CU87" s="17">
        <f>CT87*VLOOKUP('Données projet'!$B$13,Paramètres!$A$1:$I$89,3,0)*VLOOKUP('Données projet'!$B$13,Paramètres!$A$1:$I$89,5,0)</f>
        <v>252.48599999999999</v>
      </c>
      <c r="CV87" s="13">
        <f t="shared" si="95"/>
        <v>61.117973383957384</v>
      </c>
      <c r="CW87" s="20">
        <f t="shared" si="67"/>
        <v>546.19358697705911</v>
      </c>
      <c r="CX87" s="59">
        <f t="shared" si="68"/>
        <v>839.52692031039237</v>
      </c>
      <c r="CY87" s="59">
        <f ca="1">AVERAGE(OFFSET($CX$3,0,0,'Données projet'!$E$13+1,1))-AVERAGE(OFFSET($H$3,0,0,'Données projet'!$E$13+1,1))</f>
        <v>261.75887764015459</v>
      </c>
      <c r="CZ87" s="59">
        <f t="shared" si="96"/>
        <v>209.74127356028544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13.206902487535558</v>
      </c>
      <c r="DG87" s="21">
        <f>EXP(-LN(2)/25)*DG86+(1-EXP(-LN(2)/25))/(LN(2)/25)*Calculateur!DB87*Calculateur!DD87*VLOOKUP('Données projet'!$B$13,Paramètres!$A$1:$I$89,3,0)*0.475*44/12</f>
        <v>16.434613939371665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29.641516426907224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-2.2737367544323206E-13</v>
      </c>
      <c r="DP87" s="17">
        <f>DO87*VLOOKUP('Données projet'!$B$14,Paramètres!$A$1:$I$89,3,0)*VLOOKUP('Données projet'!$B$14,Paramètres!$A$1:$I$89,5,0)</f>
        <v>-1.8089849618263545E-13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215.37468832969444</v>
      </c>
      <c r="DU87" s="59">
        <f t="shared" si="98"/>
        <v>208.60212063136419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101.06134135577535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101.06134135577535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-2.2737367544323206E-13</v>
      </c>
      <c r="EK87" s="17">
        <f>EJ87*VLOOKUP('Données projet'!$B$15,Paramètres!$A$1:$I$89,3,0)*VLOOKUP('Données projet'!$B$15,Paramètres!$A$1:$I$89,5,0)</f>
        <v>-1.8089849618263545E-13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215.37468832969444</v>
      </c>
      <c r="EP87" s="59">
        <f t="shared" si="100"/>
        <v>208.60212063136419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101.06134135577535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101.06134135577535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-2.2737367544323206E-13</v>
      </c>
      <c r="FF87" s="17">
        <f>FE87*VLOOKUP('Données projet'!$B$16,Paramètres!$A$1:$I$89,3,0)*VLOOKUP('Données projet'!$B$16,Paramètres!$A$1:$I$89,5,0)</f>
        <v>-1.8444552551954985E-13</v>
      </c>
      <c r="FG87" s="13" t="e">
        <f t="shared" si="101"/>
        <v>#NUM!</v>
      </c>
      <c r="FH87" s="20" t="e">
        <f t="shared" si="76"/>
        <v>#NUM!</v>
      </c>
      <c r="FI87" s="59" t="e">
        <f t="shared" si="77"/>
        <v>#NUM!</v>
      </c>
      <c r="FJ87" s="59">
        <f ca="1">AVERAGE(OFFSET($FI$3,0,0,'Données projet'!$E$16+1,1))-AVERAGE(OFFSET($H$3,0,0,'Données projet'!$E$16+1,1))</f>
        <v>220.90439367987847</v>
      </c>
      <c r="FK87" s="59">
        <f t="shared" si="102"/>
        <v>213.66046131354858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103.04293628431999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103.04293628431999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1">
        <f t="shared" si="86"/>
        <v>19.412974191553577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67">
        <f t="shared" si="56"/>
        <v>447.23566338362241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14.1</v>
      </c>
      <c r="N88" s="13">
        <f>IF('Données projet'!$A$36&gt;35,N87+M88-V87,IF(A88&lt;'Données projet'!$A$36,$K$205^A88,IF(A88='Données projet'!$A$36,'Données projet'!$B$36,N87+M88-V87)))</f>
        <v>552.90000000000032</v>
      </c>
      <c r="O88" s="13">
        <f>N88*VLOOKUP('Données projet'!$B$9,Paramètres!$A$1:$I$89,3,0)*VLOOKUP('Données projet'!$B$9,Paramètres!$A$1:$I$89,5,0)</f>
        <v>258.75720000000013</v>
      </c>
      <c r="P88" s="13">
        <f t="shared" si="87"/>
        <v>62.45738938920104</v>
      </c>
      <c r="Q88" s="20">
        <f t="shared" si="54"/>
        <v>559.44874318619202</v>
      </c>
      <c r="R88" s="59">
        <f t="shared" si="55"/>
        <v>852.78207651952539</v>
      </c>
      <c r="S88" s="59">
        <f ca="1">AVERAGE(OFFSET($R$3,0,0,'Données projet'!$E$9+1,1))-AVERAGE(OFFSET($H$3,0,0,'Données projet'!$E$9+1,1))</f>
        <v>196.72624686715807</v>
      </c>
      <c r="T88" s="59">
        <f t="shared" si="88"/>
        <v>37.315661698104691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42.801917877501182</v>
      </c>
      <c r="AA88" s="21">
        <f>EXP(-LN(2)/25)*AA87+(1-EXP(-LN(2)/25))/(LN(2)/25)*Calculateur!V88*Calculateur!X88*VLOOKUP('Données projet'!$B$9,Paramètres!$A$1:$I$89,3,0)*0.475*44/12</f>
        <v>25.080670578066353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67.882588455567543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-1.0000000000001137</v>
      </c>
      <c r="AJ88" s="13">
        <f>AI88*VLOOKUP('Données projet'!$B$10,Paramètres!$A$1:$I$89,3,0)*VLOOKUP('Données projet'!$B$10,Paramètres!$A$1:$I$89,5,0)</f>
        <v>-0.55900000000006356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325.42940802362739</v>
      </c>
      <c r="AO88" s="59">
        <f t="shared" si="90"/>
        <v>388.87198417542277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142.82841978745532</v>
      </c>
      <c r="AV88" s="21">
        <f>EXP(-LN(2)/25)*AV87+(1-EXP(-LN(2)/25))/(LN(2)/25)*Calculateur!AQ88*Calculateur!AS88*VLOOKUP('Données projet'!$B$10,Paramètres!$A$1:$I$89,3,0)*0.475*44/12</f>
        <v>45.250193204485939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188.07861299194127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</v>
      </c>
      <c r="BE88" s="13">
        <f>BD88*VLOOKUP('Données projet'!$B$11,Paramètres!$A$1:$I$89,3,0)*VLOOKUP('Données projet'!$B$11,Paramètres!$A$1:$I$89,5,0)</f>
        <v>-0.624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162.87524915738271</v>
      </c>
      <c r="BJ88" s="59">
        <f t="shared" si="92"/>
        <v>249.37880137966658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91.12421023884481</v>
      </c>
      <c r="BQ88" s="21">
        <f>EXP(-LN(2)/25)*BQ87+(1-EXP(-LN(2)/25))/(LN(2)/25)*Calculateur!BL88*Calculateur!BN88*VLOOKUP('Données projet'!$B$11,Paramètres!$A$1:$I$89,3,0)*0.475*44/12</f>
        <v>31.902773544720507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123.02698378356531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-1.4210854715202004E-13</v>
      </c>
      <c r="BZ88" s="13">
        <f>BY88*VLOOKUP('Données projet'!$B$12,Paramètres!$A$1:$I$89,3,0)*VLOOKUP('Données projet'!$B$12,Paramètres!$A$1:$I$89,5,0)</f>
        <v>-9.3109520094003535E-14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119.88584888779422</v>
      </c>
      <c r="CE88" s="59">
        <f t="shared" si="94"/>
        <v>162.97244314258774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30.581625539449355</v>
      </c>
      <c r="CL88" s="21">
        <f>EXP(-LN(2)/25)*CL87+(1-EXP(-LN(2)/25))/(LN(2)/25)*Calculateur!CG88*Calculateur!CI88*VLOOKUP('Données projet'!$B$12,Paramètres!$A$1:$I$89,3,0)*0.475*44/12</f>
        <v>12.314824427878007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42.896449967327364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254</v>
      </c>
      <c r="CR88" s="12">
        <f>VLOOKUP(A88,'Données projet'!$A$139:$I$159,9,0)</f>
        <v>5</v>
      </c>
      <c r="CS88" s="12">
        <f t="array" ref="CS88">INDEX(CR:CR,MIN(IF(ISNUMBER(CR88:CR284),ROW(CR88:CR284),"")))</f>
        <v>5</v>
      </c>
      <c r="CT88" s="12">
        <f>IF('Données projet'!$A$140&gt;35,CT87+CS88-DB87,IF(A88&lt;'Données projet'!$A$140,$CQ$205^A88,IF(A88='Données projet'!$A$140,'Données projet'!$B$140,CT87+CS88-DB87)))</f>
        <v>254</v>
      </c>
      <c r="CU88" s="17">
        <f>CT88*VLOOKUP('Données projet'!$B$13,Paramètres!$A$1:$I$89,3,0)*VLOOKUP('Données projet'!$B$13,Paramètres!$A$1:$I$89,5,0)</f>
        <v>257.55599999999998</v>
      </c>
      <c r="CV88" s="13">
        <f t="shared" si="95"/>
        <v>62.201129910568184</v>
      </c>
      <c r="CW88" s="20">
        <f t="shared" si="67"/>
        <v>556.91033459423954</v>
      </c>
      <c r="CX88" s="59">
        <f t="shared" si="68"/>
        <v>850.24366792757291</v>
      </c>
      <c r="CY88" s="59">
        <f ca="1">AVERAGE(OFFSET($CX$3,0,0,'Données projet'!$E$13+1,1))-AVERAGE(OFFSET($H$3,0,0,'Données projet'!$E$13+1,1))</f>
        <v>261.75887764015459</v>
      </c>
      <c r="CZ88" s="59">
        <f t="shared" si="96"/>
        <v>209.74127356028544</v>
      </c>
      <c r="DA88" s="15">
        <f>IF(ISNA(VLOOKUP(A88,'Données projet'!$A$139:$I$159,3,0)),0,VLOOKUP(A88,'Données projet'!$A$139:$I$159,3,0))</f>
        <v>6</v>
      </c>
      <c r="DB88" s="15">
        <f>IF(ISNA(VLOOKUP(A88,'Données projet'!$A$139:$I$159,4,0)),0,VLOOKUP(A88,'Données projet'!$A$139:$I$159,4,0))</f>
        <v>50</v>
      </c>
      <c r="DC88" s="16">
        <f>IF(ISNA(VLOOKUP(A88,'Données projet'!$A$139:$I$159,5,0)),0%,VLOOKUP(A88,'Données projet'!$A$139:$I$159,5,0)*VLOOKUP('Données projet'!$B$13,Paramètres!$A$1:$I$89,7,0))</f>
        <v>0.215</v>
      </c>
      <c r="DD88" s="16">
        <f>IF(ISNA(VLOOKUP(A88,'Données projet'!$A$139:$I$159,6,0)),0%,VLOOKUP(A88,'Données projet'!$A$139:$I$159,6,0)*VLOOKUP('Données projet'!$B$13,Paramètres!$A$1:$I$89,7,0))</f>
        <v>0.1075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24.99810305726902</v>
      </c>
      <c r="DG88" s="21">
        <f>EXP(-LN(2)/25)*DG87+(1-EXP(-LN(2)/25))/(LN(2)/25)*Calculateur!DB88*Calculateur!DD88*VLOOKUP('Données projet'!$B$13,Paramètres!$A$1:$I$89,3,0)*0.475*44/12</f>
        <v>21.986575418172748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46.984678475441768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-2.2737367544323206E-13</v>
      </c>
      <c r="DP88" s="17">
        <f>DO88*VLOOKUP('Données projet'!$B$14,Paramètres!$A$1:$I$89,3,0)*VLOOKUP('Données projet'!$B$14,Paramètres!$A$1:$I$89,5,0)</f>
        <v>-1.8089849618263545E-13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215.37468832969444</v>
      </c>
      <c r="DU88" s="59">
        <f t="shared" si="98"/>
        <v>208.60212063136419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99.079590093120245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99.079590093120245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-2.2737367544323206E-13</v>
      </c>
      <c r="EK88" s="17">
        <f>EJ88*VLOOKUP('Données projet'!$B$15,Paramètres!$A$1:$I$89,3,0)*VLOOKUP('Données projet'!$B$15,Paramètres!$A$1:$I$89,5,0)</f>
        <v>-1.8089849618263545E-13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215.37468832969444</v>
      </c>
      <c r="EP88" s="59">
        <f t="shared" si="100"/>
        <v>208.60212063136419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99.079590093120245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99.079590093120245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-2.2737367544323206E-13</v>
      </c>
      <c r="FF88" s="17">
        <f>FE88*VLOOKUP('Données projet'!$B$16,Paramètres!$A$1:$I$89,3,0)*VLOOKUP('Données projet'!$B$16,Paramètres!$A$1:$I$89,5,0)</f>
        <v>-1.8444552551954985E-13</v>
      </c>
      <c r="FG88" s="13" t="e">
        <f t="shared" si="101"/>
        <v>#NUM!</v>
      </c>
      <c r="FH88" s="20" t="e">
        <f t="shared" si="76"/>
        <v>#NUM!</v>
      </c>
      <c r="FI88" s="59" t="e">
        <f t="shared" si="77"/>
        <v>#NUM!</v>
      </c>
      <c r="FJ88" s="59">
        <f ca="1">AVERAGE(OFFSET($FI$3,0,0,'Données projet'!$E$16+1,1))-AVERAGE(OFFSET($H$3,0,0,'Données projet'!$E$16+1,1))</f>
        <v>220.90439367987847</v>
      </c>
      <c r="FK88" s="59">
        <f t="shared" si="102"/>
        <v>213.66046131354858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101.02232715376969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101.02232715376969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1">
        <f t="shared" si="86"/>
        <v>19.614640193079403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67">
        <f t="shared" si="56"/>
        <v>448.9997383362799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>
        <f>VLOOKUP(A89,'Données projet'!$A$35:$I$55,2,0)</f>
        <v>567</v>
      </c>
      <c r="L89" s="12">
        <f>VLOOKUP(A89,'Données projet'!$A$35:$I$55,9,0)</f>
        <v>14.1</v>
      </c>
      <c r="M89" s="12">
        <f t="array" ref="M89">INDEX(L:L,MIN(IF(ISNUMBER(L89:L285),ROW(L89:L285),"")))</f>
        <v>14.1</v>
      </c>
      <c r="N89" s="13">
        <f>IF('Données projet'!$A$36&gt;35,N88+M89-V88,IF(A89&lt;'Données projet'!$A$36,$K$205^A89,IF(A89='Données projet'!$A$36,'Données projet'!$B$36,N88+M89-V88)))</f>
        <v>567.00000000000034</v>
      </c>
      <c r="O89" s="13">
        <f>N89*VLOOKUP('Données projet'!$B$9,Paramètres!$A$1:$I$89,3,0)*VLOOKUP('Données projet'!$B$9,Paramètres!$A$1:$I$89,5,0)</f>
        <v>265.35600000000017</v>
      </c>
      <c r="P89" s="13">
        <f t="shared" si="87"/>
        <v>63.862702309129887</v>
      </c>
      <c r="Q89" s="20">
        <f t="shared" si="54"/>
        <v>573.38923985506824</v>
      </c>
      <c r="R89" s="59">
        <f t="shared" si="55"/>
        <v>866.72257318840161</v>
      </c>
      <c r="S89" s="59">
        <f ca="1">AVERAGE(OFFSET($R$3,0,0,'Données projet'!$E$9+1,1))-AVERAGE(OFFSET($H$3,0,0,'Données projet'!$E$9+1,1))</f>
        <v>196.72624686715807</v>
      </c>
      <c r="T89" s="59">
        <f t="shared" si="88"/>
        <v>37.315661698104691</v>
      </c>
      <c r="U89" s="15">
        <f>IF(ISNA(VLOOKUP(A89,'Données projet'!$A$35:$I$55,3,0)),0,VLOOKUP(A89,'Données projet'!$A$35:$I$55,3,0))</f>
        <v>5</v>
      </c>
      <c r="V89" s="15">
        <f>IF(ISNA(VLOOKUP(A89,'Données projet'!$A$35:$I$55,4,0)),0,VLOOKUP(A89,'Données projet'!$A$35:$I$55,4,0))</f>
        <v>108</v>
      </c>
      <c r="W89" s="16">
        <f>IF(ISNA(VLOOKUP(A89,'Données projet'!$A$35:$I$55,5,0)),0%,VLOOKUP(A89,'Données projet'!$A$35:$I$55,5,0)*VLOOKUP('Données projet'!$B$9,Paramètres!$A$1:$I$89,7,0))</f>
        <v>0.33</v>
      </c>
      <c r="X89" s="16">
        <f>IF(ISNA(VLOOKUP(A89,'Données projet'!$A$35:$I$55,6,0)),0%,VLOOKUP(A89,'Données projet'!$A$35:$I$55,6,0)*VLOOKUP('Données projet'!$B$9,Paramètres!$A$1:$I$89,7,0))</f>
        <v>0.13750000000000001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64.089056740308394</v>
      </c>
      <c r="AA89" s="21">
        <f>EXP(-LN(2)/25)*AA88+(1-EXP(-LN(2)/25))/(LN(2)/25)*Calculateur!V89*Calculateur!X89*VLOOKUP('Données projet'!$B$9,Paramètres!$A$1:$I$89,3,0)*0.475*44/12</f>
        <v>33.57789585065948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97.666952590967867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-1.0000000000001137</v>
      </c>
      <c r="AJ89" s="13">
        <f>AI89*VLOOKUP('Données projet'!$B$10,Paramètres!$A$1:$I$89,3,0)*VLOOKUP('Données projet'!$B$10,Paramètres!$A$1:$I$89,5,0)</f>
        <v>-0.55900000000006356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325.42940802362739</v>
      </c>
      <c r="AO89" s="59">
        <f t="shared" si="90"/>
        <v>388.87198417542277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140.02764159215732</v>
      </c>
      <c r="AV89" s="21">
        <f>EXP(-LN(2)/25)*AV88+(1-EXP(-LN(2)/25))/(LN(2)/25)*Calculateur!AQ89*Calculateur!AS89*VLOOKUP('Données projet'!$B$10,Paramètres!$A$1:$I$89,3,0)*0.475*44/12</f>
        <v>44.01282429170503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184.04046588386234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</v>
      </c>
      <c r="BE89" s="13">
        <f>BD89*VLOOKUP('Données projet'!$B$11,Paramètres!$A$1:$I$89,3,0)*VLOOKUP('Données projet'!$B$11,Paramètres!$A$1:$I$89,5,0)</f>
        <v>-0.624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162.87524915738271</v>
      </c>
      <c r="BJ89" s="59">
        <f t="shared" si="92"/>
        <v>249.37880137966658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89.337320056341213</v>
      </c>
      <c r="BQ89" s="21">
        <f>EXP(-LN(2)/25)*BQ88+(1-EXP(-LN(2)/25))/(LN(2)/25)*Calculateur!BL89*Calculateur!BN89*VLOOKUP('Données projet'!$B$11,Paramètres!$A$1:$I$89,3,0)*0.475*44/12</f>
        <v>31.03039052444618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120.36771058078739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-1.4210854715202004E-13</v>
      </c>
      <c r="BZ89" s="13">
        <f>BY89*VLOOKUP('Données projet'!$B$12,Paramètres!$A$1:$I$89,3,0)*VLOOKUP('Données projet'!$B$12,Paramètres!$A$1:$I$89,5,0)</f>
        <v>-9.3109520094003535E-14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119.88584888779422</v>
      </c>
      <c r="CE89" s="59">
        <f t="shared" si="94"/>
        <v>162.97244314258774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29.981938515570505</v>
      </c>
      <c r="CL89" s="21">
        <f>EXP(-LN(2)/25)*CL88+(1-EXP(-LN(2)/25))/(LN(2)/25)*Calculateur!CG89*Calculateur!CI89*VLOOKUP('Données projet'!$B$12,Paramètres!$A$1:$I$89,3,0)*0.475*44/12</f>
        <v>11.978074906289212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41.960013421859713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4</v>
      </c>
      <c r="CT89" s="12">
        <f>IF('Données projet'!$A$140&gt;35,CT88+CS89-DB88,IF(A89&lt;'Données projet'!$A$140,$CQ$205^A89,IF(A89='Données projet'!$A$140,'Données projet'!$B$140,CT88+CS89-DB88)))</f>
        <v>208</v>
      </c>
      <c r="CU89" s="17">
        <f>CT89*VLOOKUP('Données projet'!$B$13,Paramètres!$A$1:$I$89,3,0)*VLOOKUP('Données projet'!$B$13,Paramètres!$A$1:$I$89,5,0)</f>
        <v>210.91200000000003</v>
      </c>
      <c r="CV89" s="13">
        <f t="shared" si="95"/>
        <v>52.134830352456831</v>
      </c>
      <c r="CW89" s="20">
        <f t="shared" si="67"/>
        <v>458.1398961971957</v>
      </c>
      <c r="CX89" s="59">
        <f t="shared" si="68"/>
        <v>751.47322953052901</v>
      </c>
      <c r="CY89" s="59">
        <f ca="1">AVERAGE(OFFSET($CX$3,0,0,'Données projet'!$E$13+1,1))-AVERAGE(OFFSET($H$3,0,0,'Données projet'!$E$13+1,1))</f>
        <v>261.75887764015459</v>
      </c>
      <c r="CZ89" s="59">
        <f t="shared" si="96"/>
        <v>209.74127356028544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24.507905503653291</v>
      </c>
      <c r="DG89" s="21">
        <f>EXP(-LN(2)/25)*DG88+(1-EXP(-LN(2)/25))/(LN(2)/25)*Calculateur!DB89*Calculateur!DD89*VLOOKUP('Données projet'!$B$13,Paramètres!$A$1:$I$89,3,0)*0.475*44/12</f>
        <v>21.385351357139065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45.893256860792356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-2.2737367544323206E-13</v>
      </c>
      <c r="DP89" s="17">
        <f>DO89*VLOOKUP('Données projet'!$B$14,Paramètres!$A$1:$I$89,3,0)*VLOOKUP('Données projet'!$B$14,Paramètres!$A$1:$I$89,5,0)</f>
        <v>-1.8089849618263545E-13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215.37468832969444</v>
      </c>
      <c r="DU89" s="59">
        <f t="shared" si="98"/>
        <v>208.60212063136419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97.136699763976893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97.136699763976893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-2.2737367544323206E-13</v>
      </c>
      <c r="EK89" s="17">
        <f>EJ89*VLOOKUP('Données projet'!$B$15,Paramètres!$A$1:$I$89,3,0)*VLOOKUP('Données projet'!$B$15,Paramètres!$A$1:$I$89,5,0)</f>
        <v>-1.8089849618263545E-13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215.37468832969444</v>
      </c>
      <c r="EP89" s="59">
        <f t="shared" si="100"/>
        <v>208.60212063136419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97.136699763976893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97.136699763976893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-2.2737367544323206E-13</v>
      </c>
      <c r="FF89" s="17">
        <f>FE89*VLOOKUP('Données projet'!$B$16,Paramètres!$A$1:$I$89,3,0)*VLOOKUP('Données projet'!$B$16,Paramètres!$A$1:$I$89,5,0)</f>
        <v>-1.8444552551954985E-13</v>
      </c>
      <c r="FG89" s="13" t="e">
        <f t="shared" si="101"/>
        <v>#NUM!</v>
      </c>
      <c r="FH89" s="20" t="e">
        <f t="shared" si="76"/>
        <v>#NUM!</v>
      </c>
      <c r="FI89" s="59" t="e">
        <f t="shared" si="77"/>
        <v>#NUM!</v>
      </c>
      <c r="FJ89" s="59">
        <f ca="1">AVERAGE(OFFSET($FI$3,0,0,'Données projet'!$E$16+1,1))-AVERAGE(OFFSET($H$3,0,0,'Données projet'!$E$16+1,1))</f>
        <v>220.90439367987847</v>
      </c>
      <c r="FK89" s="59">
        <f t="shared" si="102"/>
        <v>213.66046131354858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99.041340935819605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99.041340935819605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1">
        <f t="shared" si="86"/>
        <v>19.816033420152426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67">
        <f t="shared" si="56"/>
        <v>450.76333820676541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13</v>
      </c>
      <c r="N90" s="13">
        <f>IF('Données projet'!$A$36&gt;35,N89+M90-V89,IF(A90&lt;'Données projet'!$A$36,$K$205^A90,IF(A90='Données projet'!$A$36,'Données projet'!$B$36,N89+M90-V89)))</f>
        <v>472.00000000000034</v>
      </c>
      <c r="O90" s="13">
        <f>N90*VLOOKUP('Données projet'!$B$9,Paramètres!$A$1:$I$89,3,0)*VLOOKUP('Données projet'!$B$9,Paramètres!$A$1:$I$89,5,0)</f>
        <v>220.89600000000019</v>
      </c>
      <c r="P90" s="13">
        <f t="shared" si="87"/>
        <v>54.309580803412331</v>
      </c>
      <c r="Q90" s="20">
        <f t="shared" si="54"/>
        <v>479.3163865659435</v>
      </c>
      <c r="R90" s="59">
        <f t="shared" si="55"/>
        <v>772.64971989927676</v>
      </c>
      <c r="S90" s="59">
        <f ca="1">AVERAGE(OFFSET($R$3,0,0,'Données projet'!$E$9+1,1))-AVERAGE(OFFSET($H$3,0,0,'Données projet'!$E$9+1,1))</f>
        <v>196.72624686715807</v>
      </c>
      <c r="T90" s="59">
        <f t="shared" si="88"/>
        <v>37.315661698104691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62.832309428095698</v>
      </c>
      <c r="AA90" s="21">
        <f>EXP(-LN(2)/25)*AA89+(1-EXP(-LN(2)/25))/(LN(2)/25)*Calculateur!V90*Calculateur!X90*VLOOKUP('Données projet'!$B$9,Paramètres!$A$1:$I$89,3,0)*0.475*44/12</f>
        <v>32.659706522838398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95.492015950934103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-1.0000000000001137</v>
      </c>
      <c r="AJ90" s="13">
        <f>AI90*VLOOKUP('Données projet'!$B$10,Paramètres!$A$1:$I$89,3,0)*VLOOKUP('Données projet'!$B$10,Paramètres!$A$1:$I$89,5,0)</f>
        <v>-0.55900000000006356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325.42940802362739</v>
      </c>
      <c r="AO90" s="59">
        <f t="shared" si="90"/>
        <v>388.87198417542277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137.28178494896312</v>
      </c>
      <c r="AV90" s="21">
        <f>EXP(-LN(2)/25)*AV89+(1-EXP(-LN(2)/25))/(LN(2)/25)*Calculateur!AQ90*Calculateur!AS90*VLOOKUP('Données projet'!$B$10,Paramètres!$A$1:$I$89,3,0)*0.475*44/12</f>
        <v>42.809291296914516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180.09107624587764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</v>
      </c>
      <c r="BE90" s="13">
        <f>BD90*VLOOKUP('Données projet'!$B$11,Paramètres!$A$1:$I$89,3,0)*VLOOKUP('Données projet'!$B$11,Paramètres!$A$1:$I$89,5,0)</f>
        <v>-0.624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162.87524915738271</v>
      </c>
      <c r="BJ90" s="59">
        <f t="shared" si="92"/>
        <v>249.37880137966658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87.585469700421115</v>
      </c>
      <c r="BQ90" s="21">
        <f>EXP(-LN(2)/25)*BQ89+(1-EXP(-LN(2)/25))/(LN(2)/25)*Calculateur!BL90*Calculateur!BN90*VLOOKUP('Données projet'!$B$11,Paramètres!$A$1:$I$89,3,0)*0.475*44/12</f>
        <v>30.181862863737884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117.76733256415901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-1.4210854715202004E-13</v>
      </c>
      <c r="BZ90" s="13">
        <f>BY90*VLOOKUP('Données projet'!$B$12,Paramètres!$A$1:$I$89,3,0)*VLOOKUP('Données projet'!$B$12,Paramètres!$A$1:$I$89,5,0)</f>
        <v>-9.3109520094003535E-14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119.88584888779422</v>
      </c>
      <c r="CE90" s="59">
        <f t="shared" si="94"/>
        <v>162.97244314258774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29.394010988456952</v>
      </c>
      <c r="CL90" s="21">
        <f>EXP(-LN(2)/25)*CL89+(1-EXP(-LN(2)/25))/(LN(2)/25)*Calculateur!CG90*Calculateur!CI90*VLOOKUP('Données projet'!$B$12,Paramètres!$A$1:$I$89,3,0)*0.475*44/12</f>
        <v>11.65053381807715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41.044544806534105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4</v>
      </c>
      <c r="CT90" s="12">
        <f>IF('Données projet'!$A$140&gt;35,CT89+CS90-DB89,IF(A90&lt;'Données projet'!$A$140,$CQ$205^A90,IF(A90='Données projet'!$A$140,'Données projet'!$B$140,CT89+CS90-DB89)))</f>
        <v>212</v>
      </c>
      <c r="CU90" s="17">
        <f>CT90*VLOOKUP('Données projet'!$B$13,Paramètres!$A$1:$I$89,3,0)*VLOOKUP('Données projet'!$B$13,Paramètres!$A$1:$I$89,5,0)</f>
        <v>214.96800000000002</v>
      </c>
      <c r="CV90" s="13">
        <f t="shared" si="95"/>
        <v>53.019736939093043</v>
      </c>
      <c r="CW90" s="20">
        <f t="shared" si="67"/>
        <v>466.74530850225375</v>
      </c>
      <c r="CX90" s="59">
        <f t="shared" si="68"/>
        <v>760.07864183558706</v>
      </c>
      <c r="CY90" s="59">
        <f ca="1">AVERAGE(OFFSET($CX$3,0,0,'Données projet'!$E$13+1,1))-AVERAGE(OFFSET($H$3,0,0,'Données projet'!$E$13+1,1))</f>
        <v>261.75887764015459</v>
      </c>
      <c r="CZ90" s="59">
        <f t="shared" si="96"/>
        <v>209.74127356028544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24.027320425072979</v>
      </c>
      <c r="DG90" s="21">
        <f>EXP(-LN(2)/25)*DG89+(1-EXP(-LN(2)/25))/(LN(2)/25)*Calculateur!DB90*Calculateur!DD90*VLOOKUP('Données projet'!$B$13,Paramètres!$A$1:$I$89,3,0)*0.475*44/12</f>
        <v>20.800567799671345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44.827888224744328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-2.2737367544323206E-13</v>
      </c>
      <c r="DP90" s="17">
        <f>DO90*VLOOKUP('Données projet'!$B$14,Paramètres!$A$1:$I$89,3,0)*VLOOKUP('Données projet'!$B$14,Paramètres!$A$1:$I$89,5,0)</f>
        <v>-1.8089849618263545E-13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215.37468832969444</v>
      </c>
      <c r="DU90" s="59">
        <f t="shared" si="98"/>
        <v>208.60212063136419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95.231908329141959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95.231908329141959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-2.2737367544323206E-13</v>
      </c>
      <c r="EK90" s="17">
        <f>EJ90*VLOOKUP('Données projet'!$B$15,Paramètres!$A$1:$I$89,3,0)*VLOOKUP('Données projet'!$B$15,Paramètres!$A$1:$I$89,5,0)</f>
        <v>-1.8089849618263545E-13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215.37468832969444</v>
      </c>
      <c r="EP90" s="59">
        <f t="shared" si="100"/>
        <v>208.60212063136419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95.231908329141959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95.231908329141959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-2.2737367544323206E-13</v>
      </c>
      <c r="FF90" s="17">
        <f>FE90*VLOOKUP('Données projet'!$B$16,Paramètres!$A$1:$I$89,3,0)*VLOOKUP('Données projet'!$B$16,Paramètres!$A$1:$I$89,5,0)</f>
        <v>-1.8444552551954985E-13</v>
      </c>
      <c r="FG90" s="13" t="e">
        <f t="shared" si="101"/>
        <v>#NUM!</v>
      </c>
      <c r="FH90" s="20" t="e">
        <f t="shared" si="76"/>
        <v>#NUM!</v>
      </c>
      <c r="FI90" s="59" t="e">
        <f t="shared" si="77"/>
        <v>#NUM!</v>
      </c>
      <c r="FJ90" s="59">
        <f ca="1">AVERAGE(OFFSET($FI$3,0,0,'Données projet'!$E$16+1,1))-AVERAGE(OFFSET($H$3,0,0,'Données projet'!$E$16+1,1))</f>
        <v>220.90439367987847</v>
      </c>
      <c r="FK90" s="59">
        <f t="shared" si="102"/>
        <v>213.66046131354858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97.099200649321233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97.099200649321233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1">
        <f t="shared" si="86"/>
        <v>20.017157370878905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67">
        <f t="shared" si="56"/>
        <v>452.52646908761403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</v>
      </c>
      <c r="N91" s="13">
        <f>IF('Données projet'!$A$36&gt;35,N90+M91-V90,IF(A91&lt;'Données projet'!$A$36,$K$205^A91,IF(A91='Données projet'!$A$36,'Données projet'!$B$36,N90+M91-V90)))</f>
        <v>485.00000000000034</v>
      </c>
      <c r="O91" s="13">
        <f>N91*VLOOKUP('Données projet'!$B$9,Paramètres!$A$1:$I$89,3,0)*VLOOKUP('Données projet'!$B$9,Paramètres!$A$1:$I$89,5,0)</f>
        <v>226.98000000000016</v>
      </c>
      <c r="P91" s="13">
        <f t="shared" si="87"/>
        <v>55.629185455335978</v>
      </c>
      <c r="Q91" s="20">
        <f t="shared" si="54"/>
        <v>492.21099800137716</v>
      </c>
      <c r="R91" s="59">
        <f t="shared" si="55"/>
        <v>785.54433133471048</v>
      </c>
      <c r="S91" s="59">
        <f ca="1">AVERAGE(OFFSET($R$3,0,0,'Données projet'!$E$9+1,1))-AVERAGE(OFFSET($H$3,0,0,'Données projet'!$E$9+1,1))</f>
        <v>196.72624686715807</v>
      </c>
      <c r="T91" s="59">
        <f t="shared" si="88"/>
        <v>37.315661698104691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61.600206164135322</v>
      </c>
      <c r="AA91" s="21">
        <f>EXP(-LN(2)/25)*AA90+(1-EXP(-LN(2)/25))/(LN(2)/25)*Calculateur!V91*Calculateur!X91*VLOOKUP('Données projet'!$B$9,Paramètres!$A$1:$I$89,3,0)*0.475*44/12</f>
        <v>31.766625130472061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93.36683129460738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-1.0000000000001137</v>
      </c>
      <c r="AJ91" s="13">
        <f>AI91*VLOOKUP('Données projet'!$B$10,Paramètres!$A$1:$I$89,3,0)*VLOOKUP('Données projet'!$B$10,Paramètres!$A$1:$I$89,5,0)</f>
        <v>-0.55900000000006356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325.42940802362739</v>
      </c>
      <c r="AO91" s="59">
        <f t="shared" si="90"/>
        <v>388.87198417542277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134.58977287973477</v>
      </c>
      <c r="AV91" s="21">
        <f>EXP(-LN(2)/25)*AV90+(1-EXP(-LN(2)/25))/(LN(2)/25)*Calculateur!AQ91*Calculateur!AS91*VLOOKUP('Données projet'!$B$10,Paramètres!$A$1:$I$89,3,0)*0.475*44/12</f>
        <v>41.6386689751576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176.22844185489237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</v>
      </c>
      <c r="BE91" s="13">
        <f>BD91*VLOOKUP('Données projet'!$B$11,Paramètres!$A$1:$I$89,3,0)*VLOOKUP('Données projet'!$B$11,Paramètres!$A$1:$I$89,5,0)</f>
        <v>-0.624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162.87524915738271</v>
      </c>
      <c r="BJ91" s="59">
        <f t="shared" si="92"/>
        <v>249.37880137966658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85.867972061457408</v>
      </c>
      <c r="BQ91" s="21">
        <f>EXP(-LN(2)/25)*BQ90+(1-EXP(-LN(2)/25))/(LN(2)/25)*Calculateur!BL91*Calculateur!BN91*VLOOKUP('Données projet'!$B$11,Paramètres!$A$1:$I$89,3,0)*0.475*44/12</f>
        <v>29.356538236533783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115.22451029799119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-1.4210854715202004E-13</v>
      </c>
      <c r="BZ91" s="13">
        <f>BY91*VLOOKUP('Données projet'!$B$12,Paramètres!$A$1:$I$89,3,0)*VLOOKUP('Données projet'!$B$12,Paramètres!$A$1:$I$89,5,0)</f>
        <v>-9.3109520094003535E-14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119.88584888779422</v>
      </c>
      <c r="CE91" s="59">
        <f t="shared" si="94"/>
        <v>162.97244314258774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28.817612361549713</v>
      </c>
      <c r="CL91" s="21">
        <f>EXP(-LN(2)/25)*CL90+(1-EXP(-LN(2)/25))/(LN(2)/25)*Calculateur!CG91*Calculateur!CI91*VLOOKUP('Données projet'!$B$12,Paramètres!$A$1:$I$89,3,0)*0.475*44/12</f>
        <v>11.331949358146884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40.149561719696599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4</v>
      </c>
      <c r="CT91" s="12">
        <f>IF('Données projet'!$A$140&gt;35,CT90+CS91-DB90,IF(A91&lt;'Données projet'!$A$140,$CQ$205^A91,IF(A91='Données projet'!$A$140,'Données projet'!$B$140,CT90+CS91-DB90)))</f>
        <v>216</v>
      </c>
      <c r="CU91" s="17">
        <f>CT91*VLOOKUP('Données projet'!$B$13,Paramètres!$A$1:$I$89,3,0)*VLOOKUP('Données projet'!$B$13,Paramètres!$A$1:$I$89,5,0)</f>
        <v>219.02400000000003</v>
      </c>
      <c r="CV91" s="13">
        <f t="shared" si="95"/>
        <v>53.902702081308355</v>
      </c>
      <c r="CW91" s="20">
        <f t="shared" si="67"/>
        <v>475.34733945827878</v>
      </c>
      <c r="CX91" s="59">
        <f t="shared" si="68"/>
        <v>768.6806727916121</v>
      </c>
      <c r="CY91" s="59">
        <f ca="1">AVERAGE(OFFSET($CX$3,0,0,'Données projet'!$E$13+1,1))-AVERAGE(OFFSET($H$3,0,0,'Données projet'!$E$13+1,1))</f>
        <v>261.75887764015459</v>
      </c>
      <c r="CZ91" s="59">
        <f t="shared" si="96"/>
        <v>209.74127356028544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23.556159326755676</v>
      </c>
      <c r="DG91" s="21">
        <f>EXP(-LN(2)/25)*DG90+(1-EXP(-LN(2)/25))/(LN(2)/25)*Calculateur!DB91*Calculateur!DD91*VLOOKUP('Données projet'!$B$13,Paramètres!$A$1:$I$89,3,0)*0.475*44/12</f>
        <v>20.231775179335013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43.787934506090693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-2.2737367544323206E-13</v>
      </c>
      <c r="DP91" s="17">
        <f>DO91*VLOOKUP('Données projet'!$B$14,Paramètres!$A$1:$I$89,3,0)*VLOOKUP('Données projet'!$B$14,Paramètres!$A$1:$I$89,5,0)</f>
        <v>-1.8089849618263545E-13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215.37468832969444</v>
      </c>
      <c r="DU91" s="59">
        <f t="shared" si="98"/>
        <v>208.60212063136419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93.364468692536079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93.364468692536079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-2.2737367544323206E-13</v>
      </c>
      <c r="EK91" s="17">
        <f>EJ91*VLOOKUP('Données projet'!$B$15,Paramètres!$A$1:$I$89,3,0)*VLOOKUP('Données projet'!$B$15,Paramètres!$A$1:$I$89,5,0)</f>
        <v>-1.8089849618263545E-13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215.37468832969444</v>
      </c>
      <c r="EP91" s="59">
        <f t="shared" si="100"/>
        <v>208.60212063136419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93.364468692536079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93.364468692536079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-2.2737367544323206E-13</v>
      </c>
      <c r="FF91" s="17">
        <f>FE91*VLOOKUP('Données projet'!$B$16,Paramètres!$A$1:$I$89,3,0)*VLOOKUP('Données projet'!$B$16,Paramètres!$A$1:$I$89,5,0)</f>
        <v>-1.8444552551954985E-13</v>
      </c>
      <c r="FG91" s="13" t="e">
        <f t="shared" si="101"/>
        <v>#NUM!</v>
      </c>
      <c r="FH91" s="20" t="e">
        <f t="shared" si="76"/>
        <v>#NUM!</v>
      </c>
      <c r="FI91" s="59" t="e">
        <f t="shared" si="77"/>
        <v>#NUM!</v>
      </c>
      <c r="FJ91" s="59">
        <f ca="1">AVERAGE(OFFSET($FI$3,0,0,'Données projet'!$E$16+1,1))-AVERAGE(OFFSET($H$3,0,0,'Données projet'!$E$16+1,1))</f>
        <v>220.90439367987847</v>
      </c>
      <c r="FK91" s="59">
        <f t="shared" si="102"/>
        <v>213.66046131354858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95.19514454925249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95.19514454925249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1">
        <f t="shared" si="86"/>
        <v>20.218015459285905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67">
        <f t="shared" si="56"/>
        <v>454.2891369249229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</v>
      </c>
      <c r="N92" s="13">
        <f>IF('Données projet'!$A$36&gt;35,N91+M92-V91,IF(A92&lt;'Données projet'!$A$36,$K$205^A92,IF(A92='Données projet'!$A$36,'Données projet'!$B$36,N91+M92-V91)))</f>
        <v>498.00000000000034</v>
      </c>
      <c r="O92" s="13">
        <f>N92*VLOOKUP('Données projet'!$B$9,Paramètres!$A$1:$I$89,3,0)*VLOOKUP('Données projet'!$B$9,Paramètres!$A$1:$I$89,5,0)</f>
        <v>233.06400000000016</v>
      </c>
      <c r="P92" s="13">
        <f t="shared" si="87"/>
        <v>56.944678836622806</v>
      </c>
      <c r="Q92" s="20">
        <f t="shared" si="54"/>
        <v>505.09844897378497</v>
      </c>
      <c r="R92" s="59">
        <f t="shared" si="55"/>
        <v>798.43178230711828</v>
      </c>
      <c r="S92" s="59">
        <f ca="1">AVERAGE(OFFSET($R$3,0,0,'Données projet'!$E$9+1,1))-AVERAGE(OFFSET($H$3,0,0,'Données projet'!$E$9+1,1))</f>
        <v>196.72624686715807</v>
      </c>
      <c r="T92" s="59">
        <f t="shared" si="88"/>
        <v>37.315661698104691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60.392263693672419</v>
      </c>
      <c r="AA92" s="21">
        <f>EXP(-LN(2)/25)*AA91+(1-EXP(-LN(2)/25))/(LN(2)/25)*Calculateur!V92*Calculateur!X92*VLOOKUP('Données projet'!$B$9,Paramètres!$A$1:$I$89,3,0)*0.475*44/12</f>
        <v>30.897965095745089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91.290228789417512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-1.0000000000001137</v>
      </c>
      <c r="AJ92" s="13">
        <f>AI92*VLOOKUP('Données projet'!$B$10,Paramètres!$A$1:$I$89,3,0)*VLOOKUP('Données projet'!$B$10,Paramètres!$A$1:$I$89,5,0)</f>
        <v>-0.55900000000006356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325.42940802362739</v>
      </c>
      <c r="AO92" s="59">
        <f t="shared" si="90"/>
        <v>388.87198417542277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131.95054952521875</v>
      </c>
      <c r="AV92" s="21">
        <f>EXP(-LN(2)/25)*AV91+(1-EXP(-LN(2)/25))/(LN(2)/25)*Calculateur!AQ92*Calculateur!AS92*VLOOKUP('Données projet'!$B$10,Paramètres!$A$1:$I$89,3,0)*0.475*44/12</f>
        <v>40.500057382349482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172.45060690756821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</v>
      </c>
      <c r="BE92" s="13">
        <f>BD92*VLOOKUP('Données projet'!$B$11,Paramètres!$A$1:$I$89,3,0)*VLOOKUP('Données projet'!$B$11,Paramètres!$A$1:$I$89,5,0)</f>
        <v>-0.624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162.87524915738271</v>
      </c>
      <c r="BJ92" s="59">
        <f t="shared" si="92"/>
        <v>249.37880137966658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84.184153503623648</v>
      </c>
      <c r="BQ92" s="21">
        <f>EXP(-LN(2)/25)*BQ91+(1-EXP(-LN(2)/25))/(LN(2)/25)*Calculateur!BL92*Calculateur!BN92*VLOOKUP('Données projet'!$B$11,Paramètres!$A$1:$I$89,3,0)*0.475*44/12</f>
        <v>28.553782154662517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112.73793565828616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-1.4210854715202004E-13</v>
      </c>
      <c r="BZ92" s="13">
        <f>BY92*VLOOKUP('Données projet'!$B$12,Paramètres!$A$1:$I$89,3,0)*VLOOKUP('Données projet'!$B$12,Paramètres!$A$1:$I$89,5,0)</f>
        <v>-9.3109520094003535E-14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119.88584888779422</v>
      </c>
      <c r="CE92" s="59">
        <f t="shared" si="94"/>
        <v>162.97244314258774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28.252516560147679</v>
      </c>
      <c r="CL92" s="21">
        <f>EXP(-LN(2)/25)*CL91+(1-EXP(-LN(2)/25))/(LN(2)/25)*Calculateur!CG92*Calculateur!CI92*VLOOKUP('Données projet'!$B$12,Paramètres!$A$1:$I$89,3,0)*0.475*44/12</f>
        <v>11.02207660702704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39.274593167174721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4</v>
      </c>
      <c r="CT92" s="12">
        <f>IF('Données projet'!$A$140&gt;35,CT91+CS92-DB91,IF(A92&lt;'Données projet'!$A$140,$CQ$205^A92,IF(A92='Données projet'!$A$140,'Données projet'!$B$140,CT91+CS92-DB91)))</f>
        <v>220</v>
      </c>
      <c r="CU92" s="17">
        <f>CT92*VLOOKUP('Données projet'!$B$13,Paramètres!$A$1:$I$89,3,0)*VLOOKUP('Données projet'!$B$13,Paramètres!$A$1:$I$89,5,0)</f>
        <v>223.08</v>
      </c>
      <c r="CV92" s="13">
        <f t="shared" si="95"/>
        <v>54.783765878062667</v>
      </c>
      <c r="CW92" s="20">
        <f t="shared" si="67"/>
        <v>483.94605890429244</v>
      </c>
      <c r="CX92" s="59">
        <f t="shared" si="68"/>
        <v>777.27939223762576</v>
      </c>
      <c r="CY92" s="59">
        <f ca="1">AVERAGE(OFFSET($CX$3,0,0,'Données projet'!$E$13+1,1))-AVERAGE(OFFSET($H$3,0,0,'Données projet'!$E$13+1,1))</f>
        <v>261.75887764015459</v>
      </c>
      <c r="CZ92" s="59">
        <f t="shared" si="96"/>
        <v>209.74127356028544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23.094237410196481</v>
      </c>
      <c r="DG92" s="21">
        <f>EXP(-LN(2)/25)*DG91+(1-EXP(-LN(2)/25))/(LN(2)/25)*Calculateur!DB92*Calculateur!DD92*VLOOKUP('Données projet'!$B$13,Paramètres!$A$1:$I$89,3,0)*0.475*44/12</f>
        <v>19.67853622311328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42.772773633309761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-2.2737367544323206E-13</v>
      </c>
      <c r="DP92" s="17">
        <f>DO92*VLOOKUP('Données projet'!$B$14,Paramètres!$A$1:$I$89,3,0)*VLOOKUP('Données projet'!$B$14,Paramètres!$A$1:$I$89,5,0)</f>
        <v>-1.8089849618263545E-13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215.37468832969444</v>
      </c>
      <c r="DU92" s="59">
        <f t="shared" si="98"/>
        <v>208.60212063136419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91.533648408178323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91.533648408178323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-2.2737367544323206E-13</v>
      </c>
      <c r="EK92" s="17">
        <f>EJ92*VLOOKUP('Données projet'!$B$15,Paramètres!$A$1:$I$89,3,0)*VLOOKUP('Données projet'!$B$15,Paramètres!$A$1:$I$89,5,0)</f>
        <v>-1.8089849618263545E-13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215.37468832969444</v>
      </c>
      <c r="EP92" s="59">
        <f t="shared" si="100"/>
        <v>208.60212063136419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91.533648408178323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91.533648408178323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-2.2737367544323206E-13</v>
      </c>
      <c r="FF92" s="17">
        <f>FE92*VLOOKUP('Données projet'!$B$16,Paramètres!$A$1:$I$89,3,0)*VLOOKUP('Données projet'!$B$16,Paramètres!$A$1:$I$89,5,0)</f>
        <v>-1.8444552551954985E-13</v>
      </c>
      <c r="FG92" s="13" t="e">
        <f t="shared" si="101"/>
        <v>#NUM!</v>
      </c>
      <c r="FH92" s="20" t="e">
        <f t="shared" si="76"/>
        <v>#NUM!</v>
      </c>
      <c r="FI92" s="59" t="e">
        <f t="shared" si="77"/>
        <v>#NUM!</v>
      </c>
      <c r="FJ92" s="59">
        <f ca="1">AVERAGE(OFFSET($FI$3,0,0,'Données projet'!$E$16+1,1))-AVERAGE(OFFSET($H$3,0,0,'Données projet'!$E$16+1,1))</f>
        <v>220.90439367987847</v>
      </c>
      <c r="FK92" s="59">
        <f t="shared" si="102"/>
        <v>213.66046131354858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93.328425827946546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93.328425827946546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1">
        <f t="shared" si="86"/>
        <v>20.418611018263636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67">
        <f t="shared" si="56"/>
        <v>456.05134752347578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</v>
      </c>
      <c r="N93" s="13">
        <f>IF('Données projet'!$A$36&gt;35,N92+M93-V92,IF(A93&lt;'Données projet'!$A$36,$K$205^A93,IF(A93='Données projet'!$A$36,'Données projet'!$B$36,N92+M93-V92)))</f>
        <v>511.00000000000034</v>
      </c>
      <c r="O93" s="13">
        <f>N93*VLOOKUP('Données projet'!$B$9,Paramètres!$A$1:$I$89,3,0)*VLOOKUP('Données projet'!$B$9,Paramètres!$A$1:$I$89,5,0)</f>
        <v>239.14800000000017</v>
      </c>
      <c r="P93" s="13">
        <f t="shared" si="87"/>
        <v>58.256180607577839</v>
      </c>
      <c r="Q93" s="20">
        <f t="shared" si="54"/>
        <v>517.97894789153167</v>
      </c>
      <c r="R93" s="59">
        <f t="shared" si="55"/>
        <v>811.31228122486505</v>
      </c>
      <c r="S93" s="59">
        <f ca="1">AVERAGE(OFFSET($R$3,0,0,'Données projet'!$E$9+1,1))-AVERAGE(OFFSET($H$3,0,0,'Données projet'!$E$9+1,1))</f>
        <v>196.72624686715807</v>
      </c>
      <c r="T93" s="59">
        <f t="shared" si="88"/>
        <v>37.315661698104691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59.208008238283135</v>
      </c>
      <c r="AA93" s="21">
        <f>EXP(-LN(2)/25)*AA92+(1-EXP(-LN(2)/25))/(LN(2)/25)*Calculateur!V93*Calculateur!X93*VLOOKUP('Données projet'!$B$9,Paramètres!$A$1:$I$89,3,0)*0.475*44/12</f>
        <v>30.053058615348572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89.261066853631704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-1.0000000000001137</v>
      </c>
      <c r="AJ93" s="13">
        <f>AI93*VLOOKUP('Données projet'!$B$10,Paramètres!$A$1:$I$89,3,0)*VLOOKUP('Données projet'!$B$10,Paramètres!$A$1:$I$89,5,0)</f>
        <v>-0.55900000000006356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325.42940802362739</v>
      </c>
      <c r="AO93" s="59">
        <f t="shared" si="90"/>
        <v>388.87198417542277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129.36307973091749</v>
      </c>
      <c r="AV93" s="21">
        <f>EXP(-LN(2)/25)*AV92+(1-EXP(-LN(2)/25))/(LN(2)/25)*Calculateur!AQ93*Calculateur!AS93*VLOOKUP('Données projet'!$B$10,Paramètres!$A$1:$I$89,3,0)*0.475*44/12</f>
        <v>39.39258118342368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168.75566091434118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</v>
      </c>
      <c r="BE93" s="13">
        <f>BD93*VLOOKUP('Données projet'!$B$11,Paramètres!$A$1:$I$89,3,0)*VLOOKUP('Données projet'!$B$11,Paramètres!$A$1:$I$89,5,0)</f>
        <v>-0.624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162.87524915738271</v>
      </c>
      <c r="BJ93" s="59">
        <f t="shared" si="92"/>
        <v>249.37880137966658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82.53335360068111</v>
      </c>
      <c r="BQ93" s="21">
        <f>EXP(-LN(2)/25)*BQ92+(1-EXP(-LN(2)/25))/(LN(2)/25)*Calculateur!BL93*Calculateur!BN93*VLOOKUP('Données projet'!$B$11,Paramètres!$A$1:$I$89,3,0)*0.475*44/12</f>
        <v>27.772977480065126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110.30633108074623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-1.4210854715202004E-13</v>
      </c>
      <c r="BZ93" s="13">
        <f>BY93*VLOOKUP('Données projet'!$B$12,Paramètres!$A$1:$I$89,3,0)*VLOOKUP('Données projet'!$B$12,Paramètres!$A$1:$I$89,5,0)</f>
        <v>-9.3109520094003535E-14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119.88584888779422</v>
      </c>
      <c r="CE93" s="59">
        <f t="shared" si="94"/>
        <v>162.97244314258774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27.698501942736733</v>
      </c>
      <c r="CL93" s="21">
        <f>EXP(-LN(2)/25)*CL92+(1-EXP(-LN(2)/25))/(LN(2)/25)*Calculateur!CG93*Calculateur!CI93*VLOOKUP('Données projet'!$B$12,Paramètres!$A$1:$I$89,3,0)*0.475*44/12</f>
        <v>10.720677342582068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38.419179285318805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4</v>
      </c>
      <c r="CT93" s="12">
        <f>IF('Données projet'!$A$140&gt;35,CT92+CS93-DB92,IF(A93&lt;'Données projet'!$A$140,$CQ$205^A93,IF(A93='Données projet'!$A$140,'Données projet'!$B$140,CT92+CS93-DB92)))</f>
        <v>224</v>
      </c>
      <c r="CU93" s="17">
        <f>CT93*VLOOKUP('Données projet'!$B$13,Paramètres!$A$1:$I$89,3,0)*VLOOKUP('Données projet'!$B$13,Paramètres!$A$1:$I$89,5,0)</f>
        <v>227.136</v>
      </c>
      <c r="CV93" s="13">
        <f t="shared" si="95"/>
        <v>55.662966886685133</v>
      </c>
      <c r="CW93" s="20">
        <f t="shared" si="67"/>
        <v>492.54153399430999</v>
      </c>
      <c r="CX93" s="59">
        <f t="shared" si="68"/>
        <v>785.8748673276433</v>
      </c>
      <c r="CY93" s="59">
        <f ca="1">AVERAGE(OFFSET($CX$3,0,0,'Données projet'!$E$13+1,1))-AVERAGE(OFFSET($H$3,0,0,'Données projet'!$E$13+1,1))</f>
        <v>261.75887764015459</v>
      </c>
      <c r="CZ93" s="59">
        <f t="shared" si="96"/>
        <v>209.74127356028544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22.641373500676462</v>
      </c>
      <c r="DG93" s="21">
        <f>EXP(-LN(2)/25)*DG92+(1-EXP(-LN(2)/25))/(LN(2)/25)*Calculateur!DB93*Calculateur!DD93*VLOOKUP('Données projet'!$B$13,Paramètres!$A$1:$I$89,3,0)*0.475*44/12</f>
        <v>19.140425615243004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41.781799115919469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-2.2737367544323206E-13</v>
      </c>
      <c r="DP93" s="17">
        <f>DO93*VLOOKUP('Données projet'!$B$14,Paramètres!$A$1:$I$89,3,0)*VLOOKUP('Données projet'!$B$14,Paramètres!$A$1:$I$89,5,0)</f>
        <v>-1.8089849618263545E-13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215.37468832969444</v>
      </c>
      <c r="DU93" s="59">
        <f t="shared" si="98"/>
        <v>208.60212063136419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89.73872939290672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89.73872939290672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-2.2737367544323206E-13</v>
      </c>
      <c r="EK93" s="17">
        <f>EJ93*VLOOKUP('Données projet'!$B$15,Paramètres!$A$1:$I$89,3,0)*VLOOKUP('Données projet'!$B$15,Paramètres!$A$1:$I$89,5,0)</f>
        <v>-1.8089849618263545E-13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215.37468832969444</v>
      </c>
      <c r="EP93" s="59">
        <f t="shared" si="100"/>
        <v>208.60212063136419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89.73872939290672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89.73872939290672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-2.2737367544323206E-13</v>
      </c>
      <c r="FF93" s="17">
        <f>FE93*VLOOKUP('Données projet'!$B$16,Paramètres!$A$1:$I$89,3,0)*VLOOKUP('Données projet'!$B$16,Paramètres!$A$1:$I$89,5,0)</f>
        <v>-1.8444552551954985E-13</v>
      </c>
      <c r="FG93" s="13" t="e">
        <f t="shared" si="101"/>
        <v>#NUM!</v>
      </c>
      <c r="FH93" s="20" t="e">
        <f t="shared" si="76"/>
        <v>#NUM!</v>
      </c>
      <c r="FI93" s="59" t="e">
        <f t="shared" si="77"/>
        <v>#NUM!</v>
      </c>
      <c r="FJ93" s="59">
        <f ca="1">AVERAGE(OFFSET($FI$3,0,0,'Données projet'!$E$16+1,1))-AVERAGE(OFFSET($H$3,0,0,'Données projet'!$E$16+1,1))</f>
        <v>220.90439367987847</v>
      </c>
      <c r="FK93" s="59">
        <f t="shared" si="102"/>
        <v>213.66046131354858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91.498312322179416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91.498312322179416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1">
        <f t="shared" si="86"/>
        <v>20.618947302373449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67">
        <f t="shared" si="56"/>
        <v>457.81310655163367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13</v>
      </c>
      <c r="N94" s="13">
        <f>IF('Données projet'!$A$36&gt;35,N93+M94-V93,IF(A94&lt;'Données projet'!$A$36,$K$205^A94,IF(A94='Données projet'!$A$36,'Données projet'!$B$36,N93+M94-V93)))</f>
        <v>524.00000000000034</v>
      </c>
      <c r="O94" s="13">
        <f>N94*VLOOKUP('Données projet'!$B$9,Paramètres!$A$1:$I$89,3,0)*VLOOKUP('Données projet'!$B$9,Paramètres!$A$1:$I$89,5,0)</f>
        <v>245.23200000000017</v>
      </c>
      <c r="P94" s="13">
        <f t="shared" si="87"/>
        <v>59.563803993206548</v>
      </c>
      <c r="Q94" s="20">
        <f t="shared" si="54"/>
        <v>530.852691954835</v>
      </c>
      <c r="R94" s="59">
        <f t="shared" si="55"/>
        <v>824.18602528816837</v>
      </c>
      <c r="S94" s="59">
        <f ca="1">AVERAGE(OFFSET($R$3,0,0,'Données projet'!$E$9+1,1))-AVERAGE(OFFSET($H$3,0,0,'Données projet'!$E$9+1,1))</f>
        <v>196.72624686715807</v>
      </c>
      <c r="T94" s="59">
        <f t="shared" si="88"/>
        <v>37.315661698104691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58.046975310049532</v>
      </c>
      <c r="AA94" s="21">
        <f>EXP(-LN(2)/25)*AA93+(1-EXP(-LN(2)/25))/(LN(2)/25)*Calculateur!V94*Calculateur!X94*VLOOKUP('Données projet'!$B$9,Paramètres!$A$1:$I$89,3,0)*0.475*44/12</f>
        <v>29.2312561470902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87.278231457139725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-1.0000000000001137</v>
      </c>
      <c r="AJ94" s="13">
        <f>AI94*VLOOKUP('Données projet'!$B$10,Paramètres!$A$1:$I$89,3,0)*VLOOKUP('Données projet'!$B$10,Paramètres!$A$1:$I$89,5,0)</f>
        <v>-0.55900000000006356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325.42940802362739</v>
      </c>
      <c r="AO94" s="59">
        <f t="shared" si="90"/>
        <v>388.87198417542277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126.82634864108174</v>
      </c>
      <c r="AV94" s="21">
        <f>EXP(-LN(2)/25)*AV93+(1-EXP(-LN(2)/25))/(LN(2)/25)*Calculateur!AQ94*Calculateur!AS94*VLOOKUP('Données projet'!$B$10,Paramètres!$A$1:$I$89,3,0)*0.475*44/12</f>
        <v>38.315388979397149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165.14173762047889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</v>
      </c>
      <c r="BE94" s="13">
        <f>BD94*VLOOKUP('Données projet'!$B$11,Paramètres!$A$1:$I$89,3,0)*VLOOKUP('Données projet'!$B$11,Paramètres!$A$1:$I$89,5,0)</f>
        <v>-0.624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162.87524915738271</v>
      </c>
      <c r="BJ94" s="59">
        <f t="shared" si="92"/>
        <v>249.37880137966658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80.914924876946756</v>
      </c>
      <c r="BQ94" s="21">
        <f>EXP(-LN(2)/25)*BQ93+(1-EXP(-LN(2)/25))/(LN(2)/25)*Calculateur!BL94*Calculateur!BN94*VLOOKUP('Données projet'!$B$11,Paramètres!$A$1:$I$89,3,0)*0.475*44/12</f>
        <v>27.013523950355335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107.92844882730209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-1.4210854715202004E-13</v>
      </c>
      <c r="BZ94" s="13">
        <f>BY94*VLOOKUP('Données projet'!$B$12,Paramètres!$A$1:$I$89,3,0)*VLOOKUP('Données projet'!$B$12,Paramètres!$A$1:$I$89,5,0)</f>
        <v>-9.3109520094003535E-14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119.88584888779422</v>
      </c>
      <c r="CE94" s="59">
        <f t="shared" si="94"/>
        <v>162.97244314258774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27.155351214057667</v>
      </c>
      <c r="CL94" s="21">
        <f>EXP(-LN(2)/25)*CL93+(1-EXP(-LN(2)/25))/(LN(2)/25)*Calculateur!CG94*Calculateur!CI94*VLOOKUP('Données projet'!$B$12,Paramètres!$A$1:$I$89,3,0)*0.475*44/12</f>
        <v>10.427519856873243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37.582871070930906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4</v>
      </c>
      <c r="CT94" s="12">
        <f>IF('Données projet'!$A$140&gt;35,CT93+CS94-DB93,IF(A94&lt;'Données projet'!$A$140,$CQ$205^A94,IF(A94='Données projet'!$A$140,'Données projet'!$B$140,CT93+CS94-DB93)))</f>
        <v>228</v>
      </c>
      <c r="CU94" s="17">
        <f>CT94*VLOOKUP('Données projet'!$B$13,Paramètres!$A$1:$I$89,3,0)*VLOOKUP('Données projet'!$B$13,Paramètres!$A$1:$I$89,5,0)</f>
        <v>231.19200000000004</v>
      </c>
      <c r="CV94" s="13">
        <f t="shared" si="95"/>
        <v>56.540342208595227</v>
      </c>
      <c r="CW94" s="20">
        <f t="shared" si="67"/>
        <v>501.13382934663673</v>
      </c>
      <c r="CX94" s="59">
        <f t="shared" si="68"/>
        <v>794.46716267996999</v>
      </c>
      <c r="CY94" s="59">
        <f ca="1">AVERAGE(OFFSET($CX$3,0,0,'Données projet'!$E$13+1,1))-AVERAGE(OFFSET($H$3,0,0,'Données projet'!$E$13+1,1))</f>
        <v>261.75887764015459</v>
      </c>
      <c r="CZ94" s="59">
        <f t="shared" si="96"/>
        <v>209.74127356028544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22.19738997620242</v>
      </c>
      <c r="DG94" s="21">
        <f>EXP(-LN(2)/25)*DG93+(1-EXP(-LN(2)/25))/(LN(2)/25)*Calculateur!DB94*Calculateur!DD94*VLOOKUP('Données projet'!$B$13,Paramètres!$A$1:$I$89,3,0)*0.475*44/12</f>
        <v>18.617029670242946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40.814419646445366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-2.2737367544323206E-13</v>
      </c>
      <c r="DP94" s="17">
        <f>DO94*VLOOKUP('Données projet'!$B$14,Paramètres!$A$1:$I$89,3,0)*VLOOKUP('Données projet'!$B$14,Paramètres!$A$1:$I$89,5,0)</f>
        <v>-1.8089849618263545E-13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215.37468832969444</v>
      </c>
      <c r="DU94" s="59">
        <f t="shared" si="98"/>
        <v>208.60212063136419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87.979007644732093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87.979007644732093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-2.2737367544323206E-13</v>
      </c>
      <c r="EK94" s="17">
        <f>EJ94*VLOOKUP('Données projet'!$B$15,Paramètres!$A$1:$I$89,3,0)*VLOOKUP('Données projet'!$B$15,Paramètres!$A$1:$I$89,5,0)</f>
        <v>-1.8089849618263545E-13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215.37468832969444</v>
      </c>
      <c r="EP94" s="59">
        <f t="shared" si="100"/>
        <v>208.60212063136419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87.979007644732093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87.979007644732093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-2.2737367544323206E-13</v>
      </c>
      <c r="FF94" s="17">
        <f>FE94*VLOOKUP('Données projet'!$B$16,Paramètres!$A$1:$I$89,3,0)*VLOOKUP('Données projet'!$B$16,Paramètres!$A$1:$I$89,5,0)</f>
        <v>-1.8444552551954985E-13</v>
      </c>
      <c r="FG94" s="13" t="e">
        <f t="shared" si="101"/>
        <v>#NUM!</v>
      </c>
      <c r="FH94" s="20" t="e">
        <f t="shared" si="76"/>
        <v>#NUM!</v>
      </c>
      <c r="FI94" s="59" t="e">
        <f t="shared" si="77"/>
        <v>#NUM!</v>
      </c>
      <c r="FJ94" s="59">
        <f ca="1">AVERAGE(OFFSET($FI$3,0,0,'Données projet'!$E$16+1,1))-AVERAGE(OFFSET($H$3,0,0,'Données projet'!$E$16+1,1))</f>
        <v>220.90439367987847</v>
      </c>
      <c r="FK94" s="59">
        <f t="shared" si="102"/>
        <v>213.66046131354858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89.704086226001365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89.704086226001365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1">
        <f t="shared" si="86"/>
        <v>20.819027490528757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67">
        <f t="shared" si="56"/>
        <v>459.57441954600415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13</v>
      </c>
      <c r="N95" s="13">
        <f>IF('Données projet'!$A$36&gt;35,N94+M95-V94,IF(A95&lt;'Données projet'!$A$36,$K$205^A95,IF(A95='Données projet'!$A$36,'Données projet'!$B$36,N94+M95-V94)))</f>
        <v>537.00000000000034</v>
      </c>
      <c r="O95" s="13">
        <f>N95*VLOOKUP('Données projet'!$B$9,Paramètres!$A$1:$I$89,3,0)*VLOOKUP('Données projet'!$B$9,Paramètres!$A$1:$I$89,5,0)</f>
        <v>251.31600000000014</v>
      </c>
      <c r="P95" s="13">
        <f t="shared" si="87"/>
        <v>60.867656280249889</v>
      </c>
      <c r="Q95" s="20">
        <f t="shared" si="54"/>
        <v>543.71986802143545</v>
      </c>
      <c r="R95" s="59">
        <f t="shared" si="55"/>
        <v>837.05320135476882</v>
      </c>
      <c r="S95" s="59">
        <f ca="1">AVERAGE(OFFSET($R$3,0,0,'Données projet'!$E$9+1,1))-AVERAGE(OFFSET($H$3,0,0,'Données projet'!$E$9+1,1))</f>
        <v>196.72624686715807</v>
      </c>
      <c r="T95" s="59">
        <f t="shared" si="88"/>
        <v>37.315661698104691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56.908709529378434</v>
      </c>
      <c r="AA95" s="21">
        <f>EXP(-LN(2)/25)*AA94+(1-EXP(-LN(2)/25))/(LN(2)/25)*Calculateur!V95*Calculateur!X95*VLOOKUP('Données projet'!$B$9,Paramètres!$A$1:$I$89,3,0)*0.475*44/12</f>
        <v>28.431925910543065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85.340635439921499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-1.0000000000001137</v>
      </c>
      <c r="AJ95" s="13">
        <f>AI95*VLOOKUP('Données projet'!$B$10,Paramètres!$A$1:$I$89,3,0)*VLOOKUP('Données projet'!$B$10,Paramètres!$A$1:$I$89,5,0)</f>
        <v>-0.55900000000006356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325.42940802362739</v>
      </c>
      <c r="AO95" s="59">
        <f t="shared" si="90"/>
        <v>388.87198417542277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124.33936130066448</v>
      </c>
      <c r="AV95" s="21">
        <f>EXP(-LN(2)/25)*AV94+(1-EXP(-LN(2)/25))/(LN(2)/25)*Calculateur!AQ95*Calculateur!AS95*VLOOKUP('Données projet'!$B$10,Paramètres!$A$1:$I$89,3,0)*0.475*44/12</f>
        <v>37.267652652836802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161.60701395350128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</v>
      </c>
      <c r="BE95" s="13">
        <f>BD95*VLOOKUP('Données projet'!$B$11,Paramètres!$A$1:$I$89,3,0)*VLOOKUP('Données projet'!$B$11,Paramètres!$A$1:$I$89,5,0)</f>
        <v>-0.624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162.87524915738271</v>
      </c>
      <c r="BJ95" s="59">
        <f t="shared" si="92"/>
        <v>249.37880137966658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79.328232553340783</v>
      </c>
      <c r="BQ95" s="21">
        <f>EXP(-LN(2)/25)*BQ94+(1-EXP(-LN(2)/25))/(LN(2)/25)*Calculateur!BL95*Calculateur!BN95*VLOOKUP('Données projet'!$B$11,Paramètres!$A$1:$I$89,3,0)*0.475*44/12</f>
        <v>26.274837717353385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105.60307027069416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-1.4210854715202004E-13</v>
      </c>
      <c r="BZ95" s="13">
        <f>BY95*VLOOKUP('Données projet'!$B$12,Paramètres!$A$1:$I$89,3,0)*VLOOKUP('Données projet'!$B$12,Paramètres!$A$1:$I$89,5,0)</f>
        <v>-9.3109520094003535E-14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119.88584888779422</v>
      </c>
      <c r="CE95" s="59">
        <f t="shared" si="94"/>
        <v>162.97244314258774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26.622851339878764</v>
      </c>
      <c r="CL95" s="21">
        <f>EXP(-LN(2)/25)*CL94+(1-EXP(-LN(2)/25))/(LN(2)/25)*Calculateur!CG95*Calculateur!CI95*VLOOKUP('Données projet'!$B$12,Paramètres!$A$1:$I$89,3,0)*0.475*44/12</f>
        <v>10.142378778027608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36.76523011790637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4</v>
      </c>
      <c r="CT95" s="12">
        <f>IF('Données projet'!$A$140&gt;35,CT94+CS95-DB94,IF(A95&lt;'Données projet'!$A$140,$CQ$205^A95,IF(A95='Données projet'!$A$140,'Données projet'!$B$140,CT94+CS95-DB94)))</f>
        <v>232</v>
      </c>
      <c r="CU95" s="17">
        <f>CT95*VLOOKUP('Données projet'!$B$13,Paramètres!$A$1:$I$89,3,0)*VLOOKUP('Données projet'!$B$13,Paramètres!$A$1:$I$89,5,0)</f>
        <v>235.24800000000002</v>
      </c>
      <c r="CV95" s="13">
        <f t="shared" si="95"/>
        <v>57.41592756883739</v>
      </c>
      <c r="CW95" s="20">
        <f t="shared" si="67"/>
        <v>509.72300718239177</v>
      </c>
      <c r="CX95" s="59">
        <f t="shared" si="68"/>
        <v>803.05634051572508</v>
      </c>
      <c r="CY95" s="59">
        <f ca="1">AVERAGE(OFFSET($CX$3,0,0,'Données projet'!$E$13+1,1))-AVERAGE(OFFSET($H$3,0,0,'Données projet'!$E$13+1,1))</f>
        <v>261.75887764015459</v>
      </c>
      <c r="CZ95" s="59">
        <f t="shared" si="96"/>
        <v>209.74127356028544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21.762112697840102</v>
      </c>
      <c r="DG95" s="21">
        <f>EXP(-LN(2)/25)*DG94+(1-EXP(-LN(2)/25))/(LN(2)/25)*Calculateur!DB95*Calculateur!DD95*VLOOKUP('Données projet'!$B$13,Paramètres!$A$1:$I$89,3,0)*0.475*44/12</f>
        <v>18.107946014883112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39.870058712723214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-2.2737367544323206E-13</v>
      </c>
      <c r="DP95" s="17">
        <f>DO95*VLOOKUP('Données projet'!$B$14,Paramètres!$A$1:$I$89,3,0)*VLOOKUP('Données projet'!$B$14,Paramètres!$A$1:$I$89,5,0)</f>
        <v>-1.8089849618263545E-13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215.37468832969444</v>
      </c>
      <c r="DU95" s="59">
        <f t="shared" si="98"/>
        <v>208.60212063136419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86.253792966714883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86.253792966714883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-2.2737367544323206E-13</v>
      </c>
      <c r="EK95" s="17">
        <f>EJ95*VLOOKUP('Données projet'!$B$15,Paramètres!$A$1:$I$89,3,0)*VLOOKUP('Données projet'!$B$15,Paramètres!$A$1:$I$89,5,0)</f>
        <v>-1.8089849618263545E-13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215.37468832969444</v>
      </c>
      <c r="EP95" s="59">
        <f t="shared" si="100"/>
        <v>208.60212063136419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86.253792966714883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86.253792966714883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-2.2737367544323206E-13</v>
      </c>
      <c r="FF95" s="17">
        <f>FE95*VLOOKUP('Données projet'!$B$16,Paramètres!$A$1:$I$89,3,0)*VLOOKUP('Données projet'!$B$16,Paramètres!$A$1:$I$89,5,0)</f>
        <v>-1.8444552551954985E-13</v>
      </c>
      <c r="FG95" s="13" t="e">
        <f t="shared" si="101"/>
        <v>#NUM!</v>
      </c>
      <c r="FH95" s="20" t="e">
        <f t="shared" si="76"/>
        <v>#NUM!</v>
      </c>
      <c r="FI95" s="59" t="e">
        <f t="shared" si="77"/>
        <v>#NUM!</v>
      </c>
      <c r="FJ95" s="59">
        <f ca="1">AVERAGE(OFFSET($FI$3,0,0,'Données projet'!$E$16+1,1))-AVERAGE(OFFSET($H$3,0,0,'Données projet'!$E$16+1,1))</f>
        <v>220.90439367987847</v>
      </c>
      <c r="FK95" s="59">
        <f t="shared" si="102"/>
        <v>213.66046131354858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87.945043809199504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87.945043809199504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1">
        <f t="shared" si="86"/>
        <v>21.018854688556051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67">
        <f t="shared" si="56"/>
        <v>461.33529191590168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13</v>
      </c>
      <c r="N96" s="13">
        <f>IF('Données projet'!$A$36&gt;35,N95+M96-V95,IF(A96&lt;'Données projet'!$A$36,$K$205^A96,IF(A96='Données projet'!$A$36,'Données projet'!$B$36,N95+M96-V95)))</f>
        <v>550.00000000000034</v>
      </c>
      <c r="O96" s="13">
        <f>N96*VLOOKUP('Données projet'!$B$9,Paramètres!$A$1:$I$89,3,0)*VLOOKUP('Données projet'!$B$9,Paramètres!$A$1:$I$89,5,0)</f>
        <v>257.40000000000015</v>
      </c>
      <c r="P96" s="13">
        <f t="shared" si="87"/>
        <v>62.167839264733466</v>
      </c>
      <c r="Q96" s="20">
        <f t="shared" si="54"/>
        <v>556.58065338607764</v>
      </c>
      <c r="R96" s="59">
        <f t="shared" si="55"/>
        <v>849.91398671941101</v>
      </c>
      <c r="S96" s="59">
        <f ca="1">AVERAGE(OFFSET($R$3,0,0,'Données projet'!$E$9+1,1))-AVERAGE(OFFSET($H$3,0,0,'Données projet'!$E$9+1,1))</f>
        <v>196.72624686715807</v>
      </c>
      <c r="T96" s="59">
        <f t="shared" si="88"/>
        <v>37.315661698104691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55.792764446392724</v>
      </c>
      <c r="AA96" s="21">
        <f>EXP(-LN(2)/25)*AA95+(1-EXP(-LN(2)/25))/(LN(2)/25)*Calculateur!V96*Calculateur!X96*VLOOKUP('Données projet'!$B$9,Paramètres!$A$1:$I$89,3,0)*0.475*44/12</f>
        <v>27.654453401349262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83.447217847741982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-1.0000000000001137</v>
      </c>
      <c r="AJ96" s="13">
        <f>AI96*VLOOKUP('Données projet'!$B$10,Paramètres!$A$1:$I$89,3,0)*VLOOKUP('Données projet'!$B$10,Paramètres!$A$1:$I$89,5,0)</f>
        <v>-0.55900000000006356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325.42940802362739</v>
      </c>
      <c r="AO96" s="59">
        <f t="shared" si="90"/>
        <v>388.87198417542277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121.90114226508031</v>
      </c>
      <c r="AV96" s="21">
        <f>EXP(-LN(2)/25)*AV95+(1-EXP(-LN(2)/25))/(LN(2)/25)*Calculateur!AQ96*Calculateur!AS96*VLOOKUP('Données projet'!$B$10,Paramètres!$A$1:$I$89,3,0)*0.475*44/12</f>
        <v>36.248566731224301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158.14970899630461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</v>
      </c>
      <c r="BE96" s="13">
        <f>BD96*VLOOKUP('Données projet'!$B$11,Paramètres!$A$1:$I$89,3,0)*VLOOKUP('Données projet'!$B$11,Paramètres!$A$1:$I$89,5,0)</f>
        <v>-0.624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162.87524915738271</v>
      </c>
      <c r="BJ96" s="59">
        <f t="shared" si="92"/>
        <v>249.37880137966658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77.772654298413968</v>
      </c>
      <c r="BQ96" s="21">
        <f>EXP(-LN(2)/25)*BQ95+(1-EXP(-LN(2)/25))/(LN(2)/25)*Calculateur!BL96*Calculateur!BN96*VLOOKUP('Données projet'!$B$11,Paramètres!$A$1:$I$89,3,0)*0.475*44/12</f>
        <v>25.556350898238694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103.32900519665266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-1.4210854715202004E-13</v>
      </c>
      <c r="BZ96" s="13">
        <f>BY96*VLOOKUP('Données projet'!$B$12,Paramètres!$A$1:$I$89,3,0)*VLOOKUP('Données projet'!$B$12,Paramètres!$A$1:$I$89,5,0)</f>
        <v>-9.3109520094003535E-14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119.88584888779422</v>
      </c>
      <c r="CE96" s="59">
        <f t="shared" si="94"/>
        <v>162.97244314258774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26.100793463439658</v>
      </c>
      <c r="CL96" s="21">
        <f>EXP(-LN(2)/25)*CL95+(1-EXP(-LN(2)/25))/(LN(2)/25)*Calculateur!CG96*Calculateur!CI96*VLOOKUP('Données projet'!$B$12,Paramètres!$A$1:$I$89,3,0)*0.475*44/12</f>
        <v>9.8650348969779227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35.965828360417582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4</v>
      </c>
      <c r="CT96" s="12">
        <f>IF('Données projet'!$A$140&gt;35,CT95+CS96-DB95,IF(A96&lt;'Données projet'!$A$140,$CQ$205^A96,IF(A96='Données projet'!$A$140,'Données projet'!$B$140,CT95+CS96-DB95)))</f>
        <v>236</v>
      </c>
      <c r="CU96" s="17">
        <f>CT96*VLOOKUP('Données projet'!$B$13,Paramètres!$A$1:$I$89,3,0)*VLOOKUP('Données projet'!$B$13,Paramètres!$A$1:$I$89,5,0)</f>
        <v>239.30400000000003</v>
      </c>
      <c r="CV96" s="13">
        <f t="shared" si="95"/>
        <v>58.28975738997584</v>
      </c>
      <c r="CW96" s="20">
        <f t="shared" si="67"/>
        <v>518.3091274542079</v>
      </c>
      <c r="CX96" s="59">
        <f t="shared" si="68"/>
        <v>811.64246078754127</v>
      </c>
      <c r="CY96" s="59">
        <f ca="1">AVERAGE(OFFSET($CX$3,0,0,'Données projet'!$E$13+1,1))-AVERAGE(OFFSET($H$3,0,0,'Données projet'!$E$13+1,1))</f>
        <v>261.75887764015459</v>
      </c>
      <c r="CZ96" s="59">
        <f t="shared" si="96"/>
        <v>209.74127356028544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21.335370941413547</v>
      </c>
      <c r="DG96" s="21">
        <f>EXP(-LN(2)/25)*DG95+(1-EXP(-LN(2)/25))/(LN(2)/25)*Calculateur!DB96*Calculateur!DD96*VLOOKUP('Données projet'!$B$13,Paramètres!$A$1:$I$89,3,0)*0.475*44/12</f>
        <v>17.612783278850639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38.948154220264186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-2.2737367544323206E-13</v>
      </c>
      <c r="DP96" s="17">
        <f>DO96*VLOOKUP('Données projet'!$B$14,Paramètres!$A$1:$I$89,3,0)*VLOOKUP('Données projet'!$B$14,Paramètres!$A$1:$I$89,5,0)</f>
        <v>-1.8089849618263545E-13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215.37468832969444</v>
      </c>
      <c r="DU96" s="59">
        <f t="shared" si="98"/>
        <v>208.60212063136419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84.56240869625654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84.56240869625654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-2.2737367544323206E-13</v>
      </c>
      <c r="EK96" s="17">
        <f>EJ96*VLOOKUP('Données projet'!$B$15,Paramètres!$A$1:$I$89,3,0)*VLOOKUP('Données projet'!$B$15,Paramètres!$A$1:$I$89,5,0)</f>
        <v>-1.8089849618263545E-13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215.37468832969444</v>
      </c>
      <c r="EP96" s="59">
        <f t="shared" si="100"/>
        <v>208.60212063136419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84.56240869625654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84.56240869625654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-2.2737367544323206E-13</v>
      </c>
      <c r="FF96" s="17">
        <f>FE96*VLOOKUP('Données projet'!$B$16,Paramètres!$A$1:$I$89,3,0)*VLOOKUP('Données projet'!$B$16,Paramètres!$A$1:$I$89,5,0)</f>
        <v>-1.8444552551954985E-13</v>
      </c>
      <c r="FG96" s="13" t="e">
        <f t="shared" si="101"/>
        <v>#NUM!</v>
      </c>
      <c r="FH96" s="20" t="e">
        <f t="shared" si="76"/>
        <v>#NUM!</v>
      </c>
      <c r="FI96" s="59" t="e">
        <f t="shared" si="77"/>
        <v>#NUM!</v>
      </c>
      <c r="FJ96" s="59">
        <f ca="1">AVERAGE(OFFSET($FI$3,0,0,'Données projet'!$E$16+1,1))-AVERAGE(OFFSET($H$3,0,0,'Données projet'!$E$16+1,1))</f>
        <v>220.90439367987847</v>
      </c>
      <c r="FK96" s="59">
        <f t="shared" si="102"/>
        <v>213.66046131354858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86.220495141281205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86.220495141281205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1">
        <f t="shared" si="86"/>
        <v>21.21843193164284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67">
        <f t="shared" si="56"/>
        <v>463.09572894761118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13</v>
      </c>
      <c r="N97" s="13">
        <f>IF('Données projet'!$A$36&gt;35,N96+M97-V96,IF(A97&lt;'Données projet'!$A$36,$K$205^A97,IF(A97='Données projet'!$A$36,'Données projet'!$B$36,N96+M97-V96)))</f>
        <v>563.00000000000034</v>
      </c>
      <c r="O97" s="13">
        <f>N97*VLOOKUP('Données projet'!$B$9,Paramètres!$A$1:$I$89,3,0)*VLOOKUP('Données projet'!$B$9,Paramètres!$A$1:$I$89,5,0)</f>
        <v>263.48400000000015</v>
      </c>
      <c r="P97" s="13">
        <f t="shared" si="87"/>
        <v>63.464449656011489</v>
      </c>
      <c r="Q97" s="20">
        <f t="shared" si="54"/>
        <v>569.43521648422018</v>
      </c>
      <c r="R97" s="59">
        <f t="shared" si="55"/>
        <v>862.76854981755355</v>
      </c>
      <c r="S97" s="59">
        <f ca="1">AVERAGE(OFFSET($R$3,0,0,'Données projet'!$E$9+1,1))-AVERAGE(OFFSET($H$3,0,0,'Données projet'!$E$9+1,1))</f>
        <v>196.72624686715807</v>
      </c>
      <c r="T97" s="59">
        <f t="shared" si="88"/>
        <v>37.315661698104691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54.698702365825071</v>
      </c>
      <c r="AA97" s="21">
        <f>EXP(-LN(2)/25)*AA96+(1-EXP(-LN(2)/25))/(LN(2)/25)*Calculateur!V97*Calculateur!X97*VLOOKUP('Données projet'!$B$9,Paramètres!$A$1:$I$89,3,0)*0.475*44/12</f>
        <v>26.898240918804866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81.59694328462993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-1.0000000000001137</v>
      </c>
      <c r="AJ97" s="13">
        <f>AI97*VLOOKUP('Données projet'!$B$10,Paramètres!$A$1:$I$89,3,0)*VLOOKUP('Données projet'!$B$10,Paramètres!$A$1:$I$89,5,0)</f>
        <v>-0.55900000000006356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325.42940802362739</v>
      </c>
      <c r="AO97" s="59">
        <f t="shared" si="90"/>
        <v>388.87198417542277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119.51073521761718</v>
      </c>
      <c r="AV97" s="21">
        <f>EXP(-LN(2)/25)*AV96+(1-EXP(-LN(2)/25))/(LN(2)/25)*Calculateur!AQ97*Calculateur!AS97*VLOOKUP('Données projet'!$B$10,Paramètres!$A$1:$I$89,3,0)*0.475*44/12</f>
        <v>35.257347767729698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154.76808298534689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</v>
      </c>
      <c r="BE97" s="13">
        <f>BD97*VLOOKUP('Données projet'!$B$11,Paramètres!$A$1:$I$89,3,0)*VLOOKUP('Données projet'!$B$11,Paramètres!$A$1:$I$89,5,0)</f>
        <v>-0.624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162.87524915738271</v>
      </c>
      <c r="BJ97" s="59">
        <f t="shared" si="92"/>
        <v>249.37880137966658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76.247579984257214</v>
      </c>
      <c r="BQ97" s="21">
        <f>EXP(-LN(2)/25)*BQ96+(1-EXP(-LN(2)/25))/(LN(2)/25)*Calculateur!BL97*Calculateur!BN97*VLOOKUP('Données projet'!$B$11,Paramètres!$A$1:$I$89,3,0)*0.475*44/12</f>
        <v>24.857511138976275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101.10509112323349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-1.4210854715202004E-13</v>
      </c>
      <c r="BZ97" s="13">
        <f>BY97*VLOOKUP('Données projet'!$B$12,Paramètres!$A$1:$I$89,3,0)*VLOOKUP('Données projet'!$B$12,Paramètres!$A$1:$I$89,5,0)</f>
        <v>-9.3109520094003535E-14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119.88584888779422</v>
      </c>
      <c r="CE97" s="59">
        <f t="shared" si="94"/>
        <v>162.97244314258774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25.588972823533659</v>
      </c>
      <c r="CL97" s="21">
        <f>EXP(-LN(2)/25)*CL96+(1-EXP(-LN(2)/25))/(LN(2)/25)*Calculateur!CG97*Calculateur!CI97*VLOOKUP('Données projet'!$B$12,Paramètres!$A$1:$I$89,3,0)*0.475*44/12</f>
        <v>9.5952749989404236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35.184247822474084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4</v>
      </c>
      <c r="CT97" s="12">
        <f>IF('Données projet'!$A$140&gt;35,CT96+CS97-DB96,IF(A97&lt;'Données projet'!$A$140,$CQ$205^A97,IF(A97='Données projet'!$A$140,'Données projet'!$B$140,CT96+CS97-DB96)))</f>
        <v>240</v>
      </c>
      <c r="CU97" s="17">
        <f>CT97*VLOOKUP('Données projet'!$B$13,Paramètres!$A$1:$I$89,3,0)*VLOOKUP('Données projet'!$B$13,Paramètres!$A$1:$I$89,5,0)</f>
        <v>243.36</v>
      </c>
      <c r="CV97" s="13">
        <f t="shared" si="95"/>
        <v>59.161864860837127</v>
      </c>
      <c r="CW97" s="20">
        <f t="shared" si="67"/>
        <v>526.89224796595806</v>
      </c>
      <c r="CX97" s="59">
        <f t="shared" si="68"/>
        <v>820.22558129929143</v>
      </c>
      <c r="CY97" s="59">
        <f ca="1">AVERAGE(OFFSET($CX$3,0,0,'Données projet'!$E$13+1,1))-AVERAGE(OFFSET($H$3,0,0,'Données projet'!$E$13+1,1))</f>
        <v>261.75887764015459</v>
      </c>
      <c r="CZ97" s="59">
        <f t="shared" si="96"/>
        <v>209.74127356028544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20.916997330543747</v>
      </c>
      <c r="DG97" s="21">
        <f>EXP(-LN(2)/25)*DG96+(1-EXP(-LN(2)/25))/(LN(2)/25)*Calculateur!DB97*Calculateur!DD97*VLOOKUP('Données projet'!$B$13,Paramètres!$A$1:$I$89,3,0)*0.475*44/12</f>
        <v>17.13116079387445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38.048158124418194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-2.2737367544323206E-13</v>
      </c>
      <c r="DP97" s="17">
        <f>DO97*VLOOKUP('Données projet'!$B$14,Paramètres!$A$1:$I$89,3,0)*VLOOKUP('Données projet'!$B$14,Paramètres!$A$1:$I$89,5,0)</f>
        <v>-1.8089849618263545E-13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215.37468832969444</v>
      </c>
      <c r="DU97" s="59">
        <f t="shared" si="98"/>
        <v>208.60212063136419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82.904191439699346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82.904191439699346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-2.2737367544323206E-13</v>
      </c>
      <c r="EK97" s="17">
        <f>EJ97*VLOOKUP('Données projet'!$B$15,Paramètres!$A$1:$I$89,3,0)*VLOOKUP('Données projet'!$B$15,Paramètres!$A$1:$I$89,5,0)</f>
        <v>-1.8089849618263545E-13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215.37468832969444</v>
      </c>
      <c r="EP97" s="59">
        <f t="shared" si="100"/>
        <v>208.60212063136419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82.904191439699346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82.904191439699346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-2.2737367544323206E-13</v>
      </c>
      <c r="FF97" s="17">
        <f>FE97*VLOOKUP('Données projet'!$B$16,Paramètres!$A$1:$I$89,3,0)*VLOOKUP('Données projet'!$B$16,Paramètres!$A$1:$I$89,5,0)</f>
        <v>-1.8444552551954985E-13</v>
      </c>
      <c r="FG97" s="13" t="e">
        <f t="shared" si="101"/>
        <v>#NUM!</v>
      </c>
      <c r="FH97" s="20" t="e">
        <f t="shared" si="76"/>
        <v>#NUM!</v>
      </c>
      <c r="FI97" s="59" t="e">
        <f t="shared" si="77"/>
        <v>#NUM!</v>
      </c>
      <c r="FJ97" s="59">
        <f ca="1">AVERAGE(OFFSET($FI$3,0,0,'Données projet'!$E$16+1,1))-AVERAGE(OFFSET($H$3,0,0,'Données projet'!$E$16+1,1))</f>
        <v>220.90439367987847</v>
      </c>
      <c r="FK97" s="59">
        <f t="shared" si="102"/>
        <v>213.66046131354858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84.52976382086996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84.52976382086996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1">
        <f t="shared" si="86"/>
        <v>21.417762186678065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67">
        <f t="shared" si="56"/>
        <v>464.8557358084642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576</v>
      </c>
      <c r="L98" s="12">
        <f>VLOOKUP(A98,'Données projet'!$A$35:$I$55,9,0)</f>
        <v>13</v>
      </c>
      <c r="M98" s="12">
        <f t="array" ref="M98">INDEX(L:L,MIN(IF(ISNUMBER(L98:L294),ROW(L98:L294),"")))</f>
        <v>13</v>
      </c>
      <c r="N98" s="13">
        <f>IF('Données projet'!$A$36&gt;35,N97+M98-V97,IF(A98&lt;'Données projet'!$A$36,$K$205^A98,IF(A98='Données projet'!$A$36,'Données projet'!$B$36,N97+M98-V97)))</f>
        <v>576.00000000000034</v>
      </c>
      <c r="O98" s="13">
        <f>N98*VLOOKUP('Données projet'!$B$9,Paramètres!$A$1:$I$89,3,0)*VLOOKUP('Données projet'!$B$9,Paramètres!$A$1:$I$89,5,0)</f>
        <v>269.56800000000015</v>
      </c>
      <c r="P98" s="13">
        <f t="shared" si="87"/>
        <v>64.757579442439919</v>
      </c>
      <c r="Q98" s="20">
        <f t="shared" si="54"/>
        <v>582.28371752891633</v>
      </c>
      <c r="R98" s="59">
        <f t="shared" si="55"/>
        <v>875.6170508622497</v>
      </c>
      <c r="S98" s="59">
        <f ca="1">AVERAGE(OFFSET($R$3,0,0,'Données projet'!$E$9+1,1))-AVERAGE(OFFSET($H$3,0,0,'Données projet'!$E$9+1,1))</f>
        <v>196.72624686715807</v>
      </c>
      <c r="T98" s="59">
        <f t="shared" si="88"/>
        <v>37.315661698104691</v>
      </c>
      <c r="U98" s="15">
        <f>IF(ISNA(VLOOKUP(A98,'Données projet'!$A$35:$I$55,3,0)),0,VLOOKUP(A98,'Données projet'!$A$35:$I$55,3,0))</f>
        <v>6</v>
      </c>
      <c r="V98" s="15">
        <f>IF(ISNA(VLOOKUP(A98,'Données projet'!$A$35:$I$55,4,0)),0,VLOOKUP(A98,'Données projet'!$A$35:$I$55,4,0))</f>
        <v>103</v>
      </c>
      <c r="W98" s="16">
        <f>IF(ISNA(VLOOKUP(A98,'Données projet'!$A$35:$I$55,5,0)),0%,VLOOKUP(A98,'Données projet'!$A$35:$I$55,5,0)*VLOOKUP('Données projet'!$B$9,Paramètres!$A$1:$I$89,7,0))</f>
        <v>0.33</v>
      </c>
      <c r="X98" s="16">
        <f>IF(ISNA(VLOOKUP(A98,'Données projet'!$A$35:$I$55,6,0)),0%,VLOOKUP(A98,'Données projet'!$A$35:$I$55,6,0)*VLOOKUP('Données projet'!$B$9,Paramètres!$A$1:$I$89,7,0))</f>
        <v>0.13750000000000001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74.72817946864788</v>
      </c>
      <c r="AA98" s="21">
        <f>EXP(-LN(2)/25)*AA97+(1-EXP(-LN(2)/25))/(LN(2)/25)*Calculateur!V98*Calculateur!X98*VLOOKUP('Données projet'!$B$9,Paramètres!$A$1:$I$89,3,0)*0.475*44/12</f>
        <v>34.920623082603932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109.6488025512518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-1.0000000000001137</v>
      </c>
      <c r="AJ98" s="13">
        <f>AI98*VLOOKUP('Données projet'!$B$10,Paramètres!$A$1:$I$89,3,0)*VLOOKUP('Données projet'!$B$10,Paramètres!$A$1:$I$89,5,0)</f>
        <v>-0.55900000000006356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325.42940802362739</v>
      </c>
      <c r="AO98" s="59">
        <f t="shared" si="90"/>
        <v>388.87198417542277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117.16720259435047</v>
      </c>
      <c r="AV98" s="21">
        <f>EXP(-LN(2)/25)*AV97+(1-EXP(-LN(2)/25))/(LN(2)/25)*Calculateur!AQ98*Calculateur!AS98*VLOOKUP('Données projet'!$B$10,Paramètres!$A$1:$I$89,3,0)*0.475*44/12</f>
        <v>34.293233738917792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151.46043633326826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</v>
      </c>
      <c r="BE98" s="13">
        <f>BD98*VLOOKUP('Données projet'!$B$11,Paramètres!$A$1:$I$89,3,0)*VLOOKUP('Données projet'!$B$11,Paramètres!$A$1:$I$89,5,0)</f>
        <v>-0.624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162.87524915738271</v>
      </c>
      <c r="BJ98" s="59">
        <f t="shared" si="92"/>
        <v>249.37880137966658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74.752411447197588</v>
      </c>
      <c r="BQ98" s="21">
        <f>EXP(-LN(2)/25)*BQ97+(1-EXP(-LN(2)/25))/(LN(2)/25)*Calculateur!BL98*Calculateur!BN98*VLOOKUP('Données projet'!$B$11,Paramètres!$A$1:$I$89,3,0)*0.475*44/12</f>
        <v>24.177781189681269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98.930192636878857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-1.4210854715202004E-13</v>
      </c>
      <c r="BZ98" s="13">
        <f>BY98*VLOOKUP('Données projet'!$B$12,Paramètres!$A$1:$I$89,3,0)*VLOOKUP('Données projet'!$B$12,Paramètres!$A$1:$I$89,5,0)</f>
        <v>-9.3109520094003535E-14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119.88584888779422</v>
      </c>
      <c r="CE98" s="59">
        <f t="shared" si="94"/>
        <v>162.97244314258774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25.087188674196451</v>
      </c>
      <c r="CL98" s="21">
        <f>EXP(-LN(2)/25)*CL97+(1-EXP(-LN(2)/25))/(LN(2)/25)*Calculateur!CG98*Calculateur!CI98*VLOOKUP('Données projet'!$B$12,Paramètres!$A$1:$I$89,3,0)*0.475*44/12</f>
        <v>9.3328916995008164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34.420080373697267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244</v>
      </c>
      <c r="CR98" s="12">
        <f>VLOOKUP(A98,'Données projet'!$A$139:$I$159,9,0)</f>
        <v>4</v>
      </c>
      <c r="CS98" s="12">
        <f t="array" ref="CS98">INDEX(CR:CR,MIN(IF(ISNUMBER(CR98:CR294),ROW(CR98:CR294),"")))</f>
        <v>4</v>
      </c>
      <c r="CT98" s="12">
        <f>IF('Données projet'!$A$140&gt;35,CT97+CS98-DB97,IF(A98&lt;'Données projet'!$A$140,$CQ$205^A98,IF(A98='Données projet'!$A$140,'Données projet'!$B$140,CT97+CS98-DB97)))</f>
        <v>244</v>
      </c>
      <c r="CU98" s="17">
        <f>CT98*VLOOKUP('Données projet'!$B$13,Paramètres!$A$1:$I$89,3,0)*VLOOKUP('Données projet'!$B$13,Paramètres!$A$1:$I$89,5,0)</f>
        <v>247.416</v>
      </c>
      <c r="CV98" s="13">
        <f t="shared" si="95"/>
        <v>60.032282000540192</v>
      </c>
      <c r="CW98" s="20">
        <f t="shared" si="67"/>
        <v>535.47242448427414</v>
      </c>
      <c r="CX98" s="59">
        <f t="shared" si="68"/>
        <v>828.8057578176074</v>
      </c>
      <c r="CY98" s="59">
        <f ca="1">AVERAGE(OFFSET($CX$3,0,0,'Données projet'!$E$13+1,1))-AVERAGE(OFFSET($H$3,0,0,'Données projet'!$E$13+1,1))</f>
        <v>261.75887764015459</v>
      </c>
      <c r="CZ98" s="59">
        <f t="shared" si="96"/>
        <v>209.74127356028544</v>
      </c>
      <c r="DA98" s="15">
        <f>IF(ISNA(VLOOKUP(A98,'Données projet'!$A$139:$I$159,3,0)),0,VLOOKUP(A98,'Données projet'!$A$139:$I$159,3,0))</f>
        <v>7</v>
      </c>
      <c r="DB98" s="15">
        <f>IF(ISNA(VLOOKUP(A98,'Données projet'!$A$139:$I$159,4,0)),0,VLOOKUP(A98,'Données projet'!$A$139:$I$159,4,0))</f>
        <v>50</v>
      </c>
      <c r="DC98" s="16">
        <f>IF(ISNA(VLOOKUP(A98,'Données projet'!$A$139:$I$159,5,0)),0%,VLOOKUP(A98,'Données projet'!$A$139:$I$159,5,0)*VLOOKUP('Données projet'!$B$13,Paramètres!$A$1:$I$89,7,0))</f>
        <v>0.25800000000000001</v>
      </c>
      <c r="DD98" s="16">
        <f>IF(ISNA(VLOOKUP(A98,'Données projet'!$A$139:$I$159,6,0)),0%,VLOOKUP(A98,'Données projet'!$A$139:$I$159,6,0)*VLOOKUP('Données projet'!$B$13,Paramètres!$A$1:$I$89,7,0))</f>
        <v>6.4500000000000002E-2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34.96704361751911</v>
      </c>
      <c r="DG98" s="21">
        <f>EXP(-LN(2)/25)*DG97+(1-EXP(-LN(2)/25))/(LN(2)/25)*Calculateur!DB98*Calculateur!DD98*VLOOKUP('Données projet'!$B$13,Paramètres!$A$1:$I$89,3,0)*0.475*44/12</f>
        <v>20.263528417816556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55.230572035335669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-2.2737367544323206E-13</v>
      </c>
      <c r="DP98" s="17">
        <f>DO98*VLOOKUP('Données projet'!$B$14,Paramètres!$A$1:$I$89,3,0)*VLOOKUP('Données projet'!$B$14,Paramètres!$A$1:$I$89,5,0)</f>
        <v>-1.8089849618263545E-13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215.37468832969444</v>
      </c>
      <c r="DU98" s="59">
        <f t="shared" si="98"/>
        <v>208.60212063136419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81.278490812130585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81.278490812130585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-2.2737367544323206E-13</v>
      </c>
      <c r="EK98" s="17">
        <f>EJ98*VLOOKUP('Données projet'!$B$15,Paramètres!$A$1:$I$89,3,0)*VLOOKUP('Données projet'!$B$15,Paramètres!$A$1:$I$89,5,0)</f>
        <v>-1.8089849618263545E-13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215.37468832969444</v>
      </c>
      <c r="EP98" s="59">
        <f t="shared" si="100"/>
        <v>208.60212063136419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81.278490812130585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81.278490812130585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-2.2737367544323206E-13</v>
      </c>
      <c r="FF98" s="17">
        <f>FE98*VLOOKUP('Données projet'!$B$16,Paramètres!$A$1:$I$89,3,0)*VLOOKUP('Données projet'!$B$16,Paramètres!$A$1:$I$89,5,0)</f>
        <v>-1.8444552551954985E-13</v>
      </c>
      <c r="FG98" s="13" t="e">
        <f t="shared" si="101"/>
        <v>#NUM!</v>
      </c>
      <c r="FH98" s="20" t="e">
        <f t="shared" si="76"/>
        <v>#NUM!</v>
      </c>
      <c r="FI98" s="59" t="e">
        <f t="shared" si="77"/>
        <v>#NUM!</v>
      </c>
      <c r="FJ98" s="59">
        <f ca="1">AVERAGE(OFFSET($FI$3,0,0,'Données projet'!$E$16+1,1))-AVERAGE(OFFSET($H$3,0,0,'Données projet'!$E$16+1,1))</f>
        <v>220.90439367987847</v>
      </c>
      <c r="FK98" s="59">
        <f t="shared" si="102"/>
        <v>213.66046131354858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82.872186710407689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82.872186710407689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1">
        <f t="shared" si="86"/>
        <v>21.616848354491538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67">
        <f t="shared" si="56"/>
        <v>466.61531755073935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11.2</v>
      </c>
      <c r="N99" s="13">
        <f>IF('Données projet'!$A$36&gt;35,N98+M99-V98,IF(A99&lt;'Données projet'!$A$36,$K$205^A99,IF(A99='Données projet'!$A$36,'Données projet'!$B$36,N98+M99-V98)))</f>
        <v>484.20000000000039</v>
      </c>
      <c r="O99" s="13">
        <f>N99*VLOOKUP('Données projet'!$B$9,Paramètres!$A$1:$I$89,3,0)*VLOOKUP('Données projet'!$B$9,Paramètres!$A$1:$I$89,5,0)</f>
        <v>226.60560000000018</v>
      </c>
      <c r="P99" s="13">
        <f t="shared" si="87"/>
        <v>55.548098989444973</v>
      </c>
      <c r="Q99" s="20">
        <f t="shared" ref="Q99:Q130" si="107">(O99+P99)*0.475*44/12</f>
        <v>491.41769240661694</v>
      </c>
      <c r="R99" s="59">
        <f t="shared" si="55"/>
        <v>784.75102573995025</v>
      </c>
      <c r="S99" s="59">
        <f ca="1">AVERAGE(OFFSET($R$3,0,0,'Données projet'!$E$9+1,1))-AVERAGE(OFFSET($H$3,0,0,'Données projet'!$E$9+1,1))</f>
        <v>196.72624686715807</v>
      </c>
      <c r="T99" s="59">
        <f t="shared" si="88"/>
        <v>37.315661698104691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73.262805448956556</v>
      </c>
      <c r="AA99" s="21">
        <f>EXP(-LN(2)/25)*AA98+(1-EXP(-LN(2)/25))/(LN(2)/25)*Calculateur!V99*Calculateur!X99*VLOOKUP('Données projet'!$B$9,Paramètres!$A$1:$I$89,3,0)*0.475*44/12</f>
        <v>33.965716808014371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107.22852225697093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-1.0000000000001137</v>
      </c>
      <c r="AJ99" s="13">
        <f>AI99*VLOOKUP('Données projet'!$B$10,Paramètres!$A$1:$I$89,3,0)*VLOOKUP('Données projet'!$B$10,Paramètres!$A$1:$I$89,5,0)</f>
        <v>-0.55900000000006356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325.42940802362739</v>
      </c>
      <c r="AO99" s="59">
        <f t="shared" si="90"/>
        <v>388.87198417542277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114.86962521641226</v>
      </c>
      <c r="AV99" s="21">
        <f>EXP(-LN(2)/25)*AV98+(1-EXP(-LN(2)/25))/(LN(2)/25)*Calculateur!AQ99*Calculateur!AS99*VLOOKUP('Données projet'!$B$10,Paramètres!$A$1:$I$89,3,0)*0.475*44/12</f>
        <v>33.355483458924297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148.22510867533657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</v>
      </c>
      <c r="BE99" s="13">
        <f>BD99*VLOOKUP('Données projet'!$B$11,Paramètres!$A$1:$I$89,3,0)*VLOOKUP('Données projet'!$B$11,Paramètres!$A$1:$I$89,5,0)</f>
        <v>-0.624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162.87524915738271</v>
      </c>
      <c r="BJ99" s="59">
        <f t="shared" si="92"/>
        <v>249.37880137966658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73.286562253186943</v>
      </c>
      <c r="BQ99" s="21">
        <f>EXP(-LN(2)/25)*BQ98+(1-EXP(-LN(2)/25))/(LN(2)/25)*Calculateur!BL99*Calculateur!BN99*VLOOKUP('Données projet'!$B$11,Paramètres!$A$1:$I$89,3,0)*0.475*44/12</f>
        <v>23.516638491595181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96.803200744782117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-1.4210854715202004E-13</v>
      </c>
      <c r="BZ99" s="13">
        <f>BY99*VLOOKUP('Données projet'!$B$12,Paramètres!$A$1:$I$89,3,0)*VLOOKUP('Données projet'!$B$12,Paramètres!$A$1:$I$89,5,0)</f>
        <v>-9.3109520094003535E-14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119.88584888779422</v>
      </c>
      <c r="CE99" s="59">
        <f t="shared" si="94"/>
        <v>162.97244314258774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24.595244205969635</v>
      </c>
      <c r="CL99" s="21">
        <f>EXP(-LN(2)/25)*CL98+(1-EXP(-LN(2)/25))/(LN(2)/25)*Calculateur!CG99*Calculateur!CI99*VLOOKUP('Données projet'!$B$12,Paramètres!$A$1:$I$89,3,0)*0.475*44/12</f>
        <v>9.0776832851825233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33.672927491152159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4</v>
      </c>
      <c r="CT99" s="12">
        <f>IF('Données projet'!$A$140&gt;35,CT98+CS99-DB98,IF(A99&lt;'Données projet'!$A$140,$CQ$205^A99,IF(A99='Données projet'!$A$140,'Données projet'!$B$140,CT98+CS99-DB98)))</f>
        <v>198</v>
      </c>
      <c r="CU99" s="17">
        <f>CT99*VLOOKUP('Données projet'!$B$13,Paramètres!$A$1:$I$89,3,0)*VLOOKUP('Données projet'!$B$13,Paramètres!$A$1:$I$89,5,0)</f>
        <v>200.77200000000002</v>
      </c>
      <c r="CV99" s="13">
        <f t="shared" si="95"/>
        <v>49.913791898945412</v>
      </c>
      <c r="CW99" s="20">
        <f t="shared" si="67"/>
        <v>436.61108755732994</v>
      </c>
      <c r="CX99" s="59">
        <f t="shared" si="68"/>
        <v>729.9444208906632</v>
      </c>
      <c r="CY99" s="59">
        <f ca="1">AVERAGE(OFFSET($CX$3,0,0,'Données projet'!$E$13+1,1))-AVERAGE(OFFSET($H$3,0,0,'Données projet'!$E$13+1,1))</f>
        <v>261.75887764015459</v>
      </c>
      <c r="CZ99" s="59">
        <f t="shared" si="96"/>
        <v>209.74127356028544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34.281361219970222</v>
      </c>
      <c r="DG99" s="21">
        <f>EXP(-LN(2)/25)*DG98+(1-EXP(-LN(2)/25))/(LN(2)/25)*Calculateur!DB99*Calculateur!DD99*VLOOKUP('Données projet'!$B$13,Paramètres!$A$1:$I$89,3,0)*0.475*44/12</f>
        <v>19.709421167618714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53.990782387588936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-2.2737367544323206E-13</v>
      </c>
      <c r="DP99" s="17">
        <f>DO99*VLOOKUP('Données projet'!$B$14,Paramètres!$A$1:$I$89,3,0)*VLOOKUP('Données projet'!$B$14,Paramètres!$A$1:$I$89,5,0)</f>
        <v>-1.8089849618263545E-13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215.37468832969444</v>
      </c>
      <c r="DU99" s="59">
        <f t="shared" si="98"/>
        <v>208.60212063136419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79.684669182288971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79.684669182288971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-2.2737367544323206E-13</v>
      </c>
      <c r="EK99" s="17">
        <f>EJ99*VLOOKUP('Données projet'!$B$15,Paramètres!$A$1:$I$89,3,0)*VLOOKUP('Données projet'!$B$15,Paramètres!$A$1:$I$89,5,0)</f>
        <v>-1.8089849618263545E-13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215.37468832969444</v>
      </c>
      <c r="EP99" s="59">
        <f t="shared" si="100"/>
        <v>208.60212063136419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79.684669182288971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79.684669182288971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-2.2737367544323206E-13</v>
      </c>
      <c r="FF99" s="17">
        <f>FE99*VLOOKUP('Données projet'!$B$16,Paramètres!$A$1:$I$89,3,0)*VLOOKUP('Données projet'!$B$16,Paramètres!$A$1:$I$89,5,0)</f>
        <v>-1.8444552551954985E-13</v>
      </c>
      <c r="FG99" s="13" t="e">
        <f t="shared" si="101"/>
        <v>#NUM!</v>
      </c>
      <c r="FH99" s="20" t="e">
        <f t="shared" si="76"/>
        <v>#NUM!</v>
      </c>
      <c r="FI99" s="59" t="e">
        <f t="shared" si="77"/>
        <v>#NUM!</v>
      </c>
      <c r="FJ99" s="59">
        <f ca="1">AVERAGE(OFFSET($FI$3,0,0,'Données projet'!$E$16+1,1))-AVERAGE(OFFSET($H$3,0,0,'Données projet'!$E$16+1,1))</f>
        <v>220.90439367987847</v>
      </c>
      <c r="FK99" s="59">
        <f t="shared" si="102"/>
        <v>213.66046131354858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81.247113676059385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81.247113676059385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1">
        <f t="shared" si="86"/>
        <v>21.815693271997169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67">
        <f t="shared" si="56"/>
        <v>468.37447911539493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11.2</v>
      </c>
      <c r="N100" s="13">
        <f>IF('Données projet'!$A$36&gt;35,N99+M100-V99,IF(A100&lt;'Données projet'!$A$36,$K$205^A100,IF(A100='Données projet'!$A$36,'Données projet'!$B$36,N99+M100-V99)))</f>
        <v>495.40000000000038</v>
      </c>
      <c r="O100" s="13">
        <f>N100*VLOOKUP('Données projet'!$B$9,Paramètres!$A$1:$I$89,3,0)*VLOOKUP('Données projet'!$B$9,Paramètres!$A$1:$I$89,5,0)</f>
        <v>231.84720000000019</v>
      </c>
      <c r="P100" s="13">
        <f t="shared" si="87"/>
        <v>56.681903222323669</v>
      </c>
      <c r="Q100" s="20">
        <f t="shared" si="107"/>
        <v>502.52152144554731</v>
      </c>
      <c r="R100" s="59">
        <f t="shared" si="55"/>
        <v>795.85485477888062</v>
      </c>
      <c r="S100" s="59">
        <f ca="1">AVERAGE(OFFSET($R$3,0,0,'Données projet'!$E$9+1,1))-AVERAGE(OFFSET($H$3,0,0,'Données projet'!$E$9+1,1))</f>
        <v>196.72624686715807</v>
      </c>
      <c r="T100" s="59">
        <f t="shared" si="88"/>
        <v>37.315661698104691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71.826166520001479</v>
      </c>
      <c r="AA100" s="21">
        <f>EXP(-LN(2)/25)*AA99+(1-EXP(-LN(2)/25))/(LN(2)/25)*Calculateur!V100*Calculateur!X100*VLOOKUP('Données projet'!$B$9,Paramètres!$A$1:$I$89,3,0)*0.475*44/12</f>
        <v>33.0369224957198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104.86308901572127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-1.0000000000001137</v>
      </c>
      <c r="AJ100" s="13">
        <f>AI100*VLOOKUP('Données projet'!$B$10,Paramètres!$A$1:$I$89,3,0)*VLOOKUP('Données projet'!$B$10,Paramètres!$A$1:$I$89,5,0)</f>
        <v>-0.55900000000006356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325.42940802362739</v>
      </c>
      <c r="AO100" s="59">
        <f t="shared" si="90"/>
        <v>388.87198417542277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112.6171019294716</v>
      </c>
      <c r="AV100" s="21">
        <f>EXP(-LN(2)/25)*AV99+(1-EXP(-LN(2)/25))/(LN(2)/25)*Calculateur!AQ100*Calculateur!AS100*VLOOKUP('Données projet'!$B$10,Paramètres!$A$1:$I$89,3,0)*0.475*44/12</f>
        <v>32.443376009651374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145.06047793912296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</v>
      </c>
      <c r="BE100" s="13">
        <f>BD100*VLOOKUP('Données projet'!$B$11,Paramètres!$A$1:$I$89,3,0)*VLOOKUP('Données projet'!$B$11,Paramètres!$A$1:$I$89,5,0)</f>
        <v>-0.624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162.87524915738271</v>
      </c>
      <c r="BJ100" s="59">
        <f t="shared" si="92"/>
        <v>249.37880137966658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71.849457467791126</v>
      </c>
      <c r="BQ100" s="21">
        <f>EXP(-LN(2)/25)*BQ99+(1-EXP(-LN(2)/25))/(LN(2)/25)*Calculateur!BL100*Calculateur!BN100*VLOOKUP('Données projet'!$B$11,Paramètres!$A$1:$I$89,3,0)*0.475*44/12</f>
        <v>22.873574775356239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94.723032243147372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-1.4210854715202004E-13</v>
      </c>
      <c r="BZ100" s="13">
        <f>BY100*VLOOKUP('Données projet'!$B$12,Paramètres!$A$1:$I$89,3,0)*VLOOKUP('Données projet'!$B$12,Paramètres!$A$1:$I$89,5,0)</f>
        <v>-9.3109520094003535E-14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119.88584888779422</v>
      </c>
      <c r="CE100" s="59">
        <f t="shared" si="94"/>
        <v>162.97244314258774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24.112946468708248</v>
      </c>
      <c r="CL100" s="21">
        <f>EXP(-LN(2)/25)*CL99+(1-EXP(-LN(2)/25))/(LN(2)/25)*Calculateur!CG100*Calculateur!CI100*VLOOKUP('Données projet'!$B$12,Paramètres!$A$1:$I$89,3,0)*0.475*44/12</f>
        <v>8.8294535583745901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32.94240002708284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4</v>
      </c>
      <c r="CT100" s="12">
        <f>IF('Données projet'!$A$140&gt;35,CT99+CS100-DB99,IF(A100&lt;'Données projet'!$A$140,$CQ$205^A100,IF(A100='Données projet'!$A$140,'Données projet'!$B$140,CT99+CS100-DB99)))</f>
        <v>202</v>
      </c>
      <c r="CU100" s="17">
        <f>CT100*VLOOKUP('Données projet'!$B$13,Paramètres!$A$1:$I$89,3,0)*VLOOKUP('Données projet'!$B$13,Paramètres!$A$1:$I$89,5,0)</f>
        <v>204.82800000000003</v>
      </c>
      <c r="CV100" s="13">
        <f t="shared" si="95"/>
        <v>50.80373850176295</v>
      </c>
      <c r="CW100" s="20">
        <f t="shared" si="67"/>
        <v>445.22527789057045</v>
      </c>
      <c r="CX100" s="59">
        <f t="shared" si="68"/>
        <v>738.55861122390377</v>
      </c>
      <c r="CY100" s="59">
        <f ca="1">AVERAGE(OFFSET($CX$3,0,0,'Données projet'!$E$13+1,1))-AVERAGE(OFFSET($H$3,0,0,'Données projet'!$E$13+1,1))</f>
        <v>261.75887764015459</v>
      </c>
      <c r="CZ100" s="59">
        <f t="shared" si="96"/>
        <v>209.74127356028544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33.609124636012304</v>
      </c>
      <c r="DG100" s="21">
        <f>EXP(-LN(2)/25)*DG99+(1-EXP(-LN(2)/25))/(LN(2)/25)*Calculateur!DB100*Calculateur!DD100*VLOOKUP('Données projet'!$B$13,Paramètres!$A$1:$I$89,3,0)*0.475*44/12</f>
        <v>19.170466009316769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52.779590645329073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-2.2737367544323206E-13</v>
      </c>
      <c r="DP100" s="17">
        <f>DO100*VLOOKUP('Données projet'!$B$14,Paramètres!$A$1:$I$89,3,0)*VLOOKUP('Données projet'!$B$14,Paramètres!$A$1:$I$89,5,0)</f>
        <v>-1.8089849618263545E-13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215.37468832969444</v>
      </c>
      <c r="DU100" s="59">
        <f t="shared" si="98"/>
        <v>208.60212063136419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78.122101422473349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78.122101422473349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-2.2737367544323206E-13</v>
      </c>
      <c r="EK100" s="17">
        <f>EJ100*VLOOKUP('Données projet'!$B$15,Paramètres!$A$1:$I$89,3,0)*VLOOKUP('Données projet'!$B$15,Paramètres!$A$1:$I$89,5,0)</f>
        <v>-1.8089849618263545E-13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215.37468832969444</v>
      </c>
      <c r="EP100" s="59">
        <f t="shared" si="100"/>
        <v>208.60212063136419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78.122101422473349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78.122101422473349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-2.2737367544323206E-13</v>
      </c>
      <c r="FF100" s="17">
        <f>FE100*VLOOKUP('Données projet'!$B$16,Paramètres!$A$1:$I$89,3,0)*VLOOKUP('Données projet'!$B$16,Paramètres!$A$1:$I$89,5,0)</f>
        <v>-1.8444552551954985E-13</v>
      </c>
      <c r="FG100" s="13" t="e">
        <f t="shared" si="101"/>
        <v>#NUM!</v>
      </c>
      <c r="FH100" s="20" t="e">
        <f t="shared" si="76"/>
        <v>#NUM!</v>
      </c>
      <c r="FI100" s="59" t="e">
        <f t="shared" si="77"/>
        <v>#NUM!</v>
      </c>
      <c r="FJ100" s="59">
        <f ca="1">AVERAGE(OFFSET($FI$3,0,0,'Données projet'!$E$16+1,1))-AVERAGE(OFFSET($H$3,0,0,'Données projet'!$E$16+1,1))</f>
        <v>220.90439367987847</v>
      </c>
      <c r="FK100" s="59">
        <f t="shared" si="102"/>
        <v>213.66046131354858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79.653907332717964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79.653907332717964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1">
        <f t="shared" si="86"/>
        <v>22.014299714245336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67">
        <f t="shared" si="56"/>
        <v>470.13322533564389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11.2</v>
      </c>
      <c r="N101" s="13">
        <f>IF('Données projet'!$A$36&gt;35,N100+M101-V100,IF(A101&lt;'Données projet'!$A$36,$K$205^A101,IF(A101='Données projet'!$A$36,'Données projet'!$B$36,N100+M101-V100)))</f>
        <v>506.60000000000036</v>
      </c>
      <c r="O101" s="13">
        <f>N101*VLOOKUP('Données projet'!$B$9,Paramètres!$A$1:$I$89,3,0)*VLOOKUP('Données projet'!$B$9,Paramètres!$A$1:$I$89,5,0)</f>
        <v>237.08880000000016</v>
      </c>
      <c r="P101" s="13">
        <f t="shared" si="87"/>
        <v>57.812727423622988</v>
      </c>
      <c r="Q101" s="20">
        <f t="shared" si="107"/>
        <v>513.62016026281026</v>
      </c>
      <c r="R101" s="59">
        <f t="shared" si="55"/>
        <v>806.95349359614352</v>
      </c>
      <c r="S101" s="59">
        <f ca="1">AVERAGE(OFFSET($R$3,0,0,'Données projet'!$E$9+1,1))-AVERAGE(OFFSET($H$3,0,0,'Données projet'!$E$9+1,1))</f>
        <v>196.72624686715807</v>
      </c>
      <c r="T101" s="59">
        <f t="shared" si="88"/>
        <v>37.315661698104691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70.417699204179982</v>
      </c>
      <c r="AA101" s="21">
        <f>EXP(-LN(2)/25)*AA100+(1-EXP(-LN(2)/25))/(LN(2)/25)*Calculateur!V101*Calculateur!X101*VLOOKUP('Données projet'!$B$9,Paramètres!$A$1:$I$89,3,0)*0.475*44/12</f>
        <v>32.133526112738096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102.55122531691808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-1.0000000000001137</v>
      </c>
      <c r="AJ101" s="13">
        <f>AI101*VLOOKUP('Données projet'!$B$10,Paramètres!$A$1:$I$89,3,0)*VLOOKUP('Données projet'!$B$10,Paramètres!$A$1:$I$89,5,0)</f>
        <v>-0.55900000000006356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325.42940802362739</v>
      </c>
      <c r="AO101" s="59">
        <f t="shared" si="90"/>
        <v>388.87198417542277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110.4087492502843</v>
      </c>
      <c r="AV101" s="21">
        <f>EXP(-LN(2)/25)*AV100+(1-EXP(-LN(2)/25))/(LN(2)/25)*Calculateur!AQ101*Calculateur!AS101*VLOOKUP('Données projet'!$B$10,Paramètres!$A$1:$I$89,3,0)*0.475*44/12</f>
        <v>31.556210186544462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141.96495943682876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</v>
      </c>
      <c r="BE101" s="13">
        <f>BD101*VLOOKUP('Données projet'!$B$11,Paramètres!$A$1:$I$89,3,0)*VLOOKUP('Données projet'!$B$11,Paramètres!$A$1:$I$89,5,0)</f>
        <v>-0.624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162.87524915738271</v>
      </c>
      <c r="BJ101" s="59">
        <f t="shared" si="92"/>
        <v>249.37880137966658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70.440533430689555</v>
      </c>
      <c r="BQ101" s="21">
        <f>EXP(-LN(2)/25)*BQ100+(1-EXP(-LN(2)/25))/(LN(2)/25)*Calculateur!BL101*Calculateur!BN101*VLOOKUP('Données projet'!$B$11,Paramètres!$A$1:$I$89,3,0)*0.475*44/12</f>
        <v>22.248095670255104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92.688629100944667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-1.4210854715202004E-13</v>
      </c>
      <c r="BZ101" s="13">
        <f>BY101*VLOOKUP('Données projet'!$B$12,Paramètres!$A$1:$I$89,3,0)*VLOOKUP('Données projet'!$B$12,Paramètres!$A$1:$I$89,5,0)</f>
        <v>-9.3109520094003535E-14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119.88584888779422</v>
      </c>
      <c r="CE101" s="59">
        <f t="shared" si="94"/>
        <v>162.97244314258774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23.640106295901987</v>
      </c>
      <c r="CL101" s="21">
        <f>EXP(-LN(2)/25)*CL100+(1-EXP(-LN(2)/25))/(LN(2)/25)*Calculateur!CG101*Calculateur!CI101*VLOOKUP('Données projet'!$B$12,Paramètres!$A$1:$I$89,3,0)*0.475*44/12</f>
        <v>8.5880116865000549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32.22811798240204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4</v>
      </c>
      <c r="CT101" s="12">
        <f>IF('Données projet'!$A$140&gt;35,CT100+CS101-DB100,IF(A101&lt;'Données projet'!$A$140,$CQ$205^A101,IF(A101='Données projet'!$A$140,'Données projet'!$B$140,CT100+CS101-DB100)))</f>
        <v>206</v>
      </c>
      <c r="CU101" s="17">
        <f>CT101*VLOOKUP('Données projet'!$B$13,Paramètres!$A$1:$I$89,3,0)*VLOOKUP('Données projet'!$B$13,Paramètres!$A$1:$I$89,5,0)</f>
        <v>208.88400000000001</v>
      </c>
      <c r="CV101" s="13">
        <f t="shared" si="95"/>
        <v>51.691636042398741</v>
      </c>
      <c r="CW101" s="20">
        <f t="shared" si="67"/>
        <v>453.83589944051113</v>
      </c>
      <c r="CX101" s="59">
        <f t="shared" si="68"/>
        <v>747.16923277384444</v>
      </c>
      <c r="CY101" s="59">
        <f ca="1">AVERAGE(OFFSET($CX$3,0,0,'Données projet'!$E$13+1,1))-AVERAGE(OFFSET($H$3,0,0,'Données projet'!$E$13+1,1))</f>
        <v>261.75887764015459</v>
      </c>
      <c r="CZ101" s="59">
        <f t="shared" si="96"/>
        <v>209.74127356028544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32.950070201441967</v>
      </c>
      <c r="DG101" s="21">
        <f>EXP(-LN(2)/25)*DG100+(1-EXP(-LN(2)/25))/(LN(2)/25)*Calculateur!DB101*Calculateur!DD101*VLOOKUP('Données projet'!$B$13,Paramètres!$A$1:$I$89,3,0)*0.475*44/12</f>
        <v>18.646248608161009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51.596318809602977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-2.2737367544323206E-13</v>
      </c>
      <c r="DP101" s="17">
        <f>DO101*VLOOKUP('Données projet'!$B$14,Paramètres!$A$1:$I$89,3,0)*VLOOKUP('Données projet'!$B$14,Paramètres!$A$1:$I$89,5,0)</f>
        <v>-1.8089849618263545E-13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215.37468832969444</v>
      </c>
      <c r="DU101" s="59">
        <f t="shared" si="98"/>
        <v>208.60212063136419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76.590174663355484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76.590174663355484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-2.2737367544323206E-13</v>
      </c>
      <c r="EK101" s="17">
        <f>EJ101*VLOOKUP('Données projet'!$B$15,Paramètres!$A$1:$I$89,3,0)*VLOOKUP('Données projet'!$B$15,Paramètres!$A$1:$I$89,5,0)</f>
        <v>-1.8089849618263545E-13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215.37468832969444</v>
      </c>
      <c r="EP101" s="59">
        <f t="shared" si="100"/>
        <v>208.60212063136419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76.590174663355484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76.590174663355484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-2.2737367544323206E-13</v>
      </c>
      <c r="FF101" s="17">
        <f>FE101*VLOOKUP('Données projet'!$B$16,Paramètres!$A$1:$I$89,3,0)*VLOOKUP('Données projet'!$B$16,Paramètres!$A$1:$I$89,5,0)</f>
        <v>-1.8444552551954985E-13</v>
      </c>
      <c r="FG101" s="13" t="e">
        <f t="shared" si="101"/>
        <v>#NUM!</v>
      </c>
      <c r="FH101" s="20" t="e">
        <f t="shared" si="76"/>
        <v>#NUM!</v>
      </c>
      <c r="FI101" s="59" t="e">
        <f t="shared" si="77"/>
        <v>#NUM!</v>
      </c>
      <c r="FJ101" s="59">
        <f ca="1">AVERAGE(OFFSET($FI$3,0,0,'Données projet'!$E$16+1,1))-AVERAGE(OFFSET($H$3,0,0,'Données projet'!$E$16+1,1))</f>
        <v>220.90439367987847</v>
      </c>
      <c r="FK101" s="59">
        <f t="shared" si="102"/>
        <v>213.66046131354858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78.091942794009555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78.091942794009555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1">
        <f t="shared" si="86"/>
        <v>22.212670396389218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67">
        <f t="shared" si="56"/>
        <v>471.89156094037781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11.2</v>
      </c>
      <c r="N102" s="13">
        <f>IF('Données projet'!$A$36&gt;35,N101+M102-V101,IF(A102&lt;'Données projet'!$A$36,$K$205^A102,IF(A102='Données projet'!$A$36,'Données projet'!$B$36,N101+M102-V101)))</f>
        <v>517.80000000000041</v>
      </c>
      <c r="O102" s="13">
        <f>N102*VLOOKUP('Données projet'!$B$9,Paramètres!$A$1:$I$89,3,0)*VLOOKUP('Données projet'!$B$9,Paramètres!$A$1:$I$89,5,0)</f>
        <v>242.33040000000017</v>
      </c>
      <c r="P102" s="13">
        <f t="shared" si="87"/>
        <v>58.940645062714694</v>
      </c>
      <c r="Q102" s="20">
        <f t="shared" si="107"/>
        <v>524.71373681756165</v>
      </c>
      <c r="R102" s="59">
        <f t="shared" si="55"/>
        <v>818.04707015089502</v>
      </c>
      <c r="S102" s="59">
        <f ca="1">AVERAGE(OFFSET($R$3,0,0,'Données projet'!$E$9+1,1))-AVERAGE(OFFSET($H$3,0,0,'Données projet'!$E$9+1,1))</f>
        <v>196.72624686715807</v>
      </c>
      <c r="T102" s="59">
        <f t="shared" si="88"/>
        <v>37.315661698104691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69.036851073341509</v>
      </c>
      <c r="AA102" s="21">
        <f>EXP(-LN(2)/25)*AA101+(1-EXP(-LN(2)/25))/(LN(2)/25)*Calculateur!V102*Calculateur!X102*VLOOKUP('Données projet'!$B$9,Paramètres!$A$1:$I$89,3,0)*0.475*44/12</f>
        <v>31.254833151356575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100.29168422469809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-1.0000000000001137</v>
      </c>
      <c r="AJ102" s="13">
        <f>AI102*VLOOKUP('Données projet'!$B$10,Paramètres!$A$1:$I$89,3,0)*VLOOKUP('Données projet'!$B$10,Paramètres!$A$1:$I$89,5,0)</f>
        <v>-0.55900000000006356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325.42940802362739</v>
      </c>
      <c r="AO102" s="59">
        <f t="shared" si="90"/>
        <v>388.87198417542277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108.24370102017373</v>
      </c>
      <c r="AV102" s="21">
        <f>EXP(-LN(2)/25)*AV101+(1-EXP(-LN(2)/25))/(LN(2)/25)*Calculateur!AQ102*Calculateur!AS102*VLOOKUP('Données projet'!$B$10,Paramètres!$A$1:$I$89,3,0)*0.475*44/12</f>
        <v>30.693303959524432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138.93700497969817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</v>
      </c>
      <c r="BE102" s="13">
        <f>BD102*VLOOKUP('Données projet'!$B$11,Paramètres!$A$1:$I$89,3,0)*VLOOKUP('Données projet'!$B$11,Paramètres!$A$1:$I$89,5,0)</f>
        <v>-0.624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162.87524915738271</v>
      </c>
      <c r="BJ102" s="59">
        <f t="shared" si="92"/>
        <v>249.37880137966658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69.059237534596733</v>
      </c>
      <c r="BQ102" s="21">
        <f>EXP(-LN(2)/25)*BQ101+(1-EXP(-LN(2)/25))/(LN(2)/25)*Calculateur!BL102*Calculateur!BN102*VLOOKUP('Données projet'!$B$11,Paramètres!$A$1:$I$89,3,0)*0.475*44/12</f>
        <v>21.639720324175475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90.698957858772204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-1.4210854715202004E-13</v>
      </c>
      <c r="BZ102" s="13">
        <f>BY102*VLOOKUP('Données projet'!$B$12,Paramètres!$A$1:$I$89,3,0)*VLOOKUP('Données projet'!$B$12,Paramètres!$A$1:$I$89,5,0)</f>
        <v>-9.3109520094003535E-14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119.88584888779422</v>
      </c>
      <c r="CE102" s="59">
        <f t="shared" si="94"/>
        <v>162.97244314258774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23.176538230480428</v>
      </c>
      <c r="CL102" s="21">
        <f>EXP(-LN(2)/25)*CL101+(1-EXP(-LN(2)/25))/(LN(2)/25)*Calculateur!CG102*Calculateur!CI102*VLOOKUP('Données projet'!$B$12,Paramètres!$A$1:$I$89,3,0)*0.475*44/12</f>
        <v>8.3531720553088036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31.529710285789232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4</v>
      </c>
      <c r="CT102" s="12">
        <f>IF('Données projet'!$A$140&gt;35,CT101+CS102-DB101,IF(A102&lt;'Données projet'!$A$140,$CQ$205^A102,IF(A102='Données projet'!$A$140,'Données projet'!$B$140,CT101+CS102-DB101)))</f>
        <v>210</v>
      </c>
      <c r="CU102" s="17">
        <f>CT102*VLOOKUP('Données projet'!$B$13,Paramètres!$A$1:$I$89,3,0)*VLOOKUP('Données projet'!$B$13,Paramètres!$A$1:$I$89,5,0)</f>
        <v>212.94</v>
      </c>
      <c r="CV102" s="13">
        <f t="shared" si="95"/>
        <v>52.577528895212865</v>
      </c>
      <c r="CW102" s="20">
        <f t="shared" si="67"/>
        <v>462.44302949249573</v>
      </c>
      <c r="CX102" s="59">
        <f t="shared" si="68"/>
        <v>755.77636282582898</v>
      </c>
      <c r="CY102" s="59">
        <f ca="1">AVERAGE(OFFSET($CX$3,0,0,'Données projet'!$E$13+1,1))-AVERAGE(OFFSET($H$3,0,0,'Données projet'!$E$13+1,1))</f>
        <v>261.75887764015459</v>
      </c>
      <c r="CZ102" s="59">
        <f t="shared" si="96"/>
        <v>209.74127356028544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32.303939422350041</v>
      </c>
      <c r="DG102" s="21">
        <f>EXP(-LN(2)/25)*DG101+(1-EXP(-LN(2)/25))/(LN(2)/25)*Calculateur!DB102*Calculateur!DD102*VLOOKUP('Données projet'!$B$13,Paramètres!$A$1:$I$89,3,0)*0.475*44/12</f>
        <v>18.13636595940725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50.440305381757291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-2.2737367544323206E-13</v>
      </c>
      <c r="DP102" s="17">
        <f>DO102*VLOOKUP('Données projet'!$B$14,Paramètres!$A$1:$I$89,3,0)*VLOOKUP('Données projet'!$B$14,Paramètres!$A$1:$I$89,5,0)</f>
        <v>-1.8089849618263545E-13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215.37468832969444</v>
      </c>
      <c r="DU102" s="59">
        <f t="shared" si="98"/>
        <v>208.60212063136419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75.088288053600863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75.088288053600863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-2.2737367544323206E-13</v>
      </c>
      <c r="EK102" s="17">
        <f>EJ102*VLOOKUP('Données projet'!$B$15,Paramètres!$A$1:$I$89,3,0)*VLOOKUP('Données projet'!$B$15,Paramètres!$A$1:$I$89,5,0)</f>
        <v>-1.8089849618263545E-13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215.37468832969444</v>
      </c>
      <c r="EP102" s="59">
        <f t="shared" si="100"/>
        <v>208.60212063136419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75.088288053600863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75.088288053600863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-2.2737367544323206E-13</v>
      </c>
      <c r="FF102" s="17">
        <f>FE102*VLOOKUP('Données projet'!$B$16,Paramètres!$A$1:$I$89,3,0)*VLOOKUP('Données projet'!$B$16,Paramètres!$A$1:$I$89,5,0)</f>
        <v>-1.8444552551954985E-13</v>
      </c>
      <c r="FG102" s="13" t="e">
        <f t="shared" si="101"/>
        <v>#NUM!</v>
      </c>
      <c r="FH102" s="20" t="e">
        <f t="shared" si="76"/>
        <v>#NUM!</v>
      </c>
      <c r="FI102" s="59" t="e">
        <f t="shared" si="77"/>
        <v>#NUM!</v>
      </c>
      <c r="FJ102" s="59">
        <f ca="1">AVERAGE(OFFSET($FI$3,0,0,'Données projet'!$E$16+1,1))-AVERAGE(OFFSET($H$3,0,0,'Données projet'!$E$16+1,1))</f>
        <v>220.90439367987847</v>
      </c>
      <c r="FK102" s="59">
        <f t="shared" si="102"/>
        <v>213.66046131354858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76.560607427200921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76.560607427200921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1">
        <f t="shared" si="86"/>
        <v>22.410807975569163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67">
        <f t="shared" si="56"/>
        <v>473.64949055744955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529</v>
      </c>
      <c r="L103" s="12">
        <f>VLOOKUP(A103,'Données projet'!$A$35:$I$55,9,0)</f>
        <v>11.2</v>
      </c>
      <c r="M103" s="12">
        <f t="array" ref="M103">INDEX(L:L,MIN(IF(ISNUMBER(L103:L299),ROW(L103:L299),"")))</f>
        <v>11.2</v>
      </c>
      <c r="N103" s="13">
        <f>IF('Données projet'!$A$36&gt;35,N102+M103-V102,IF(A103&lt;'Données projet'!$A$36,$K$205^A103,IF(A103='Données projet'!$A$36,'Données projet'!$B$36,N102+M103-V102)))</f>
        <v>529.00000000000045</v>
      </c>
      <c r="O103" s="13">
        <f>N103*VLOOKUP('Données projet'!$B$9,Paramètres!$A$1:$I$89,3,0)*VLOOKUP('Données projet'!$B$9,Paramètres!$A$1:$I$89,5,0)</f>
        <v>247.57200000000023</v>
      </c>
      <c r="P103" s="13">
        <f t="shared" si="87"/>
        <v>60.065726249156576</v>
      </c>
      <c r="Q103" s="20">
        <f t="shared" si="107"/>
        <v>535.80237321728134</v>
      </c>
      <c r="R103" s="59">
        <f t="shared" si="55"/>
        <v>829.13570655061471</v>
      </c>
      <c r="S103" s="59">
        <f ca="1">AVERAGE(OFFSET($R$3,0,0,'Données projet'!$E$9+1,1))-AVERAGE(OFFSET($H$3,0,0,'Données projet'!$E$9+1,1))</f>
        <v>196.72624686715807</v>
      </c>
      <c r="T103" s="59">
        <f t="shared" si="88"/>
        <v>37.315661698104691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67.683080532114587</v>
      </c>
      <c r="AA103" s="21">
        <f>EXP(-LN(2)/25)*AA102+(1-EXP(-LN(2)/25))/(LN(2)/25)*Calculateur!V103*Calculateur!X103*VLOOKUP('Données projet'!$B$9,Paramètres!$A$1:$I$89,3,0)*0.475*44/12</f>
        <v>30.400168095212489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98.08324862732708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-1.0000000000001137</v>
      </c>
      <c r="AJ103" s="13">
        <f>AI103*VLOOKUP('Données projet'!$B$10,Paramètres!$A$1:$I$89,3,0)*VLOOKUP('Données projet'!$B$10,Paramètres!$A$1:$I$89,5,0)</f>
        <v>-0.55900000000006356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325.42940802362739</v>
      </c>
      <c r="AO103" s="59">
        <f t="shared" si="90"/>
        <v>388.87198417542277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106.1211080653066</v>
      </c>
      <c r="AV103" s="21">
        <f>EXP(-LN(2)/25)*AV102+(1-EXP(-LN(2)/25))/(LN(2)/25)*Calculateur!AQ103*Calculateur!AS103*VLOOKUP('Données projet'!$B$10,Paramètres!$A$1:$I$89,3,0)*0.475*44/12</f>
        <v>29.853993948660531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135.97510201396713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</v>
      </c>
      <c r="BE103" s="13">
        <f>BD103*VLOOKUP('Données projet'!$B$11,Paramètres!$A$1:$I$89,3,0)*VLOOKUP('Données projet'!$B$11,Paramètres!$A$1:$I$89,5,0)</f>
        <v>-0.624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162.87524915738271</v>
      </c>
      <c r="BJ103" s="59">
        <f t="shared" si="92"/>
        <v>249.37880137966658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67.705028008518994</v>
      </c>
      <c r="BQ103" s="21">
        <f>EXP(-LN(2)/25)*BQ102+(1-EXP(-LN(2)/25))/(LN(2)/25)*Calculateur!BL103*Calculateur!BN103*VLOOKUP('Données projet'!$B$11,Paramètres!$A$1:$I$89,3,0)*0.475*44/12</f>
        <v>21.047981033927464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88.75300904244645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-1.4210854715202004E-13</v>
      </c>
      <c r="BZ103" s="13">
        <f>BY103*VLOOKUP('Données projet'!$B$12,Paramètres!$A$1:$I$89,3,0)*VLOOKUP('Données projet'!$B$12,Paramètres!$A$1:$I$89,5,0)</f>
        <v>-9.3109520094003535E-14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119.88584888779422</v>
      </c>
      <c r="CE103" s="59">
        <f t="shared" si="94"/>
        <v>162.97244314258774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22.722060452073183</v>
      </c>
      <c r="CL103" s="21">
        <f>EXP(-LN(2)/25)*CL102+(1-EXP(-LN(2)/25))/(LN(2)/25)*Calculateur!CG103*Calculateur!CI103*VLOOKUP('Données projet'!$B$12,Paramètres!$A$1:$I$89,3,0)*0.475*44/12</f>
        <v>8.1247541261821574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30.846814578255341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214</v>
      </c>
      <c r="CR103" s="12">
        <f>VLOOKUP(A103,'Données projet'!$A$139:$I$159,9,0)</f>
        <v>4</v>
      </c>
      <c r="CS103" s="12">
        <f t="array" ref="CS103">INDEX(CR:CR,MIN(IF(ISNUMBER(CR103:CR299),ROW(CR103:CR299),"")))</f>
        <v>4</v>
      </c>
      <c r="CT103" s="12">
        <f>IF('Données projet'!$A$140&gt;35,CT102+CS103-DB102,IF(A103&lt;'Données projet'!$A$140,$CQ$205^A103,IF(A103='Données projet'!$A$140,'Données projet'!$B$140,CT102+CS103-DB102)))</f>
        <v>214</v>
      </c>
      <c r="CU103" s="17">
        <f>CT103*VLOOKUP('Données projet'!$B$13,Paramètres!$A$1:$I$89,3,0)*VLOOKUP('Données projet'!$B$13,Paramètres!$A$1:$I$89,5,0)</f>
        <v>216.99600000000001</v>
      </c>
      <c r="CV103" s="13">
        <f t="shared" si="95"/>
        <v>53.461459647386917</v>
      </c>
      <c r="CW103" s="20">
        <f t="shared" si="67"/>
        <v>471.04674221919896</v>
      </c>
      <c r="CX103" s="59">
        <f t="shared" si="68"/>
        <v>764.38007555253228</v>
      </c>
      <c r="CY103" s="59">
        <f ca="1">AVERAGE(OFFSET($CX$3,0,0,'Données projet'!$E$13+1,1))-AVERAGE(OFFSET($H$3,0,0,'Données projet'!$E$13+1,1))</f>
        <v>261.75887764015459</v>
      </c>
      <c r="CZ103" s="59">
        <f t="shared" si="96"/>
        <v>209.74127356028544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31.670478873735249</v>
      </c>
      <c r="DG103" s="21">
        <f>EXP(-LN(2)/25)*DG102+(1-EXP(-LN(2)/25))/(LN(2)/25)*Calculateur!DB103*Calculateur!DD103*VLOOKUP('Données projet'!$B$13,Paramètres!$A$1:$I$89,3,0)*0.475*44/12</f>
        <v>17.640426078497224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49.310904952232477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-2.2737367544323206E-13</v>
      </c>
      <c r="DP103" s="17">
        <f>DO103*VLOOKUP('Données projet'!$B$14,Paramètres!$A$1:$I$89,3,0)*VLOOKUP('Données projet'!$B$14,Paramètres!$A$1:$I$89,5,0)</f>
        <v>-1.8089849618263545E-13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215.37468832969444</v>
      </c>
      <c r="DU103" s="59">
        <f t="shared" si="98"/>
        <v>208.60212063136419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73.615852524203149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73.615852524203149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-2.2737367544323206E-13</v>
      </c>
      <c r="EK103" s="17">
        <f>EJ103*VLOOKUP('Données projet'!$B$15,Paramètres!$A$1:$I$89,3,0)*VLOOKUP('Données projet'!$B$15,Paramètres!$A$1:$I$89,5,0)</f>
        <v>-1.8089849618263545E-13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215.37468832969444</v>
      </c>
      <c r="EP103" s="59">
        <f t="shared" si="100"/>
        <v>208.60212063136419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73.615852524203149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73.615852524203149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-2.2737367544323206E-13</v>
      </c>
      <c r="FF103" s="17">
        <f>FE103*VLOOKUP('Données projet'!$B$16,Paramètres!$A$1:$I$89,3,0)*VLOOKUP('Données projet'!$B$16,Paramètres!$A$1:$I$89,5,0)</f>
        <v>-1.8444552551954985E-13</v>
      </c>
      <c r="FG103" s="13" t="e">
        <f t="shared" si="101"/>
        <v>#NUM!</v>
      </c>
      <c r="FH103" s="20" t="e">
        <f t="shared" si="76"/>
        <v>#NUM!</v>
      </c>
      <c r="FI103" s="59" t="e">
        <f t="shared" si="77"/>
        <v>#NUM!</v>
      </c>
      <c r="FJ103" s="59">
        <f ca="1">AVERAGE(OFFSET($FI$3,0,0,'Données projet'!$E$16+1,1))-AVERAGE(OFFSET($H$3,0,0,'Données projet'!$E$16+1,1))</f>
        <v>220.90439367987847</v>
      </c>
      <c r="FK103" s="59">
        <f t="shared" si="102"/>
        <v>213.66046131354858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75.059300612913063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75.059300612913063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1">
        <f t="shared" si="86"/>
        <v>22.608715052719756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67">
        <f t="shared" si="56"/>
        <v>475.40701871682018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10.199999999999999</v>
      </c>
      <c r="N104" s="13">
        <f>IF('Données projet'!$A$36&gt;35,N103+M104-V103,IF(A104&lt;'Données projet'!$A$36,$K$205^A104,IF(A104='Données projet'!$A$36,'Données projet'!$B$36,N103+M104-V103)))</f>
        <v>539.2000000000005</v>
      </c>
      <c r="O104" s="13">
        <f>N104*VLOOKUP('Données projet'!$B$9,Paramètres!$A$1:$I$89,3,0)*VLOOKUP('Données projet'!$B$9,Paramètres!$A$1:$I$89,5,0)</f>
        <v>252.34560000000022</v>
      </c>
      <c r="P104" s="13">
        <f t="shared" si="87"/>
        <v>61.08794247234318</v>
      </c>
      <c r="Q104" s="20">
        <f t="shared" si="107"/>
        <v>545.89675313933128</v>
      </c>
      <c r="R104" s="59">
        <f t="shared" si="55"/>
        <v>839.23008647266465</v>
      </c>
      <c r="S104" s="59">
        <f ca="1">AVERAGE(OFFSET($R$3,0,0,'Données projet'!$E$9+1,1))-AVERAGE(OFFSET($H$3,0,0,'Données projet'!$E$9+1,1))</f>
        <v>196.72624686715807</v>
      </c>
      <c r="T104" s="59">
        <f t="shared" si="88"/>
        <v>37.315661698104691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66.355856605482629</v>
      </c>
      <c r="AA104" s="21">
        <f>EXP(-LN(2)/25)*AA103+(1-EXP(-LN(2)/25))/(LN(2)/25)*Calculateur!V104*Calculateur!X104*VLOOKUP('Données projet'!$B$9,Paramètres!$A$1:$I$89,3,0)*0.475*44/12</f>
        <v>29.568873899973543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95.924730505456168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-1.0000000000001137</v>
      </c>
      <c r="AJ104" s="13">
        <f>AI104*VLOOKUP('Données projet'!$B$10,Paramètres!$A$1:$I$89,3,0)*VLOOKUP('Données projet'!$B$10,Paramètres!$A$1:$I$89,5,0)</f>
        <v>-0.55900000000006356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325.42940802362739</v>
      </c>
      <c r="AO104" s="59">
        <f t="shared" si="90"/>
        <v>388.87198417542277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104.04013786363055</v>
      </c>
      <c r="AV104" s="21">
        <f>EXP(-LN(2)/25)*AV103+(1-EXP(-LN(2)/25))/(LN(2)/25)*Calculateur!AQ104*Calculateur!AS104*VLOOKUP('Données projet'!$B$10,Paramètres!$A$1:$I$89,3,0)*0.475*44/12</f>
        <v>29.037634914181098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133.07777277781165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</v>
      </c>
      <c r="BE104" s="13">
        <f>BD104*VLOOKUP('Données projet'!$B$11,Paramètres!$A$1:$I$89,3,0)*VLOOKUP('Données projet'!$B$11,Paramètres!$A$1:$I$89,5,0)</f>
        <v>-0.624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162.87524915738271</v>
      </c>
      <c r="BJ104" s="59">
        <f t="shared" si="92"/>
        <v>249.37880137966658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66.377373705261377</v>
      </c>
      <c r="BQ104" s="21">
        <f>EXP(-LN(2)/25)*BQ103+(1-EXP(-LN(2)/25))/(LN(2)/25)*Calculateur!BL104*Calculateur!BN104*VLOOKUP('Données projet'!$B$11,Paramètres!$A$1:$I$89,3,0)*0.475*44/12</f>
        <v>20.4724228856895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86.849796590950874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-1.4210854715202004E-13</v>
      </c>
      <c r="BZ104" s="13">
        <f>BY104*VLOOKUP('Données projet'!$B$12,Paramètres!$A$1:$I$89,3,0)*VLOOKUP('Données projet'!$B$12,Paramètres!$A$1:$I$89,5,0)</f>
        <v>-9.3109520094003535E-14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119.88584888779422</v>
      </c>
      <c r="CE104" s="59">
        <f t="shared" si="94"/>
        <v>162.97244314258774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22.276494705696432</v>
      </c>
      <c r="CL104" s="21">
        <f>EXP(-LN(2)/25)*CL103+(1-EXP(-LN(2)/25))/(LN(2)/25)*Calculateur!CG104*Calculateur!CI104*VLOOKUP('Données projet'!$B$12,Paramètres!$A$1:$I$89,3,0)*0.475*44/12</f>
        <v>7.9025822973394559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30.179077003035889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4</v>
      </c>
      <c r="CT104" s="12">
        <f>IF('Données projet'!$A$140&gt;35,CT103+CS104-DB103,IF(A104&lt;'Données projet'!$A$140,$CQ$205^A104,IF(A104='Données projet'!$A$140,'Données projet'!$B$140,CT103+CS104-DB103)))</f>
        <v>218</v>
      </c>
      <c r="CU104" s="17">
        <f>CT104*VLOOKUP('Données projet'!$B$13,Paramètres!$A$1:$I$89,3,0)*VLOOKUP('Données projet'!$B$13,Paramètres!$A$1:$I$89,5,0)</f>
        <v>221.05200000000002</v>
      </c>
      <c r="CV104" s="13">
        <f t="shared" si="95"/>
        <v>54.343469202939254</v>
      </c>
      <c r="CW104" s="20">
        <f t="shared" si="67"/>
        <v>479.64710886178597</v>
      </c>
      <c r="CX104" s="59">
        <f t="shared" si="68"/>
        <v>772.98044219511928</v>
      </c>
      <c r="CY104" s="59">
        <f ca="1">AVERAGE(OFFSET($CX$3,0,0,'Données projet'!$E$13+1,1))-AVERAGE(OFFSET($H$3,0,0,'Données projet'!$E$13+1,1))</f>
        <v>261.75887764015459</v>
      </c>
      <c r="CZ104" s="59">
        <f t="shared" si="96"/>
        <v>209.74127356028544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31.049440100106011</v>
      </c>
      <c r="DG104" s="21">
        <f>EXP(-LN(2)/25)*DG103+(1-EXP(-LN(2)/25))/(LN(2)/25)*Calculateur!DB104*Calculateur!DD104*VLOOKUP('Données projet'!$B$13,Paramètres!$A$1:$I$89,3,0)*0.475*44/12</f>
        <v>17.158047699711027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48.207487799817038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-2.2737367544323206E-13</v>
      </c>
      <c r="DP104" s="17">
        <f>DO104*VLOOKUP('Données projet'!$B$14,Paramètres!$A$1:$I$89,3,0)*VLOOKUP('Données projet'!$B$14,Paramètres!$A$1:$I$89,5,0)</f>
        <v>-1.8089849618263545E-13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215.37468832969444</v>
      </c>
      <c r="DU104" s="59">
        <f t="shared" si="98"/>
        <v>208.60212063136419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72.172290557439936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72.172290557439936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-2.2737367544323206E-13</v>
      </c>
      <c r="EK104" s="17">
        <f>EJ104*VLOOKUP('Données projet'!$B$15,Paramètres!$A$1:$I$89,3,0)*VLOOKUP('Données projet'!$B$15,Paramètres!$A$1:$I$89,5,0)</f>
        <v>-1.8089849618263545E-13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215.37468832969444</v>
      </c>
      <c r="EP104" s="59">
        <f t="shared" si="100"/>
        <v>208.60212063136419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72.172290557439936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72.172290557439936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-2.2737367544323206E-13</v>
      </c>
      <c r="FF104" s="17">
        <f>FE104*VLOOKUP('Données projet'!$B$16,Paramètres!$A$1:$I$89,3,0)*VLOOKUP('Données projet'!$B$16,Paramètres!$A$1:$I$89,5,0)</f>
        <v>-1.8444552551954985E-13</v>
      </c>
      <c r="FG104" s="13" t="e">
        <f t="shared" si="101"/>
        <v>#NUM!</v>
      </c>
      <c r="FH104" s="20" t="e">
        <f t="shared" si="76"/>
        <v>#NUM!</v>
      </c>
      <c r="FI104" s="59" t="e">
        <f t="shared" si="77"/>
        <v>#NUM!</v>
      </c>
      <c r="FJ104" s="59">
        <f ca="1">AVERAGE(OFFSET($FI$3,0,0,'Données projet'!$E$16+1,1))-AVERAGE(OFFSET($H$3,0,0,'Données projet'!$E$16+1,1))</f>
        <v>220.90439367987847</v>
      </c>
      <c r="FK104" s="59">
        <f t="shared" si="102"/>
        <v>213.66046131354858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73.587433509546642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73.587433509546642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1">
        <f t="shared" si="86"/>
        <v>22.806394174303183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67">
        <f t="shared" si="56"/>
        <v>477.16414985357795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10.199999999999999</v>
      </c>
      <c r="N105" s="13">
        <f>IF('Données projet'!$A$36&gt;35,N104+M105-V104,IF(A105&lt;'Données projet'!$A$36,$K$205^A105,IF(A105='Données projet'!$A$36,'Données projet'!$B$36,N104+M105-V104)))</f>
        <v>549.40000000000055</v>
      </c>
      <c r="O105" s="13">
        <f>N105*VLOOKUP('Données projet'!$B$9,Paramètres!$A$1:$I$89,3,0)*VLOOKUP('Données projet'!$B$9,Paramètres!$A$1:$I$89,5,0)</f>
        <v>257.11920000000026</v>
      </c>
      <c r="P105" s="13">
        <f t="shared" si="87"/>
        <v>62.107910182724012</v>
      </c>
      <c r="Q105" s="20">
        <f t="shared" si="107"/>
        <v>555.98721690157811</v>
      </c>
      <c r="R105" s="59">
        <f t="shared" si="55"/>
        <v>849.32055023491148</v>
      </c>
      <c r="S105" s="59">
        <f ca="1">AVERAGE(OFFSET($R$3,0,0,'Données projet'!$E$9+1,1))-AVERAGE(OFFSET($H$3,0,0,'Données projet'!$E$9+1,1))</f>
        <v>196.72624686715807</v>
      </c>
      <c r="T105" s="59">
        <f t="shared" si="88"/>
        <v>37.315661698104691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65.054658730525261</v>
      </c>
      <c r="AA105" s="21">
        <f>EXP(-LN(2)/25)*AA104+(1-EXP(-LN(2)/25))/(LN(2)/25)*Calculateur!V105*Calculateur!X105*VLOOKUP('Données projet'!$B$9,Paramètres!$A$1:$I$89,3,0)*0.475*44/12</f>
        <v>28.760311488219269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93.814970218744534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-1.0000000000001137</v>
      </c>
      <c r="AJ105" s="13">
        <f>AI105*VLOOKUP('Données projet'!$B$10,Paramètres!$A$1:$I$89,3,0)*VLOOKUP('Données projet'!$B$10,Paramètres!$A$1:$I$89,5,0)</f>
        <v>-0.55900000000006356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325.42940802362739</v>
      </c>
      <c r="AO105" s="59">
        <f t="shared" si="90"/>
        <v>388.87198417542277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101.99997421834287</v>
      </c>
      <c r="AV105" s="21">
        <f>EXP(-LN(2)/25)*AV104+(1-EXP(-LN(2)/25))/(LN(2)/25)*Calculateur!AQ105*Calculateur!AS105*VLOOKUP('Données projet'!$B$10,Paramètres!$A$1:$I$89,3,0)*0.475*44/12</f>
        <v>28.243599260429963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130.24357347877284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</v>
      </c>
      <c r="BE105" s="13">
        <f>BD105*VLOOKUP('Données projet'!$B$11,Paramètres!$A$1:$I$89,3,0)*VLOOKUP('Données projet'!$B$11,Paramètres!$A$1:$I$89,5,0)</f>
        <v>-0.624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162.87524915738271</v>
      </c>
      <c r="BJ105" s="59">
        <f t="shared" si="92"/>
        <v>249.37880137966658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65.075753893101478</v>
      </c>
      <c r="BQ105" s="21">
        <f>EXP(-LN(2)/25)*BQ104+(1-EXP(-LN(2)/25))/(LN(2)/25)*Calculateur!BL105*Calculateur!BN105*VLOOKUP('Données projet'!$B$11,Paramètres!$A$1:$I$89,3,0)*0.475*44/12</f>
        <v>19.912603405282393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84.988357298383875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-1.4210854715202004E-13</v>
      </c>
      <c r="BZ105" s="13">
        <f>BY105*VLOOKUP('Données projet'!$B$12,Paramètres!$A$1:$I$89,3,0)*VLOOKUP('Données projet'!$B$12,Paramètres!$A$1:$I$89,5,0)</f>
        <v>-9.3109520094003535E-14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119.88584888779422</v>
      </c>
      <c r="CE105" s="59">
        <f t="shared" si="94"/>
        <v>162.97244314258774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21.83966623183786</v>
      </c>
      <c r="CL105" s="21">
        <f>EXP(-LN(2)/25)*CL104+(1-EXP(-LN(2)/25))/(LN(2)/25)*Calculateur!CG105*Calculateur!CI105*VLOOKUP('Données projet'!$B$12,Paramètres!$A$1:$I$89,3,0)*0.475*44/12</f>
        <v>7.686485768839967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29.526152000677826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4</v>
      </c>
      <c r="CT105" s="12">
        <f>IF('Données projet'!$A$140&gt;35,CT104+CS105-DB104,IF(A105&lt;'Données projet'!$A$140,$CQ$205^A105,IF(A105='Données projet'!$A$140,'Données projet'!$B$140,CT104+CS105-DB104)))</f>
        <v>222</v>
      </c>
      <c r="CU105" s="17">
        <f>CT105*VLOOKUP('Données projet'!$B$13,Paramètres!$A$1:$I$89,3,0)*VLOOKUP('Données projet'!$B$13,Paramètres!$A$1:$I$89,5,0)</f>
        <v>225.10800000000003</v>
      </c>
      <c r="CV105" s="13">
        <f t="shared" si="95"/>
        <v>55.22359687888963</v>
      </c>
      <c r="CW105" s="20">
        <f t="shared" si="67"/>
        <v>488.24419789739949</v>
      </c>
      <c r="CX105" s="59">
        <f t="shared" si="68"/>
        <v>781.5775312307328</v>
      </c>
      <c r="CY105" s="59">
        <f ca="1">AVERAGE(OFFSET($CX$3,0,0,'Données projet'!$E$13+1,1))-AVERAGE(OFFSET($H$3,0,0,'Données projet'!$E$13+1,1))</f>
        <v>261.75887764015459</v>
      </c>
      <c r="CZ105" s="59">
        <f t="shared" si="96"/>
        <v>209.74127356028544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30.440579518031392</v>
      </c>
      <c r="DG105" s="21">
        <f>EXP(-LN(2)/25)*DG104+(1-EXP(-LN(2)/25))/(LN(2)/25)*Calculateur!DB105*Calculateur!DD105*VLOOKUP('Données projet'!$B$13,Paramètres!$A$1:$I$89,3,0)*0.475*44/12</f>
        <v>16.688859983059917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47.129439501091312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-2.2737367544323206E-13</v>
      </c>
      <c r="DP105" s="17">
        <f>DO105*VLOOKUP('Données projet'!$B$14,Paramètres!$A$1:$I$89,3,0)*VLOOKUP('Données projet'!$B$14,Paramètres!$A$1:$I$89,5,0)</f>
        <v>-1.8089849618263545E-13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215.37468832969444</v>
      </c>
      <c r="DU105" s="59">
        <f t="shared" si="98"/>
        <v>208.60212063136419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70.75703596035909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70.75703596035909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-2.2737367544323206E-13</v>
      </c>
      <c r="EK105" s="17">
        <f>EJ105*VLOOKUP('Données projet'!$B$15,Paramètres!$A$1:$I$89,3,0)*VLOOKUP('Données projet'!$B$15,Paramètres!$A$1:$I$89,5,0)</f>
        <v>-1.8089849618263545E-13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215.37468832969444</v>
      </c>
      <c r="EP105" s="59">
        <f t="shared" si="100"/>
        <v>208.60212063136419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70.75703596035909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70.75703596035909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-2.2737367544323206E-13</v>
      </c>
      <c r="FF105" s="17">
        <f>FE105*VLOOKUP('Données projet'!$B$16,Paramètres!$A$1:$I$89,3,0)*VLOOKUP('Données projet'!$B$16,Paramètres!$A$1:$I$89,5,0)</f>
        <v>-1.8444552551954985E-13</v>
      </c>
      <c r="FG105" s="13" t="e">
        <f t="shared" si="101"/>
        <v>#NUM!</v>
      </c>
      <c r="FH105" s="20" t="e">
        <f t="shared" si="76"/>
        <v>#NUM!</v>
      </c>
      <c r="FI105" s="59" t="e">
        <f t="shared" si="77"/>
        <v>#NUM!</v>
      </c>
      <c r="FJ105" s="59">
        <f ca="1">AVERAGE(OFFSET($FI$3,0,0,'Données projet'!$E$16+1,1))-AVERAGE(OFFSET($H$3,0,0,'Données projet'!$E$16+1,1))</f>
        <v>220.90439367987847</v>
      </c>
      <c r="FK105" s="59">
        <f t="shared" si="102"/>
        <v>213.66046131354858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72.144428822326958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72.144428822326958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1">
        <f t="shared" si="86"/>
        <v>23.00384783397265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67">
        <f t="shared" si="56"/>
        <v>478.92088831083561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10.199999999999999</v>
      </c>
      <c r="N106" s="13">
        <f>IF('Données projet'!$A$36&gt;35,N105+M106-V105,IF(A106&lt;'Données projet'!$A$36,$K$205^A106,IF(A106='Données projet'!$A$36,'Données projet'!$B$36,N105+M106-V105)))</f>
        <v>559.60000000000059</v>
      </c>
      <c r="O106" s="13">
        <f>N106*VLOOKUP('Données projet'!$B$9,Paramètres!$A$1:$I$89,3,0)*VLOOKUP('Données projet'!$B$9,Paramètres!$A$1:$I$89,5,0)</f>
        <v>261.89280000000031</v>
      </c>
      <c r="P106" s="13">
        <f t="shared" si="87"/>
        <v>63.125675939750188</v>
      </c>
      <c r="Q106" s="20">
        <f t="shared" si="107"/>
        <v>566.07384559506545</v>
      </c>
      <c r="R106" s="59">
        <f t="shared" si="55"/>
        <v>859.40717892839871</v>
      </c>
      <c r="S106" s="59">
        <f ca="1">AVERAGE(OFFSET($R$3,0,0,'Données projet'!$E$9+1,1))-AVERAGE(OFFSET($H$3,0,0,'Données projet'!$E$9+1,1))</f>
        <v>196.72624686715807</v>
      </c>
      <c r="T106" s="59">
        <f t="shared" si="88"/>
        <v>37.315661698104691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63.778976552243471</v>
      </c>
      <c r="AA106" s="21">
        <f>EXP(-LN(2)/25)*AA105+(1-EXP(-LN(2)/25))/(LN(2)/25)*Calculateur!V106*Calculateur!X106*VLOOKUP('Données projet'!$B$9,Paramètres!$A$1:$I$89,3,0)*0.475*44/12</f>
        <v>27.973859258134866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91.752835810378343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-1.0000000000001137</v>
      </c>
      <c r="AJ106" s="13">
        <f>AI106*VLOOKUP('Données projet'!$B$10,Paramètres!$A$1:$I$89,3,0)*VLOOKUP('Données projet'!$B$10,Paramètres!$A$1:$I$89,5,0)</f>
        <v>-0.55900000000006356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325.42940802362739</v>
      </c>
      <c r="AO106" s="59">
        <f t="shared" si="90"/>
        <v>388.87198417542277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99.999816937762333</v>
      </c>
      <c r="AV106" s="21">
        <f>EXP(-LN(2)/25)*AV105+(1-EXP(-LN(2)/25))/(LN(2)/25)*Calculateur!AQ106*Calculateur!AS106*VLOOKUP('Données projet'!$B$10,Paramètres!$A$1:$I$89,3,0)*0.475*44/12</f>
        <v>27.471276553387174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127.4710934911495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</v>
      </c>
      <c r="BE106" s="13">
        <f>BD106*VLOOKUP('Données projet'!$B$11,Paramètres!$A$1:$I$89,3,0)*VLOOKUP('Données projet'!$B$11,Paramètres!$A$1:$I$89,5,0)</f>
        <v>-0.624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162.87524915738271</v>
      </c>
      <c r="BJ106" s="59">
        <f t="shared" si="92"/>
        <v>249.37880137966658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63.799658051548342</v>
      </c>
      <c r="BQ106" s="21">
        <f>EXP(-LN(2)/25)*BQ105+(1-EXP(-LN(2)/25))/(LN(2)/25)*Calculateur!BL106*Calculateur!BN106*VLOOKUP('Données projet'!$B$11,Paramètres!$A$1:$I$89,3,0)*0.475*44/12</f>
        <v>19.368092218006645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83.167750269554986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-1.4210854715202004E-13</v>
      </c>
      <c r="BZ106" s="13">
        <f>BY106*VLOOKUP('Données projet'!$B$12,Paramètres!$A$1:$I$89,3,0)*VLOOKUP('Données projet'!$B$12,Paramètres!$A$1:$I$89,5,0)</f>
        <v>-9.3109520094003535E-14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119.88584888779422</v>
      </c>
      <c r="CE106" s="59">
        <f t="shared" si="94"/>
        <v>162.97244314258774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21.411403697912593</v>
      </c>
      <c r="CL106" s="21">
        <f>EXP(-LN(2)/25)*CL105+(1-EXP(-LN(2)/25))/(LN(2)/25)*Calculateur!CG106*Calculateur!CI106*VLOOKUP('Données projet'!$B$12,Paramètres!$A$1:$I$89,3,0)*0.475*44/12</f>
        <v>7.4762984112763196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28.887702109188915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4</v>
      </c>
      <c r="CT106" s="12">
        <f>IF('Données projet'!$A$140&gt;35,CT105+CS106-DB105,IF(A106&lt;'Données projet'!$A$140,$CQ$205^A106,IF(A106='Données projet'!$A$140,'Données projet'!$B$140,CT105+CS106-DB105)))</f>
        <v>226</v>
      </c>
      <c r="CU106" s="17">
        <f>CT106*VLOOKUP('Données projet'!$B$13,Paramètres!$A$1:$I$89,3,0)*VLOOKUP('Données projet'!$B$13,Paramètres!$A$1:$I$89,5,0)</f>
        <v>229.16400000000002</v>
      </c>
      <c r="CV106" s="13">
        <f t="shared" si="95"/>
        <v>56.101880494297397</v>
      </c>
      <c r="CW106" s="20">
        <f t="shared" si="67"/>
        <v>496.83807519423459</v>
      </c>
      <c r="CX106" s="59">
        <f t="shared" si="68"/>
        <v>790.17140852756791</v>
      </c>
      <c r="CY106" s="59">
        <f ca="1">AVERAGE(OFFSET($CX$3,0,0,'Données projet'!$E$13+1,1))-AVERAGE(OFFSET($H$3,0,0,'Données projet'!$E$13+1,1))</f>
        <v>261.75887764015459</v>
      </c>
      <c r="CZ106" s="59">
        <f t="shared" si="96"/>
        <v>209.74127356028544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29.84365832060297</v>
      </c>
      <c r="DG106" s="21">
        <f>EXP(-LN(2)/25)*DG105+(1-EXP(-LN(2)/25))/(LN(2)/25)*Calculateur!DB106*Calculateur!DD106*VLOOKUP('Données projet'!$B$13,Paramètres!$A$1:$I$89,3,0)*0.475*44/12</f>
        <v>16.232502229194139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46.076160549797109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-2.2737367544323206E-13</v>
      </c>
      <c r="DP106" s="17">
        <f>DO106*VLOOKUP('Données projet'!$B$14,Paramètres!$A$1:$I$89,3,0)*VLOOKUP('Données projet'!$B$14,Paramètres!$A$1:$I$89,5,0)</f>
        <v>-1.8089849618263545E-13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215.37468832969444</v>
      </c>
      <c r="DU106" s="59">
        <f t="shared" si="98"/>
        <v>208.60212063136419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69.369533642706926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69.369533642706926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-2.2737367544323206E-13</v>
      </c>
      <c r="EK106" s="17">
        <f>EJ106*VLOOKUP('Données projet'!$B$15,Paramètres!$A$1:$I$89,3,0)*VLOOKUP('Données projet'!$B$15,Paramètres!$A$1:$I$89,5,0)</f>
        <v>-1.8089849618263545E-13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215.37468832969444</v>
      </c>
      <c r="EP106" s="59">
        <f t="shared" si="100"/>
        <v>208.60212063136419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69.369533642706926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69.369533642706926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-2.2737367544323206E-13</v>
      </c>
      <c r="FF106" s="17">
        <f>FE106*VLOOKUP('Données projet'!$B$16,Paramètres!$A$1:$I$89,3,0)*VLOOKUP('Données projet'!$B$16,Paramètres!$A$1:$I$89,5,0)</f>
        <v>-1.8444552551954985E-13</v>
      </c>
      <c r="FG106" s="13" t="e">
        <f t="shared" si="101"/>
        <v>#NUM!</v>
      </c>
      <c r="FH106" s="20" t="e">
        <f t="shared" si="76"/>
        <v>#NUM!</v>
      </c>
      <c r="FI106" s="59" t="e">
        <f t="shared" si="77"/>
        <v>#NUM!</v>
      </c>
      <c r="FJ106" s="59">
        <f ca="1">AVERAGE(OFFSET($FI$3,0,0,'Données projet'!$E$16+1,1))-AVERAGE(OFFSET($H$3,0,0,'Données projet'!$E$16+1,1))</f>
        <v>220.90439367987847</v>
      </c>
      <c r="FK106" s="59">
        <f t="shared" si="102"/>
        <v>213.66046131354858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70.729720576877696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70.729720576877696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1">
        <f t="shared" si="86"/>
        <v>23.201078474169361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67">
        <f t="shared" si="56"/>
        <v>480.67723834251154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10.199999999999999</v>
      </c>
      <c r="N107" s="13">
        <f>IF('Données projet'!$A$36&gt;35,N106+M107-V106,IF(A107&lt;'Données projet'!$A$36,$K$205^A107,IF(A107='Données projet'!$A$36,'Données projet'!$B$36,N106+M107-V106)))</f>
        <v>569.80000000000064</v>
      </c>
      <c r="O107" s="13">
        <f>N107*VLOOKUP('Données projet'!$B$9,Paramètres!$A$1:$I$89,3,0)*VLOOKUP('Données projet'!$B$9,Paramètres!$A$1:$I$89,5,0)</f>
        <v>266.66640000000029</v>
      </c>
      <c r="P107" s="13">
        <f t="shared" si="87"/>
        <v>64.141284508389418</v>
      </c>
      <c r="Q107" s="20">
        <f t="shared" si="107"/>
        <v>576.15671718544536</v>
      </c>
      <c r="R107" s="59">
        <f t="shared" si="55"/>
        <v>869.49005051877862</v>
      </c>
      <c r="S107" s="59">
        <f ca="1">AVERAGE(OFFSET($R$3,0,0,'Données projet'!$E$9+1,1))-AVERAGE(OFFSET($H$3,0,0,'Données projet'!$E$9+1,1))</f>
        <v>196.72624686715807</v>
      </c>
      <c r="T107" s="59">
        <f t="shared" si="88"/>
        <v>37.315661698104691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62.528309723388489</v>
      </c>
      <c r="AA107" s="21">
        <f>EXP(-LN(2)/25)*AA106+(1-EXP(-LN(2)/25))/(LN(2)/25)*Calculateur!V107*Calculateur!X107*VLOOKUP('Données projet'!$B$9,Paramètres!$A$1:$I$89,3,0)*0.475*44/12</f>
        <v>27.208912605639846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89.737222329028327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-1.0000000000001137</v>
      </c>
      <c r="AJ107" s="13">
        <f>AI107*VLOOKUP('Données projet'!$B$10,Paramètres!$A$1:$I$89,3,0)*VLOOKUP('Données projet'!$B$10,Paramètres!$A$1:$I$89,5,0)</f>
        <v>-0.55900000000006356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325.42940802362739</v>
      </c>
      <c r="AO107" s="59">
        <f t="shared" si="90"/>
        <v>388.87198417542277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98.038881521478501</v>
      </c>
      <c r="AV107" s="21">
        <f>EXP(-LN(2)/25)*AV106+(1-EXP(-LN(2)/25))/(LN(2)/25)*Calculateur!AQ107*Calculateur!AS107*VLOOKUP('Données projet'!$B$10,Paramètres!$A$1:$I$89,3,0)*0.475*44/12</f>
        <v>26.720073051383153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124.75895457286165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</v>
      </c>
      <c r="BE107" s="13">
        <f>BD107*VLOOKUP('Données projet'!$B$11,Paramètres!$A$1:$I$89,3,0)*VLOOKUP('Données projet'!$B$11,Paramètres!$A$1:$I$89,5,0)</f>
        <v>-0.624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162.87524915738271</v>
      </c>
      <c r="BJ107" s="59">
        <f t="shared" si="92"/>
        <v>249.37880137966658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62.548585671106459</v>
      </c>
      <c r="BQ107" s="21">
        <f>EXP(-LN(2)/25)*BQ106+(1-EXP(-LN(2)/25))/(LN(2)/25)*Calculateur!BL107*Calculateur!BN107*VLOOKUP('Données projet'!$B$11,Paramètres!$A$1:$I$89,3,0)*0.475*44/12</f>
        <v>18.838470717781551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81.387056388888013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-1.4210854715202004E-13</v>
      </c>
      <c r="BZ107" s="13">
        <f>BY107*VLOOKUP('Données projet'!$B$12,Paramètres!$A$1:$I$89,3,0)*VLOOKUP('Données projet'!$B$12,Paramètres!$A$1:$I$89,5,0)</f>
        <v>-9.3109520094003535E-14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119.88584888779422</v>
      </c>
      <c r="CE107" s="59">
        <f t="shared" si="94"/>
        <v>162.97244314258774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20.991539131063249</v>
      </c>
      <c r="CL107" s="21">
        <f>EXP(-LN(2)/25)*CL106+(1-EXP(-LN(2)/25))/(LN(2)/25)*Calculateur!CG107*Calculateur!CI107*VLOOKUP('Données projet'!$B$12,Paramètres!$A$1:$I$89,3,0)*0.475*44/12</f>
        <v>7.2718586380585224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28.26339776912177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4</v>
      </c>
      <c r="CT107" s="12">
        <f>IF('Données projet'!$A$140&gt;35,CT106+CS107-DB106,IF(A107&lt;'Données projet'!$A$140,$CQ$205^A107,IF(A107='Données projet'!$A$140,'Données projet'!$B$140,CT106+CS107-DB106)))</f>
        <v>230</v>
      </c>
      <c r="CU107" s="17">
        <f>CT107*VLOOKUP('Données projet'!$B$13,Paramètres!$A$1:$I$89,3,0)*VLOOKUP('Données projet'!$B$13,Paramètres!$A$1:$I$89,5,0)</f>
        <v>233.22</v>
      </c>
      <c r="CV107" s="13">
        <f t="shared" si="95"/>
        <v>56.978356452817273</v>
      </c>
      <c r="CW107" s="20">
        <f t="shared" si="67"/>
        <v>505.42880415532341</v>
      </c>
      <c r="CX107" s="59">
        <f t="shared" si="68"/>
        <v>798.76213748865666</v>
      </c>
      <c r="CY107" s="59">
        <f ca="1">AVERAGE(OFFSET($CX$3,0,0,'Données projet'!$E$13+1,1))-AVERAGE(OFFSET($H$3,0,0,'Données projet'!$E$13+1,1))</f>
        <v>261.75887764015459</v>
      </c>
      <c r="CZ107" s="59">
        <f t="shared" si="96"/>
        <v>209.74127356028544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29.258442383770142</v>
      </c>
      <c r="DG107" s="21">
        <f>EXP(-LN(2)/25)*DG106+(1-EXP(-LN(2)/25))/(LN(2)/25)*Calculateur!DB107*Calculateur!DD107*VLOOKUP('Données projet'!$B$13,Paramètres!$A$1:$I$89,3,0)*0.475*44/12</f>
        <v>15.788623602106634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45.047065985876777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-2.2737367544323206E-13</v>
      </c>
      <c r="DP107" s="17">
        <f>DO107*VLOOKUP('Données projet'!$B$14,Paramètres!$A$1:$I$89,3,0)*VLOOKUP('Données projet'!$B$14,Paramètres!$A$1:$I$89,5,0)</f>
        <v>-1.8089849618263545E-13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215.37468832969444</v>
      </c>
      <c r="DU107" s="59">
        <f t="shared" si="98"/>
        <v>208.60212063136419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68.009239399211083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68.009239399211083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-2.2737367544323206E-13</v>
      </c>
      <c r="EK107" s="17">
        <f>EJ107*VLOOKUP('Données projet'!$B$15,Paramètres!$A$1:$I$89,3,0)*VLOOKUP('Données projet'!$B$15,Paramètres!$A$1:$I$89,5,0)</f>
        <v>-1.8089849618263545E-13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215.37468832969444</v>
      </c>
      <c r="EP107" s="59">
        <f t="shared" si="100"/>
        <v>208.60212063136419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68.009239399211083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68.009239399211083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-2.2737367544323206E-13</v>
      </c>
      <c r="FF107" s="17">
        <f>FE107*VLOOKUP('Données projet'!$B$16,Paramètres!$A$1:$I$89,3,0)*VLOOKUP('Données projet'!$B$16,Paramètres!$A$1:$I$89,5,0)</f>
        <v>-1.8444552551954985E-13</v>
      </c>
      <c r="FG107" s="13" t="e">
        <f t="shared" si="101"/>
        <v>#NUM!</v>
      </c>
      <c r="FH107" s="20" t="e">
        <f t="shared" si="76"/>
        <v>#NUM!</v>
      </c>
      <c r="FI107" s="59" t="e">
        <f t="shared" si="77"/>
        <v>#NUM!</v>
      </c>
      <c r="FJ107" s="59">
        <f ca="1">AVERAGE(OFFSET($FI$3,0,0,'Données projet'!$E$16+1,1))-AVERAGE(OFFSET($H$3,0,0,'Données projet'!$E$16+1,1))</f>
        <v>220.90439367987847</v>
      </c>
      <c r="FK107" s="59">
        <f t="shared" si="102"/>
        <v>213.66046131354858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69.342753897234871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69.342753897234871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1">
        <f t="shared" si="86"/>
        <v>23.398088487656434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67">
        <f t="shared" si="56"/>
        <v>482.43320411600155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580</v>
      </c>
      <c r="L108" s="12">
        <f>VLOOKUP(A108,'Données projet'!$A$35:$I$55,9,0)</f>
        <v>10.199999999999999</v>
      </c>
      <c r="M108" s="12">
        <f t="array" ref="M108">INDEX(L:L,MIN(IF(ISNUMBER(L108:L304),ROW(L108:L304),"")))</f>
        <v>10.199999999999999</v>
      </c>
      <c r="N108" s="13">
        <f>IF('Données projet'!$A$36&gt;35,N107+M108-V107,IF(A108&lt;'Données projet'!$A$36,$K$205^A108,IF(A108='Données projet'!$A$36,'Données projet'!$B$36,N107+M108-V107)))</f>
        <v>580.00000000000068</v>
      </c>
      <c r="O108" s="13">
        <f>N108*VLOOKUP('Données projet'!$B$9,Paramètres!$A$1:$I$89,3,0)*VLOOKUP('Données projet'!$B$9,Paramètres!$A$1:$I$89,5,0)</f>
        <v>271.44000000000034</v>
      </c>
      <c r="P108" s="13">
        <f t="shared" si="87"/>
        <v>65.154778959151301</v>
      </c>
      <c r="Q108" s="20">
        <f t="shared" si="107"/>
        <v>586.23590668718907</v>
      </c>
      <c r="R108" s="59">
        <f t="shared" si="55"/>
        <v>879.56924002052233</v>
      </c>
      <c r="S108" s="59">
        <f ca="1">AVERAGE(OFFSET($R$3,0,0,'Données projet'!$E$9+1,1))-AVERAGE(OFFSET($H$3,0,0,'Données projet'!$E$9+1,1))</f>
        <v>196.72624686715807</v>
      </c>
      <c r="T108" s="59">
        <f t="shared" si="88"/>
        <v>37.315661698104691</v>
      </c>
      <c r="U108" s="15">
        <f>IF(ISNA(VLOOKUP(A108,'Données projet'!$A$35:$I$55,3,0)),0,VLOOKUP(A108,'Données projet'!$A$35:$I$55,3,0))</f>
        <v>7</v>
      </c>
      <c r="V108" s="15">
        <f>IF(ISNA(VLOOKUP(A108,'Données projet'!$A$35:$I$55,4,0)),0,VLOOKUP(A108,'Données projet'!$A$35:$I$55,4,0))</f>
        <v>580</v>
      </c>
      <c r="W108" s="16">
        <f>IF(ISNA(VLOOKUP(A108,'Données projet'!$A$35:$I$55,5,0)),0%,VLOOKUP(A108,'Données projet'!$A$35:$I$55,5,0)*VLOOKUP('Données projet'!$B$9,Paramètres!$A$1:$I$89,7,0))</f>
        <v>0.35750000000000004</v>
      </c>
      <c r="X108" s="16">
        <f>IF(ISNA(VLOOKUP(A108,'Données projet'!$A$35:$I$55,6,0)),0%,VLOOKUP(A108,'Données projet'!$A$35:$I$55,6,0)*VLOOKUP('Données projet'!$B$9,Paramètres!$A$1:$I$89,7,0))</f>
        <v>0.13750000000000001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190.03171715117779</v>
      </c>
      <c r="AA108" s="21">
        <f>EXP(-LN(2)/25)*AA107+(1-EXP(-LN(2)/25))/(LN(2)/25)*Calculateur!V108*Calculateur!X108*VLOOKUP('Données projet'!$B$9,Paramètres!$A$1:$I$89,3,0)*0.475*44/12</f>
        <v>75.781303519969171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265.81302067114694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-1.0000000000001137</v>
      </c>
      <c r="AJ108" s="13">
        <f>AI108*VLOOKUP('Données projet'!$B$10,Paramètres!$A$1:$I$89,3,0)*VLOOKUP('Données projet'!$B$10,Paramètres!$A$1:$I$89,5,0)</f>
        <v>-0.55900000000006356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325.42940802362739</v>
      </c>
      <c r="AO108" s="59">
        <f t="shared" si="90"/>
        <v>388.87198417542277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96.116398852655493</v>
      </c>
      <c r="AV108" s="21">
        <f>EXP(-LN(2)/25)*AV107+(1-EXP(-LN(2)/25))/(LN(2)/25)*Calculateur!AQ108*Calculateur!AS108*VLOOKUP('Données projet'!$B$10,Paramètres!$A$1:$I$89,3,0)*0.475*44/12</f>
        <v>25.98941124864551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122.105810101301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</v>
      </c>
      <c r="BE108" s="13">
        <f>BD108*VLOOKUP('Données projet'!$B$11,Paramètres!$A$1:$I$89,3,0)*VLOOKUP('Données projet'!$B$11,Paramètres!$A$1:$I$89,5,0)</f>
        <v>-0.624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162.87524915738271</v>
      </c>
      <c r="BJ108" s="59">
        <f t="shared" si="92"/>
        <v>249.37880137966658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61.322046056966236</v>
      </c>
      <c r="BQ108" s="21">
        <f>EXP(-LN(2)/25)*BQ107+(1-EXP(-LN(2)/25))/(LN(2)/25)*Calculateur!BL108*Calculateur!BN108*VLOOKUP('Données projet'!$B$11,Paramètres!$A$1:$I$89,3,0)*0.475*44/12</f>
        <v>18.323331745331696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79.645377802297929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-1.4210854715202004E-13</v>
      </c>
      <c r="BZ108" s="13">
        <f>BY108*VLOOKUP('Données projet'!$B$12,Paramètres!$A$1:$I$89,3,0)*VLOOKUP('Données projet'!$B$12,Paramètres!$A$1:$I$89,5,0)</f>
        <v>-9.3109520094003535E-14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119.88584888779422</v>
      </c>
      <c r="CE108" s="59">
        <f t="shared" si="94"/>
        <v>162.97244314258774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20.579907852277721</v>
      </c>
      <c r="CL108" s="21">
        <f>EXP(-LN(2)/25)*CL107+(1-EXP(-LN(2)/25))/(LN(2)/25)*Calculateur!CG108*Calculateur!CI108*VLOOKUP('Données projet'!$B$12,Paramètres!$A$1:$I$89,3,0)*0.475*44/12</f>
        <v>7.0730092811903864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27.652917133468108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234</v>
      </c>
      <c r="CR108" s="12">
        <f>VLOOKUP(A108,'Données projet'!$A$139:$I$159,9,0)</f>
        <v>4</v>
      </c>
      <c r="CS108" s="12">
        <f t="array" ref="CS108">INDEX(CR:CR,MIN(IF(ISNUMBER(CR108:CR304),ROW(CR108:CR304),"")))</f>
        <v>4</v>
      </c>
      <c r="CT108" s="12">
        <f>IF('Données projet'!$A$140&gt;35,CT107+CS108-DB107,IF(A108&lt;'Données projet'!$A$140,$CQ$205^A108,IF(A108='Données projet'!$A$140,'Données projet'!$B$140,CT107+CS108-DB107)))</f>
        <v>234</v>
      </c>
      <c r="CU108" s="17">
        <f>CT108*VLOOKUP('Données projet'!$B$13,Paramètres!$A$1:$I$89,3,0)*VLOOKUP('Données projet'!$B$13,Paramètres!$A$1:$I$89,5,0)</f>
        <v>237.27600000000001</v>
      </c>
      <c r="CV108" s="13">
        <f t="shared" si="95"/>
        <v>57.853059819349561</v>
      </c>
      <c r="CW108" s="20">
        <f t="shared" si="67"/>
        <v>514.01644585203383</v>
      </c>
      <c r="CX108" s="59">
        <f t="shared" si="68"/>
        <v>807.3497791853672</v>
      </c>
      <c r="CY108" s="59">
        <f ca="1">AVERAGE(OFFSET($CX$3,0,0,'Données projet'!$E$13+1,1))-AVERAGE(OFFSET($H$3,0,0,'Données projet'!$E$13+1,1))</f>
        <v>261.75887764015459</v>
      </c>
      <c r="CZ108" s="59">
        <f t="shared" si="96"/>
        <v>209.74127356028544</v>
      </c>
      <c r="DA108" s="15">
        <f>IF(ISNA(VLOOKUP(A108,'Données projet'!$A$139:$I$159,3,0)),0,VLOOKUP(A108,'Données projet'!$A$139:$I$159,3,0))</f>
        <v>8</v>
      </c>
      <c r="DB108" s="15">
        <f>IF(ISNA(VLOOKUP(A108,'Données projet'!$A$139:$I$159,4,0)),0,VLOOKUP(A108,'Données projet'!$A$139:$I$159,4,0))</f>
        <v>234</v>
      </c>
      <c r="DC108" s="16">
        <f>IF(ISNA(VLOOKUP(A108,'Données projet'!$A$139:$I$159,5,0)),0%,VLOOKUP(A108,'Données projet'!$A$139:$I$159,5,0)*VLOOKUP('Données projet'!$B$13,Paramètres!$A$1:$I$89,7,0))</f>
        <v>0.27950000000000003</v>
      </c>
      <c r="DD108" s="16">
        <f>IF(ISNA(VLOOKUP(A108,'Données projet'!$A$139:$I$159,6,0)),0%,VLOOKUP(A108,'Données projet'!$A$139:$I$159,6,0)*VLOOKUP('Données projet'!$B$13,Paramètres!$A$1:$I$89,7,0))</f>
        <v>4.3000000000000003E-2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101.99799651636199</v>
      </c>
      <c r="DG108" s="21">
        <f>EXP(-LN(2)/25)*DG107+(1-EXP(-LN(2)/25))/(LN(2)/25)*Calculateur!DB108*Calculateur!DD108*VLOOKUP('Données projet'!$B$13,Paramètres!$A$1:$I$89,3,0)*0.475*44/12</f>
        <v>26.591441623645679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128.58943814000767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-2.2737367544323206E-13</v>
      </c>
      <c r="DP108" s="17">
        <f>DO108*VLOOKUP('Données projet'!$B$14,Paramètres!$A$1:$I$89,3,0)*VLOOKUP('Données projet'!$B$14,Paramètres!$A$1:$I$89,5,0)</f>
        <v>-1.8089849618263545E-13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215.37468832969444</v>
      </c>
      <c r="DU108" s="59">
        <f t="shared" si="98"/>
        <v>208.60212063136419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66.675619696132628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66.675619696132628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-2.2737367544323206E-13</v>
      </c>
      <c r="EK108" s="17">
        <f>EJ108*VLOOKUP('Données projet'!$B$15,Paramètres!$A$1:$I$89,3,0)*VLOOKUP('Données projet'!$B$15,Paramètres!$A$1:$I$89,5,0)</f>
        <v>-1.8089849618263545E-13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215.37468832969444</v>
      </c>
      <c r="EP108" s="59">
        <f t="shared" si="100"/>
        <v>208.60212063136419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66.675619696132628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66.675619696132628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-2.2737367544323206E-13</v>
      </c>
      <c r="FF108" s="17">
        <f>FE108*VLOOKUP('Données projet'!$B$16,Paramètres!$A$1:$I$89,3,0)*VLOOKUP('Données projet'!$B$16,Paramètres!$A$1:$I$89,5,0)</f>
        <v>-1.8444552551954985E-13</v>
      </c>
      <c r="FG108" s="13" t="e">
        <f t="shared" si="101"/>
        <v>#NUM!</v>
      </c>
      <c r="FH108" s="20" t="e">
        <f t="shared" si="76"/>
        <v>#NUM!</v>
      </c>
      <c r="FI108" s="59" t="e">
        <f t="shared" si="77"/>
        <v>#NUM!</v>
      </c>
      <c r="FJ108" s="59">
        <f ca="1">AVERAGE(OFFSET($FI$3,0,0,'Données projet'!$E$16+1,1))-AVERAGE(OFFSET($H$3,0,0,'Données projet'!$E$16+1,1))</f>
        <v>220.90439367987847</v>
      </c>
      <c r="FK108" s="59">
        <f t="shared" si="102"/>
        <v>213.66046131354858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67.982984788213699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67.982984788213699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1">
        <f t="shared" si="86"/>
        <v>23.594880218992504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67">
        <f t="shared" si="56"/>
        <v>484.18878971474516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6.8212102632969618E-13</v>
      </c>
      <c r="O109" s="13">
        <f>N109*VLOOKUP('Données projet'!$B$9,Paramètres!$A$1:$I$89,3,0)*VLOOKUP('Données projet'!$B$9,Paramètres!$A$1:$I$89,5,0)</f>
        <v>3.1923264032229784E-13</v>
      </c>
      <c r="P109" s="13">
        <f t="shared" si="87"/>
        <v>4.1896839804541558E-12</v>
      </c>
      <c r="Q109" s="20">
        <f t="shared" si="107"/>
        <v>7.8530297811856558E-12</v>
      </c>
      <c r="R109" s="59">
        <f t="shared" si="55"/>
        <v>293.33333333334116</v>
      </c>
      <c r="S109" s="59">
        <f ca="1">AVERAGE(OFFSET($R$3,0,0,'Données projet'!$E$9+1,1))-AVERAGE(OFFSET($H$3,0,0,'Données projet'!$E$9+1,1))</f>
        <v>196.72624686715807</v>
      </c>
      <c r="T109" s="59">
        <f t="shared" si="88"/>
        <v>37.315661698104691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186.3053110857457</v>
      </c>
      <c r="AA109" s="21">
        <f>EXP(-LN(2)/25)*AA108+(1-EXP(-LN(2)/25))/(LN(2)/25)*Calculateur!V109*Calculateur!X109*VLOOKUP('Données projet'!$B$9,Paramètres!$A$1:$I$89,3,0)*0.475*44/12</f>
        <v>73.709059790050063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260.01437087579575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-1.0000000000001137</v>
      </c>
      <c r="AJ109" s="13">
        <f>AI109*VLOOKUP('Données projet'!$B$10,Paramètres!$A$1:$I$89,3,0)*VLOOKUP('Données projet'!$B$10,Paramètres!$A$1:$I$89,5,0)</f>
        <v>-0.55900000000006356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325.42940802362739</v>
      </c>
      <c r="AO109" s="59">
        <f t="shared" si="90"/>
        <v>388.87198417542277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94.231614896369464</v>
      </c>
      <c r="AV109" s="21">
        <f>EXP(-LN(2)/25)*AV108+(1-EXP(-LN(2)/25))/(LN(2)/25)*Calculateur!AQ109*Calculateur!AS109*VLOOKUP('Données projet'!$B$10,Paramètres!$A$1:$I$89,3,0)*0.475*44/12</f>
        <v>25.278729431327562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119.51034432769703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</v>
      </c>
      <c r="BE109" s="13">
        <f>BD109*VLOOKUP('Données projet'!$B$11,Paramètres!$A$1:$I$89,3,0)*VLOOKUP('Données projet'!$B$11,Paramètres!$A$1:$I$89,5,0)</f>
        <v>-0.624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162.87524915738271</v>
      </c>
      <c r="BJ109" s="59">
        <f t="shared" si="92"/>
        <v>249.37880137966658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60.119558136544008</v>
      </c>
      <c r="BQ109" s="21">
        <f>EXP(-LN(2)/25)*BQ108+(1-EXP(-LN(2)/25))/(LN(2)/25)*Calculateur!BL109*Calculateur!BN109*VLOOKUP('Données projet'!$B$11,Paramètres!$A$1:$I$89,3,0)*0.475*44/12</f>
        <v>17.822279275173464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77.941837411717472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-1.4210854715202004E-13</v>
      </c>
      <c r="BZ109" s="13">
        <f>BY109*VLOOKUP('Données projet'!$B$12,Paramètres!$A$1:$I$89,3,0)*VLOOKUP('Données projet'!$B$12,Paramètres!$A$1:$I$89,5,0)</f>
        <v>-9.3109520094003535E-14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119.88584888779422</v>
      </c>
      <c r="CE109" s="59">
        <f t="shared" si="94"/>
        <v>162.97244314258774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20.176348411798887</v>
      </c>
      <c r="CL109" s="21">
        <f>EXP(-LN(2)/25)*CL108+(1-EXP(-LN(2)/25))/(LN(2)/25)*Calculateur!CG109*Calculateur!CI109*VLOOKUP('Données projet'!$B$12,Paramètres!$A$1:$I$89,3,0)*0.475*44/12</f>
        <v>6.8795974704428424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27.05594588224173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261.75887764015459</v>
      </c>
      <c r="CZ109" s="59">
        <f t="shared" si="96"/>
        <v>209.74127356028544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99.997878017311024</v>
      </c>
      <c r="DG109" s="21">
        <f>EXP(-LN(2)/25)*DG108+(1-EXP(-LN(2)/25))/(LN(2)/25)*Calculateur!DB109*Calculateur!DD109*VLOOKUP('Données projet'!$B$13,Paramètres!$A$1:$I$89,3,0)*0.475*44/12</f>
        <v>25.864297254063949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125.86217527137498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-2.2737367544323206E-13</v>
      </c>
      <c r="DP109" s="17">
        <f>DO109*VLOOKUP('Données projet'!$B$14,Paramètres!$A$1:$I$89,3,0)*VLOOKUP('Données projet'!$B$14,Paramètres!$A$1:$I$89,5,0)</f>
        <v>-1.8089849618263545E-13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215.37468832969444</v>
      </c>
      <c r="DU109" s="59">
        <f t="shared" si="98"/>
        <v>208.60212063136419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65.368151462003837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65.368151462003837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-2.2737367544323206E-13</v>
      </c>
      <c r="EK109" s="17">
        <f>EJ109*VLOOKUP('Données projet'!$B$15,Paramètres!$A$1:$I$89,3,0)*VLOOKUP('Données projet'!$B$15,Paramètres!$A$1:$I$89,5,0)</f>
        <v>-1.8089849618263545E-13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215.37468832969444</v>
      </c>
      <c r="EP109" s="59">
        <f t="shared" si="100"/>
        <v>208.60212063136419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65.368151462003837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65.368151462003837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-2.2737367544323206E-13</v>
      </c>
      <c r="FF109" s="17">
        <f>FE109*VLOOKUP('Données projet'!$B$16,Paramètres!$A$1:$I$89,3,0)*VLOOKUP('Données projet'!$B$16,Paramètres!$A$1:$I$89,5,0)</f>
        <v>-1.8444552551954985E-13</v>
      </c>
      <c r="FG109" s="13" t="e">
        <f t="shared" si="101"/>
        <v>#NUM!</v>
      </c>
      <c r="FH109" s="20" t="e">
        <f t="shared" si="76"/>
        <v>#NUM!</v>
      </c>
      <c r="FI109" s="59" t="e">
        <f t="shared" si="77"/>
        <v>#NUM!</v>
      </c>
      <c r="FJ109" s="59">
        <f ca="1">AVERAGE(OFFSET($FI$3,0,0,'Données projet'!$E$16+1,1))-AVERAGE(OFFSET($H$3,0,0,'Données projet'!$E$16+1,1))</f>
        <v>220.90439367987847</v>
      </c>
      <c r="FK109" s="59">
        <f t="shared" si="102"/>
        <v>213.66046131354858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66.649879922043169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66.649879922043169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1">
        <f t="shared" si="86"/>
        <v>23.79145596594833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67">
        <f t="shared" si="56"/>
        <v>485.94399914069322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6.8212102632969618E-13</v>
      </c>
      <c r="O110" s="13">
        <f>N110*VLOOKUP('Données projet'!$B$9,Paramètres!$A$1:$I$89,3,0)*VLOOKUP('Données projet'!$B$9,Paramètres!$A$1:$I$89,5,0)</f>
        <v>3.1923264032229784E-13</v>
      </c>
      <c r="P110" s="13">
        <f t="shared" si="87"/>
        <v>4.1896839804541558E-12</v>
      </c>
      <c r="Q110" s="20">
        <f t="shared" si="107"/>
        <v>7.8530297811856558E-12</v>
      </c>
      <c r="R110" s="59">
        <f t="shared" si="55"/>
        <v>293.33333333334116</v>
      </c>
      <c r="S110" s="59">
        <f ca="1">AVERAGE(OFFSET($R$3,0,0,'Données projet'!$E$9+1,1))-AVERAGE(OFFSET($H$3,0,0,'Données projet'!$E$9+1,1))</f>
        <v>196.72624686715807</v>
      </c>
      <c r="T110" s="59">
        <f t="shared" si="88"/>
        <v>37.315661698104691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182.65197757037348</v>
      </c>
      <c r="AA110" s="21">
        <f>EXP(-LN(2)/25)*AA109+(1-EXP(-LN(2)/25))/(LN(2)/25)*Calculateur!V110*Calculateur!X110*VLOOKUP('Données projet'!$B$9,Paramètres!$A$1:$I$89,3,0)*0.475*44/12</f>
        <v>71.693481673900152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254.34545924427363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-1.0000000000001137</v>
      </c>
      <c r="AJ110" s="13">
        <f>AI110*VLOOKUP('Données projet'!$B$10,Paramètres!$A$1:$I$89,3,0)*VLOOKUP('Données projet'!$B$10,Paramètres!$A$1:$I$89,5,0)</f>
        <v>-0.55900000000006356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325.42940802362739</v>
      </c>
      <c r="AO110" s="59">
        <f t="shared" si="90"/>
        <v>388.87198417542277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92.383790403861497</v>
      </c>
      <c r="AV110" s="21">
        <f>EXP(-LN(2)/25)*AV109+(1-EXP(-LN(2)/25))/(LN(2)/25)*Calculateur!AQ110*Calculateur!AS110*VLOOKUP('Données projet'!$B$10,Paramètres!$A$1:$I$89,3,0)*0.475*44/12</f>
        <v>24.587481245677306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116.97127164953881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</v>
      </c>
      <c r="BE110" s="13">
        <f>BD110*VLOOKUP('Données projet'!$B$11,Paramètres!$A$1:$I$89,3,0)*VLOOKUP('Données projet'!$B$11,Paramètres!$A$1:$I$89,5,0)</f>
        <v>-0.624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162.87524915738271</v>
      </c>
      <c r="BJ110" s="59">
        <f t="shared" si="92"/>
        <v>249.37880137966658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58.940650270796048</v>
      </c>
      <c r="BQ110" s="21">
        <f>EXP(-LN(2)/25)*BQ109+(1-EXP(-LN(2)/25))/(LN(2)/25)*Calculateur!BL110*Calculateur!BN110*VLOOKUP('Données projet'!$B$11,Paramètres!$A$1:$I$89,3,0)*0.475*44/12</f>
        <v>17.334928111160913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76.275578381956961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-1.4210854715202004E-13</v>
      </c>
      <c r="BZ110" s="13">
        <f>BY110*VLOOKUP('Données projet'!$B$12,Paramètres!$A$1:$I$89,3,0)*VLOOKUP('Données projet'!$B$12,Paramètres!$A$1:$I$89,5,0)</f>
        <v>-9.3109520094003535E-14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119.88584888779422</v>
      </c>
      <c r="CE110" s="59">
        <f t="shared" si="94"/>
        <v>162.97244314258774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19.780702525800891</v>
      </c>
      <c r="CL110" s="21">
        <f>EXP(-LN(2)/25)*CL109+(1-EXP(-LN(2)/25))/(LN(2)/25)*Calculateur!CG110*Calculateur!CI110*VLOOKUP('Données projet'!$B$12,Paramètres!$A$1:$I$89,3,0)*0.475*44/12</f>
        <v>6.6914745158312758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26.472177041632165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261.75887764015459</v>
      </c>
      <c r="CZ110" s="59">
        <f t="shared" si="96"/>
        <v>209.74127356028544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98.036980622074623</v>
      </c>
      <c r="DG110" s="21">
        <f>EXP(-LN(2)/25)*DG109+(1-EXP(-LN(2)/25))/(LN(2)/25)*Calculateur!DB110*Calculateur!DD110*VLOOKUP('Données projet'!$B$13,Paramètres!$A$1:$I$89,3,0)*0.475*44/12</f>
        <v>25.15703668550729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123.19401730758192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-2.2737367544323206E-13</v>
      </c>
      <c r="DP110" s="17">
        <f>DO110*VLOOKUP('Données projet'!$B$14,Paramètres!$A$1:$I$89,3,0)*VLOOKUP('Données projet'!$B$14,Paramètres!$A$1:$I$89,5,0)</f>
        <v>-1.8089849618263545E-13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215.37468832969444</v>
      </c>
      <c r="DU110" s="59">
        <f t="shared" si="98"/>
        <v>208.60212063136419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64.086321882469434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64.086321882469434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-2.2737367544323206E-13</v>
      </c>
      <c r="EK110" s="17">
        <f>EJ110*VLOOKUP('Données projet'!$B$15,Paramètres!$A$1:$I$89,3,0)*VLOOKUP('Données projet'!$B$15,Paramètres!$A$1:$I$89,5,0)</f>
        <v>-1.8089849618263545E-13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215.37468832969444</v>
      </c>
      <c r="EP110" s="59">
        <f t="shared" si="100"/>
        <v>208.60212063136419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64.086321882469434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64.086321882469434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-2.2737367544323206E-13</v>
      </c>
      <c r="FF110" s="17">
        <f>FE110*VLOOKUP('Données projet'!$B$16,Paramètres!$A$1:$I$89,3,0)*VLOOKUP('Données projet'!$B$16,Paramètres!$A$1:$I$89,5,0)</f>
        <v>-1.8444552551954985E-13</v>
      </c>
      <c r="FG110" s="13" t="e">
        <f t="shared" si="101"/>
        <v>#NUM!</v>
      </c>
      <c r="FH110" s="20" t="e">
        <f t="shared" si="76"/>
        <v>#NUM!</v>
      </c>
      <c r="FI110" s="59" t="e">
        <f t="shared" si="77"/>
        <v>#NUM!</v>
      </c>
      <c r="FJ110" s="59">
        <f ca="1">AVERAGE(OFFSET($FI$3,0,0,'Données projet'!$E$16+1,1))-AVERAGE(OFFSET($H$3,0,0,'Données projet'!$E$16+1,1))</f>
        <v>220.90439367987847</v>
      </c>
      <c r="FK110" s="59">
        <f t="shared" si="102"/>
        <v>213.66046131354858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65.342916429184569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65.342916429184569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1">
        <f t="shared" si="86"/>
        <v>23.987817980868776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67">
        <f t="shared" si="56"/>
        <v>487.69883631667966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6.8212102632969618E-13</v>
      </c>
      <c r="O111" s="13">
        <f>N111*VLOOKUP('Données projet'!$B$9,Paramètres!$A$1:$I$89,3,0)*VLOOKUP('Données projet'!$B$9,Paramètres!$A$1:$I$89,5,0)</f>
        <v>3.1923264032229784E-13</v>
      </c>
      <c r="P111" s="13">
        <f t="shared" si="87"/>
        <v>4.1896839804541558E-12</v>
      </c>
      <c r="Q111" s="20">
        <f t="shared" si="107"/>
        <v>7.8530297811856558E-12</v>
      </c>
      <c r="R111" s="59">
        <f t="shared" si="55"/>
        <v>293.33333333334116</v>
      </c>
      <c r="S111" s="59">
        <f ca="1">AVERAGE(OFFSET($R$3,0,0,'Données projet'!$E$9+1,1))-AVERAGE(OFFSET($H$3,0,0,'Données projet'!$E$9+1,1))</f>
        <v>196.72624686715807</v>
      </c>
      <c r="T111" s="59">
        <f t="shared" si="88"/>
        <v>37.315661698104691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179.07028369692426</v>
      </c>
      <c r="AA111" s="21">
        <f>EXP(-LN(2)/25)*AA110+(1-EXP(-LN(2)/25))/(LN(2)/25)*Calculateur!V111*Calculateur!X111*VLOOKUP('Données projet'!$B$9,Paramètres!$A$1:$I$89,3,0)*0.475*44/12</f>
        <v>69.733019647331005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248.80330334425526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-1.0000000000001137</v>
      </c>
      <c r="AJ111" s="13">
        <f>AI111*VLOOKUP('Données projet'!$B$10,Paramètres!$A$1:$I$89,3,0)*VLOOKUP('Données projet'!$B$10,Paramètres!$A$1:$I$89,5,0)</f>
        <v>-0.55900000000006356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325.42940802362739</v>
      </c>
      <c r="AO111" s="59">
        <f t="shared" si="90"/>
        <v>388.87198417542277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90.572200622589961</v>
      </c>
      <c r="AV111" s="21">
        <f>EXP(-LN(2)/25)*AV110+(1-EXP(-LN(2)/25))/(LN(2)/25)*Calculateur!AQ111*Calculateur!AS111*VLOOKUP('Données projet'!$B$10,Paramètres!$A$1:$I$89,3,0)*0.475*44/12</f>
        <v>23.915135278014816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114.48733590060478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</v>
      </c>
      <c r="BE111" s="13">
        <f>BD111*VLOOKUP('Données projet'!$B$11,Paramètres!$A$1:$I$89,3,0)*VLOOKUP('Données projet'!$B$11,Paramètres!$A$1:$I$89,5,0)</f>
        <v>-0.624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162.87524915738271</v>
      </c>
      <c r="BJ111" s="59">
        <f t="shared" si="92"/>
        <v>249.37880137966658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57.784860069232614</v>
      </c>
      <c r="BQ111" s="21">
        <f>EXP(-LN(2)/25)*BQ110+(1-EXP(-LN(2)/25))/(LN(2)/25)*Calculateur!BL111*Calculateur!BN111*VLOOKUP('Données projet'!$B$11,Paramètres!$A$1:$I$89,3,0)*0.475*44/12</f>
        <v>16.860903590356969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74.645763659589591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-1.4210854715202004E-13</v>
      </c>
      <c r="BZ111" s="13">
        <f>BY111*VLOOKUP('Données projet'!$B$12,Paramètres!$A$1:$I$89,3,0)*VLOOKUP('Données projet'!$B$12,Paramètres!$A$1:$I$89,5,0)</f>
        <v>-9.3109520094003535E-14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119.88584888779422</v>
      </c>
      <c r="CE111" s="59">
        <f t="shared" si="94"/>
        <v>162.97244314258774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19.392815014307153</v>
      </c>
      <c r="CL111" s="21">
        <f>EXP(-LN(2)/25)*CL110+(1-EXP(-LN(2)/25))/(LN(2)/25)*Calculateur!CG111*Calculateur!CI111*VLOOKUP('Données projet'!$B$12,Paramètres!$A$1:$I$89,3,0)*0.475*44/12</f>
        <v>6.5084957933065182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25.901310807613672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261.75887764015459</v>
      </c>
      <c r="CZ111" s="59">
        <f t="shared" si="96"/>
        <v>209.74127356028544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96.114535228729494</v>
      </c>
      <c r="DG111" s="21">
        <f>EXP(-LN(2)/25)*DG110+(1-EXP(-LN(2)/25))/(LN(2)/25)*Calculateur!DB111*Calculateur!DD111*VLOOKUP('Données projet'!$B$13,Paramètres!$A$1:$I$89,3,0)*0.475*44/12</f>
        <v>24.469116194391031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120.58365142312053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-2.2737367544323206E-13</v>
      </c>
      <c r="DP111" s="17">
        <f>DO111*VLOOKUP('Données projet'!$B$14,Paramètres!$A$1:$I$89,3,0)*VLOOKUP('Données projet'!$B$14,Paramètres!$A$1:$I$89,5,0)</f>
        <v>-1.8089849618263545E-13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215.37468832969444</v>
      </c>
      <c r="DU111" s="59">
        <f t="shared" si="98"/>
        <v>208.60212063136419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62.829628199150861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62.829628199150861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-2.2737367544323206E-13</v>
      </c>
      <c r="EK111" s="17">
        <f>EJ111*VLOOKUP('Données projet'!$B$15,Paramètres!$A$1:$I$89,3,0)*VLOOKUP('Données projet'!$B$15,Paramètres!$A$1:$I$89,5,0)</f>
        <v>-1.8089849618263545E-13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215.37468832969444</v>
      </c>
      <c r="EP111" s="59">
        <f t="shared" si="100"/>
        <v>208.60212063136419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62.829628199150861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62.829628199150861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-2.2737367544323206E-13</v>
      </c>
      <c r="FF111" s="17">
        <f>FE111*VLOOKUP('Données projet'!$B$16,Paramètres!$A$1:$I$89,3,0)*VLOOKUP('Données projet'!$B$16,Paramètres!$A$1:$I$89,5,0)</f>
        <v>-1.8444552551954985E-13</v>
      </c>
      <c r="FG111" s="13" t="e">
        <f t="shared" si="101"/>
        <v>#NUM!</v>
      </c>
      <c r="FH111" s="20" t="e">
        <f t="shared" si="76"/>
        <v>#NUM!</v>
      </c>
      <c r="FI111" s="59" t="e">
        <f t="shared" si="77"/>
        <v>#NUM!</v>
      </c>
      <c r="FJ111" s="59">
        <f ca="1">AVERAGE(OFFSET($FI$3,0,0,'Données projet'!$E$16+1,1))-AVERAGE(OFFSET($H$3,0,0,'Données projet'!$E$16+1,1))</f>
        <v>220.90439367987847</v>
      </c>
      <c r="FK111" s="59">
        <f t="shared" si="102"/>
        <v>213.66046131354858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64.06158169325191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64.06158169325191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1">
        <f t="shared" si="86"/>
        <v>24.183968471983022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67">
        <f t="shared" si="56"/>
        <v>489.4533050887037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6.8212102632969618E-13</v>
      </c>
      <c r="O112" s="13">
        <f>N112*VLOOKUP('Données projet'!$B$9,Paramètres!$A$1:$I$89,3,0)*VLOOKUP('Données projet'!$B$9,Paramètres!$A$1:$I$89,5,0)</f>
        <v>3.1923264032229784E-13</v>
      </c>
      <c r="P112" s="13">
        <f t="shared" si="87"/>
        <v>4.1896839804541558E-12</v>
      </c>
      <c r="Q112" s="20">
        <f t="shared" si="107"/>
        <v>7.8530297811856558E-12</v>
      </c>
      <c r="R112" s="59">
        <f t="shared" si="55"/>
        <v>293.33333333334116</v>
      </c>
      <c r="S112" s="59">
        <f ca="1">AVERAGE(OFFSET($R$3,0,0,'Données projet'!$E$9+1,1))-AVERAGE(OFFSET($H$3,0,0,'Données projet'!$E$9+1,1))</f>
        <v>196.72624686715807</v>
      </c>
      <c r="T112" s="59">
        <f t="shared" si="88"/>
        <v>37.315661698104691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175.55882465571585</v>
      </c>
      <c r="AA112" s="21">
        <f>EXP(-LN(2)/25)*AA111+(1-EXP(-LN(2)/25))/(LN(2)/25)*Calculateur!V112*Calculateur!X112*VLOOKUP('Données projet'!$B$9,Paramètres!$A$1:$I$89,3,0)*0.475*44/12</f>
        <v>67.826166557974616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243.38499121369045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-1.0000000000001137</v>
      </c>
      <c r="AJ112" s="13">
        <f>AI112*VLOOKUP('Données projet'!$B$10,Paramètres!$A$1:$I$89,3,0)*VLOOKUP('Données projet'!$B$10,Paramètres!$A$1:$I$89,5,0)</f>
        <v>-0.55900000000006356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325.42940802362739</v>
      </c>
      <c r="AO112" s="59">
        <f t="shared" si="90"/>
        <v>388.87198417542277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88.796135011968502</v>
      </c>
      <c r="AV112" s="21">
        <f>EXP(-LN(2)/25)*AV111+(1-EXP(-LN(2)/25))/(LN(2)/25)*Calculateur!AQ112*Calculateur!AS112*VLOOKUP('Données projet'!$B$10,Paramètres!$A$1:$I$89,3,0)*0.475*44/12</f>
        <v>23.261174646195194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112.05730965816369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</v>
      </c>
      <c r="BE112" s="13">
        <f>BD112*VLOOKUP('Données projet'!$B$11,Paramètres!$A$1:$I$89,3,0)*VLOOKUP('Données projet'!$B$11,Paramètres!$A$1:$I$89,5,0)</f>
        <v>-0.624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162.87524915738271</v>
      </c>
      <c r="BJ112" s="59">
        <f t="shared" si="92"/>
        <v>249.37880137966658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56.651734208559425</v>
      </c>
      <c r="BQ112" s="21">
        <f>EXP(-LN(2)/25)*BQ111+(1-EXP(-LN(2)/25))/(LN(2)/25)*Calculateur!BL112*Calculateur!BN112*VLOOKUP('Données projet'!$B$11,Paramètres!$A$1:$I$89,3,0)*0.475*44/12</f>
        <v>16.399841295002275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73.051575503561708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-1.4210854715202004E-13</v>
      </c>
      <c r="BZ112" s="13">
        <f>BY112*VLOOKUP('Données projet'!$B$12,Paramètres!$A$1:$I$89,3,0)*VLOOKUP('Données projet'!$B$12,Paramètres!$A$1:$I$89,5,0)</f>
        <v>-9.3109520094003535E-14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119.88584888779422</v>
      </c>
      <c r="CE112" s="59">
        <f t="shared" si="94"/>
        <v>162.97244314258774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19.012533740325786</v>
      </c>
      <c r="CL112" s="21">
        <f>EXP(-LN(2)/25)*CL111+(1-EXP(-LN(2)/25))/(LN(2)/25)*Calculateur!CG112*Calculateur!CI112*VLOOKUP('Données projet'!$B$12,Paramètres!$A$1:$I$89,3,0)*0.475*44/12</f>
        <v>6.3305206335716333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25.34305437389742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261.75887764015459</v>
      </c>
      <c r="CZ112" s="59">
        <f t="shared" si="96"/>
        <v>209.74127356028544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94.22978781697195</v>
      </c>
      <c r="DG112" s="21">
        <f>EXP(-LN(2)/25)*DG111+(1-EXP(-LN(2)/25))/(LN(2)/25)*Calculateur!DB112*Calculateur!DD112*VLOOKUP('Données projet'!$B$13,Paramètres!$A$1:$I$89,3,0)*0.475*44/12</f>
        <v>23.800006925280513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118.02979474225246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-2.2737367544323206E-13</v>
      </c>
      <c r="DP112" s="17">
        <f>DO112*VLOOKUP('Données projet'!$B$14,Paramètres!$A$1:$I$89,3,0)*VLOOKUP('Données projet'!$B$14,Paramètres!$A$1:$I$89,5,0)</f>
        <v>-1.8089849618263545E-13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215.37468832969444</v>
      </c>
      <c r="DU112" s="59">
        <f t="shared" si="98"/>
        <v>208.60212063136419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61.597577512454706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61.597577512454706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-2.2737367544323206E-13</v>
      </c>
      <c r="EK112" s="17">
        <f>EJ112*VLOOKUP('Données projet'!$B$15,Paramètres!$A$1:$I$89,3,0)*VLOOKUP('Données projet'!$B$15,Paramètres!$A$1:$I$89,5,0)</f>
        <v>-1.8089849618263545E-13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215.37468832969444</v>
      </c>
      <c r="EP112" s="59">
        <f t="shared" si="100"/>
        <v>208.60212063136419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61.597577512454706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61.597577512454706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-2.2737367544323206E-13</v>
      </c>
      <c r="FF112" s="17">
        <f>FE112*VLOOKUP('Données projet'!$B$16,Paramètres!$A$1:$I$89,3,0)*VLOOKUP('Données projet'!$B$16,Paramètres!$A$1:$I$89,5,0)</f>
        <v>-1.8444552551954985E-13</v>
      </c>
      <c r="FG112" s="13" t="e">
        <f t="shared" si="101"/>
        <v>#NUM!</v>
      </c>
      <c r="FH112" s="20" t="e">
        <f t="shared" si="76"/>
        <v>#NUM!</v>
      </c>
      <c r="FI112" s="59" t="e">
        <f t="shared" si="77"/>
        <v>#NUM!</v>
      </c>
      <c r="FJ112" s="59">
        <f ca="1">AVERAGE(OFFSET($FI$3,0,0,'Données projet'!$E$16+1,1))-AVERAGE(OFFSET($H$3,0,0,'Données projet'!$E$16+1,1))</f>
        <v>220.90439367987847</v>
      </c>
      <c r="FK112" s="59">
        <f t="shared" si="102"/>
        <v>213.66046131354858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62.805373149953866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62.805373149953866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1">
        <f t="shared" si="86"/>
        <v>24.379909604665212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67">
        <f t="shared" si="56"/>
        <v>491.20740922812513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6.8212102632969618E-13</v>
      </c>
      <c r="O113" s="13">
        <f>N113*VLOOKUP('Données projet'!$B$9,Paramètres!$A$1:$I$89,3,0)*VLOOKUP('Données projet'!$B$9,Paramètres!$A$1:$I$89,5,0)</f>
        <v>3.1923264032229784E-13</v>
      </c>
      <c r="P113" s="13">
        <f t="shared" si="87"/>
        <v>4.1896839804541558E-12</v>
      </c>
      <c r="Q113" s="20">
        <f t="shared" si="107"/>
        <v>7.8530297811856558E-12</v>
      </c>
      <c r="R113" s="59">
        <f t="shared" si="55"/>
        <v>293.33333333334116</v>
      </c>
      <c r="S113" s="59">
        <f ca="1">AVERAGE(OFFSET($R$3,0,0,'Données projet'!$E$9+1,1))-AVERAGE(OFFSET($H$3,0,0,'Données projet'!$E$9+1,1))</f>
        <v>196.72624686715807</v>
      </c>
      <c r="T113" s="59">
        <f t="shared" si="88"/>
        <v>37.315661698104691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172.116223184527</v>
      </c>
      <c r="AA113" s="21">
        <f>EXP(-LN(2)/25)*AA112+(1-EXP(-LN(2)/25))/(LN(2)/25)*Calculateur!V113*Calculateur!X113*VLOOKUP('Données projet'!$B$9,Paramètres!$A$1:$I$89,3,0)*0.475*44/12</f>
        <v>65.971456466623721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238.08767965115072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-1.0000000000001137</v>
      </c>
      <c r="AJ113" s="13">
        <f>AI113*VLOOKUP('Données projet'!$B$10,Paramètres!$A$1:$I$89,3,0)*VLOOKUP('Données projet'!$B$10,Paramètres!$A$1:$I$89,5,0)</f>
        <v>-0.55900000000006356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325.42940802362739</v>
      </c>
      <c r="AO113" s="59">
        <f t="shared" si="90"/>
        <v>388.87198417542277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87.054896964678278</v>
      </c>
      <c r="AV113" s="21">
        <f>EXP(-LN(2)/25)*AV112+(1-EXP(-LN(2)/25))/(LN(2)/25)*Calculateur!AQ113*Calculateur!AS113*VLOOKUP('Données projet'!$B$10,Paramètres!$A$1:$I$89,3,0)*0.475*44/12</f>
        <v>22.625096602242976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109.67999356692125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</v>
      </c>
      <c r="BE113" s="13">
        <f>BD113*VLOOKUP('Données projet'!$B$11,Paramètres!$A$1:$I$89,3,0)*VLOOKUP('Données projet'!$B$11,Paramètres!$A$1:$I$89,5,0)</f>
        <v>-0.624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162.87524915738271</v>
      </c>
      <c r="BJ113" s="59">
        <f t="shared" si="92"/>
        <v>249.37880137966658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55.540828254875507</v>
      </c>
      <c r="BQ113" s="21">
        <f>EXP(-LN(2)/25)*BQ112+(1-EXP(-LN(2)/25))/(LN(2)/25)*Calculateur!BL113*Calculateur!BN113*VLOOKUP('Données projet'!$B$11,Paramètres!$A$1:$I$89,3,0)*0.475*44/12</f>
        <v>15.951386772360268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71.492215027235773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-1.4210854715202004E-13</v>
      </c>
      <c r="BZ113" s="13">
        <f>BY113*VLOOKUP('Données projet'!$B$12,Paramètres!$A$1:$I$89,3,0)*VLOOKUP('Données projet'!$B$12,Paramètres!$A$1:$I$89,5,0)</f>
        <v>-9.3109520094003535E-14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119.88584888779422</v>
      </c>
      <c r="CE113" s="59">
        <f t="shared" si="94"/>
        <v>162.97244314258774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18.639709550178519</v>
      </c>
      <c r="CL113" s="21">
        <f>EXP(-LN(2)/25)*CL112+(1-EXP(-LN(2)/25))/(LN(2)/25)*Calculateur!CG113*Calculateur!CI113*VLOOKUP('Données projet'!$B$12,Paramètres!$A$1:$I$89,3,0)*0.475*44/12</f>
        <v>6.1574122139390051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24.797121764117524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261.75887764015459</v>
      </c>
      <c r="CZ113" s="59">
        <f t="shared" si="96"/>
        <v>209.74127356028544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92.381999152376565</v>
      </c>
      <c r="DG113" s="21">
        <f>EXP(-LN(2)/25)*DG112+(1-EXP(-LN(2)/25))/(LN(2)/25)*Calculateur!DB113*Calculateur!DD113*VLOOKUP('Données projet'!$B$13,Paramètres!$A$1:$I$89,3,0)*0.475*44/12</f>
        <v>23.149194484320748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115.53119363669731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-2.2737367544323206E-13</v>
      </c>
      <c r="DP113" s="17">
        <f>DO113*VLOOKUP('Données projet'!$B$14,Paramètres!$A$1:$I$89,3,0)*VLOOKUP('Données projet'!$B$14,Paramètres!$A$1:$I$89,5,0)</f>
        <v>-1.8089849618263545E-13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215.37468832969444</v>
      </c>
      <c r="DU113" s="59">
        <f t="shared" si="98"/>
        <v>208.60212063136419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60.38968658824794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60.38968658824794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-2.2737367544323206E-13</v>
      </c>
      <c r="EK113" s="17">
        <f>EJ113*VLOOKUP('Données projet'!$B$15,Paramètres!$A$1:$I$89,3,0)*VLOOKUP('Données projet'!$B$15,Paramètres!$A$1:$I$89,5,0)</f>
        <v>-1.8089849618263545E-13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215.37468832969444</v>
      </c>
      <c r="EP113" s="59">
        <f t="shared" si="100"/>
        <v>208.60212063136419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60.38968658824794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60.38968658824794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-2.2737367544323206E-13</v>
      </c>
      <c r="FF113" s="17">
        <f>FE113*VLOOKUP('Données projet'!$B$16,Paramètres!$A$1:$I$89,3,0)*VLOOKUP('Données projet'!$B$16,Paramètres!$A$1:$I$89,5,0)</f>
        <v>-1.8444552551954985E-13</v>
      </c>
      <c r="FG113" s="13" t="e">
        <f t="shared" si="101"/>
        <v>#NUM!</v>
      </c>
      <c r="FH113" s="20" t="e">
        <f t="shared" si="76"/>
        <v>#NUM!</v>
      </c>
      <c r="FI113" s="59" t="e">
        <f t="shared" si="77"/>
        <v>#NUM!</v>
      </c>
      <c r="FJ113" s="59">
        <f ca="1">AVERAGE(OFFSET($FI$3,0,0,'Données projet'!$E$16+1,1))-AVERAGE(OFFSET($H$3,0,0,'Données projet'!$E$16+1,1))</f>
        <v>220.90439367987847</v>
      </c>
      <c r="FK113" s="59">
        <f t="shared" si="102"/>
        <v>213.66046131354858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61.573798089978339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61.573798089978339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1">
        <f t="shared" si="86"/>
        <v>24.575643502648031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67">
        <f t="shared" si="56"/>
        <v>492.96115243377858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6.8212102632969618E-13</v>
      </c>
      <c r="O114" s="13">
        <f>N114*VLOOKUP('Données projet'!$B$9,Paramètres!$A$1:$I$89,3,0)*VLOOKUP('Données projet'!$B$9,Paramètres!$A$1:$I$89,5,0)</f>
        <v>3.1923264032229784E-13</v>
      </c>
      <c r="P114" s="13">
        <f t="shared" si="87"/>
        <v>4.1896839804541558E-12</v>
      </c>
      <c r="Q114" s="20">
        <f t="shared" si="107"/>
        <v>7.8530297811856558E-12</v>
      </c>
      <c r="R114" s="59">
        <f t="shared" si="55"/>
        <v>293.33333333334116</v>
      </c>
      <c r="S114" s="59">
        <f ca="1">AVERAGE(OFFSET($R$3,0,0,'Données projet'!$E$9+1,1))-AVERAGE(OFFSET($H$3,0,0,'Données projet'!$E$9+1,1))</f>
        <v>196.72624686715807</v>
      </c>
      <c r="T114" s="59">
        <f t="shared" si="88"/>
        <v>37.315661698104691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168.74112902840861</v>
      </c>
      <c r="AA114" s="21">
        <f>EXP(-LN(2)/25)*AA113+(1-EXP(-LN(2)/25))/(LN(2)/25)*Calculateur!V114*Calculateur!X114*VLOOKUP('Données projet'!$B$9,Paramètres!$A$1:$I$89,3,0)*0.475*44/12</f>
        <v>64.167463520255779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232.90859254866439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-1.0000000000001137</v>
      </c>
      <c r="AJ114" s="13">
        <f>AI114*VLOOKUP('Données projet'!$B$10,Paramètres!$A$1:$I$89,3,0)*VLOOKUP('Données projet'!$B$10,Paramètres!$A$1:$I$89,5,0)</f>
        <v>-0.55900000000006356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325.42940802362739</v>
      </c>
      <c r="AO114" s="59">
        <f t="shared" si="90"/>
        <v>388.87198417542277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85.347803533445074</v>
      </c>
      <c r="AV114" s="21">
        <f>EXP(-LN(2)/25)*AV113+(1-EXP(-LN(2)/25))/(LN(2)/25)*Calculateur!AQ114*Calculateur!AS114*VLOOKUP('Données projet'!$B$10,Paramètres!$A$1:$I$89,3,0)*0.475*44/12</f>
        <v>22.006412145852522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107.3542156792976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</v>
      </c>
      <c r="BE114" s="13">
        <f>BD114*VLOOKUP('Données projet'!$B$11,Paramètres!$A$1:$I$89,3,0)*VLOOKUP('Données projet'!$B$11,Paramètres!$A$1:$I$89,5,0)</f>
        <v>-0.624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162.87524915738271</v>
      </c>
      <c r="BJ114" s="59">
        <f t="shared" si="92"/>
        <v>249.37880137966658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54.451706489357598</v>
      </c>
      <c r="BQ114" s="21">
        <f>EXP(-LN(2)/25)*BQ113+(1-EXP(-LN(2)/25))/(LN(2)/25)*Calculateur!BL114*Calculateur!BN114*VLOOKUP('Données projet'!$B$11,Paramètres!$A$1:$I$89,3,0)*0.475*44/12</f>
        <v>15.515195262223104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69.966901751580707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-1.4210854715202004E-13</v>
      </c>
      <c r="BZ114" s="13">
        <f>BY114*VLOOKUP('Données projet'!$B$12,Paramètres!$A$1:$I$89,3,0)*VLOOKUP('Données projet'!$B$12,Paramètres!$A$1:$I$89,5,0)</f>
        <v>-9.3109520094003535E-14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119.88584888779422</v>
      </c>
      <c r="CE114" s="59">
        <f t="shared" si="94"/>
        <v>162.97244314258774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18.274196214999741</v>
      </c>
      <c r="CL114" s="21">
        <f>EXP(-LN(2)/25)*CL113+(1-EXP(-LN(2)/25))/(LN(2)/25)*Calculateur!CG114*Calculateur!CI114*VLOOKUP('Données projet'!$B$12,Paramètres!$A$1:$I$89,3,0)*0.475*44/12</f>
        <v>5.9890374531446078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24.263233668144348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261.75887764015459</v>
      </c>
      <c r="CZ114" s="59">
        <f t="shared" si="96"/>
        <v>209.74127356028544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90.570444496454101</v>
      </c>
      <c r="DG114" s="21">
        <f>EXP(-LN(2)/25)*DG113+(1-EXP(-LN(2)/25))/(LN(2)/25)*Calculateur!DB114*Calculateur!DD114*VLOOKUP('Données projet'!$B$13,Paramètres!$A$1:$I$89,3,0)*0.475*44/12</f>
        <v>22.516178543783766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113.08662304023787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-2.2737367544323206E-13</v>
      </c>
      <c r="DP114" s="17">
        <f>DO114*VLOOKUP('Données projet'!$B$14,Paramètres!$A$1:$I$89,3,0)*VLOOKUP('Données projet'!$B$14,Paramètres!$A$1:$I$89,5,0)</f>
        <v>-1.8089849618263545E-13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215.37468832969444</v>
      </c>
      <c r="DU114" s="59">
        <f t="shared" si="98"/>
        <v>208.60212063136419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59.205481668324154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59.205481668324154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-2.2737367544323206E-13</v>
      </c>
      <c r="EK114" s="17">
        <f>EJ114*VLOOKUP('Données projet'!$B$15,Paramètres!$A$1:$I$89,3,0)*VLOOKUP('Données projet'!$B$15,Paramètres!$A$1:$I$89,5,0)</f>
        <v>-1.8089849618263545E-13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215.37468832969444</v>
      </c>
      <c r="EP114" s="59">
        <f t="shared" si="100"/>
        <v>208.60212063136419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59.205481668324154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59.205481668324154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-2.2737367544323206E-13</v>
      </c>
      <c r="FF114" s="17">
        <f>FE114*VLOOKUP('Données projet'!$B$16,Paramètres!$A$1:$I$89,3,0)*VLOOKUP('Données projet'!$B$16,Paramètres!$A$1:$I$89,5,0)</f>
        <v>-1.8444552551954985E-13</v>
      </c>
      <c r="FG114" s="13" t="e">
        <f t="shared" si="101"/>
        <v>#NUM!</v>
      </c>
      <c r="FH114" s="20" t="e">
        <f t="shared" si="76"/>
        <v>#NUM!</v>
      </c>
      <c r="FI114" s="59" t="e">
        <f t="shared" si="77"/>
        <v>#NUM!</v>
      </c>
      <c r="FJ114" s="59">
        <f ca="1">AVERAGE(OFFSET($FI$3,0,0,'Données projet'!$E$16+1,1))-AVERAGE(OFFSET($H$3,0,0,'Données projet'!$E$16+1,1))</f>
        <v>220.90439367987847</v>
      </c>
      <c r="FK114" s="59">
        <f t="shared" si="102"/>
        <v>213.66046131354858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60.366373465742321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60.366373465742321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1">
        <f t="shared" si="86"/>
        <v>24.771172249191263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67">
        <f t="shared" si="56"/>
        <v>494.71453833400801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6.8212102632969618E-13</v>
      </c>
      <c r="O115" s="13">
        <f>N115*VLOOKUP('Données projet'!$B$9,Paramètres!$A$1:$I$89,3,0)*VLOOKUP('Données projet'!$B$9,Paramètres!$A$1:$I$89,5,0)</f>
        <v>3.1923264032229784E-13</v>
      </c>
      <c r="P115" s="13">
        <f t="shared" si="87"/>
        <v>4.1896839804541558E-12</v>
      </c>
      <c r="Q115" s="20">
        <f t="shared" si="107"/>
        <v>7.8530297811856558E-12</v>
      </c>
      <c r="R115" s="59">
        <f t="shared" si="55"/>
        <v>293.33333333334116</v>
      </c>
      <c r="S115" s="59">
        <f ca="1">AVERAGE(OFFSET($R$3,0,0,'Données projet'!$E$9+1,1))-AVERAGE(OFFSET($H$3,0,0,'Données projet'!$E$9+1,1))</f>
        <v>196.72624686715807</v>
      </c>
      <c r="T115" s="59">
        <f t="shared" si="88"/>
        <v>37.315661698104691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165.43221841008753</v>
      </c>
      <c r="AA115" s="21">
        <f>EXP(-LN(2)/25)*AA114+(1-EXP(-LN(2)/25))/(LN(2)/25)*Calculateur!V115*Calculateur!X115*VLOOKUP('Données projet'!$B$9,Paramètres!$A$1:$I$89,3,0)*0.475*44/12</f>
        <v>62.412800855874139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227.84501926596167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-1.0000000000001137</v>
      </c>
      <c r="AJ115" s="13">
        <f>AI115*VLOOKUP('Données projet'!$B$10,Paramètres!$A$1:$I$89,3,0)*VLOOKUP('Données projet'!$B$10,Paramètres!$A$1:$I$89,5,0)</f>
        <v>-0.55900000000006356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325.42940802362739</v>
      </c>
      <c r="AO115" s="59">
        <f t="shared" si="90"/>
        <v>388.87198417542277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83.674185163174172</v>
      </c>
      <c r="AV115" s="21">
        <f>EXP(-LN(2)/25)*AV114+(1-EXP(-LN(2)/25))/(LN(2)/25)*Calculateur!AQ115*Calculateur!AS115*VLOOKUP('Données projet'!$B$10,Paramètres!$A$1:$I$89,3,0)*0.475*44/12</f>
        <v>21.404645648457265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105.07883081163143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</v>
      </c>
      <c r="BE115" s="13">
        <f>BD115*VLOOKUP('Données projet'!$B$11,Paramètres!$A$1:$I$89,3,0)*VLOOKUP('Données projet'!$B$11,Paramètres!$A$1:$I$89,5,0)</f>
        <v>-0.624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162.87524915738271</v>
      </c>
      <c r="BJ115" s="59">
        <f t="shared" si="92"/>
        <v>249.37880137966658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53.383941737362818</v>
      </c>
      <c r="BQ115" s="21">
        <f>EXP(-LN(2)/25)*BQ114+(1-EXP(-LN(2)/25))/(LN(2)/25)*Calculateur!BL115*Calculateur!BN115*VLOOKUP('Données projet'!$B$11,Paramètres!$A$1:$I$89,3,0)*0.475*44/12</f>
        <v>15.090931431868954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68.47487316923177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-1.4210854715202004E-13</v>
      </c>
      <c r="BZ115" s="13">
        <f>BY115*VLOOKUP('Données projet'!$B$12,Paramètres!$A$1:$I$89,3,0)*VLOOKUP('Données projet'!$B$12,Paramètres!$A$1:$I$89,5,0)</f>
        <v>-9.3109520094003535E-14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119.88584888779422</v>
      </c>
      <c r="CE115" s="59">
        <f t="shared" si="94"/>
        <v>162.97244314258774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17.915850373382696</v>
      </c>
      <c r="CL115" s="21">
        <f>EXP(-LN(2)/25)*CL114+(1-EXP(-LN(2)/25))/(LN(2)/25)*Calculateur!CG115*Calculateur!CI115*VLOOKUP('Données projet'!$B$12,Paramètres!$A$1:$I$89,3,0)*0.475*44/12</f>
        <v>5.8252669090385769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23.741117282421271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261.75887764015459</v>
      </c>
      <c r="CZ115" s="59">
        <f t="shared" si="96"/>
        <v>209.74127356028544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88.79441332239503</v>
      </c>
      <c r="DG115" s="21">
        <f>EXP(-LN(2)/25)*DG114+(1-EXP(-LN(2)/25))/(LN(2)/25)*Calculateur!DB115*Calculateur!DD115*VLOOKUP('Données projet'!$B$13,Paramètres!$A$1:$I$89,3,0)*0.475*44/12</f>
        <v>21.900472457429633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110.69488577982466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-2.2737367544323206E-13</v>
      </c>
      <c r="DP115" s="17">
        <f>DO115*VLOOKUP('Données projet'!$B$14,Paramètres!$A$1:$I$89,3,0)*VLOOKUP('Données projet'!$B$14,Paramètres!$A$1:$I$89,5,0)</f>
        <v>-1.8089849618263545E-13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215.37468832969444</v>
      </c>
      <c r="DU115" s="59">
        <f t="shared" si="98"/>
        <v>208.60212063136419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58.044498284586396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58.044498284586396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-2.2737367544323206E-13</v>
      </c>
      <c r="EK115" s="17">
        <f>EJ115*VLOOKUP('Données projet'!$B$15,Paramètres!$A$1:$I$89,3,0)*VLOOKUP('Données projet'!$B$15,Paramètres!$A$1:$I$89,5,0)</f>
        <v>-1.8089849618263545E-13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215.37468832969444</v>
      </c>
      <c r="EP115" s="59">
        <f t="shared" si="100"/>
        <v>208.60212063136419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58.044498284586396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58.044498284586396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-2.2737367544323206E-13</v>
      </c>
      <c r="FF115" s="17">
        <f>FE115*VLOOKUP('Données projet'!$B$16,Paramètres!$A$1:$I$89,3,0)*VLOOKUP('Données projet'!$B$16,Paramètres!$A$1:$I$89,5,0)</f>
        <v>-1.8444552551954985E-13</v>
      </c>
      <c r="FG115" s="13" t="e">
        <f t="shared" si="101"/>
        <v>#NUM!</v>
      </c>
      <c r="FH115" s="20" t="e">
        <f t="shared" si="76"/>
        <v>#NUM!</v>
      </c>
      <c r="FI115" s="59" t="e">
        <f t="shared" si="77"/>
        <v>#NUM!</v>
      </c>
      <c r="FJ115" s="59">
        <f ca="1">AVERAGE(OFFSET($FI$3,0,0,'Données projet'!$E$16+1,1))-AVERAGE(OFFSET($H$3,0,0,'Données projet'!$E$16+1,1))</f>
        <v>220.90439367987847</v>
      </c>
      <c r="FK115" s="59">
        <f t="shared" si="102"/>
        <v>213.66046131354858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59.182625701931272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59.182625701931272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1">
        <f t="shared" si="86"/>
        <v>24.966497888207424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67">
        <f t="shared" si="56"/>
        <v>496.46757048862781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6.8212102632969618E-13</v>
      </c>
      <c r="O116" s="13">
        <f>N116*VLOOKUP('Données projet'!$B$9,Paramètres!$A$1:$I$89,3,0)*VLOOKUP('Données projet'!$B$9,Paramètres!$A$1:$I$89,5,0)</f>
        <v>3.1923264032229784E-13</v>
      </c>
      <c r="P116" s="13">
        <f t="shared" si="87"/>
        <v>4.1896839804541558E-12</v>
      </c>
      <c r="Q116" s="20">
        <f t="shared" si="107"/>
        <v>7.8530297811856558E-12</v>
      </c>
      <c r="R116" s="59">
        <f t="shared" si="55"/>
        <v>293.33333333334116</v>
      </c>
      <c r="S116" s="59">
        <f ca="1">AVERAGE(OFFSET($R$3,0,0,'Données projet'!$E$9+1,1))-AVERAGE(OFFSET($H$3,0,0,'Données projet'!$E$9+1,1))</f>
        <v>196.72624686715807</v>
      </c>
      <c r="T116" s="59">
        <f t="shared" si="88"/>
        <v>37.315661698104691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162.18819351075553</v>
      </c>
      <c r="AA116" s="21">
        <f>EXP(-LN(2)/25)*AA115+(1-EXP(-LN(2)/25))/(LN(2)/25)*Calculateur!V116*Calculateur!X116*VLOOKUP('Données projet'!$B$9,Paramètres!$A$1:$I$89,3,0)*0.475*44/12</f>
        <v>60.706119534323712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222.89431304507923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-1.0000000000001137</v>
      </c>
      <c r="AJ116" s="13">
        <f>AI116*VLOOKUP('Données projet'!$B$10,Paramètres!$A$1:$I$89,3,0)*VLOOKUP('Données projet'!$B$10,Paramètres!$A$1:$I$89,5,0)</f>
        <v>-0.55900000000006356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325.42940802362739</v>
      </c>
      <c r="AO116" s="59">
        <f t="shared" si="90"/>
        <v>388.87198417542277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82.033385428337866</v>
      </c>
      <c r="AV116" s="21">
        <f>EXP(-LN(2)/25)*AV115+(1-EXP(-LN(2)/25))/(LN(2)/25)*Calculateur!AQ116*Calculateur!AS116*VLOOKUP('Données projet'!$B$10,Paramètres!$A$1:$I$89,3,0)*0.475*44/12</f>
        <v>20.819334487578807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102.85271991591668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</v>
      </c>
      <c r="BE116" s="13">
        <f>BD116*VLOOKUP('Données projet'!$B$11,Paramètres!$A$1:$I$89,3,0)*VLOOKUP('Données projet'!$B$11,Paramètres!$A$1:$I$89,5,0)</f>
        <v>-0.624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162.87524915738271</v>
      </c>
      <c r="BJ116" s="59">
        <f t="shared" si="92"/>
        <v>249.37880137966658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52.337115200882465</v>
      </c>
      <c r="BQ116" s="21">
        <f>EXP(-LN(2)/25)*BQ115+(1-EXP(-LN(2)/25))/(LN(2)/25)*Calculateur!BL116*Calculateur!BN116*VLOOKUP('Données projet'!$B$11,Paramètres!$A$1:$I$89,3,0)*0.475*44/12</f>
        <v>14.678269118266904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67.015384319149376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-1.4210854715202004E-13</v>
      </c>
      <c r="BZ116" s="13">
        <f>BY116*VLOOKUP('Données projet'!$B$12,Paramètres!$A$1:$I$89,3,0)*VLOOKUP('Données projet'!$B$12,Paramètres!$A$1:$I$89,5,0)</f>
        <v>-9.3109520094003535E-14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119.88584888779422</v>
      </c>
      <c r="CE116" s="59">
        <f t="shared" si="94"/>
        <v>162.97244314258774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17.564531475150378</v>
      </c>
      <c r="CL116" s="21">
        <f>EXP(-LN(2)/25)*CL115+(1-EXP(-LN(2)/25))/(LN(2)/25)*Calculateur!CG116*Calculateur!CI116*VLOOKUP('Données projet'!$B$12,Paramètres!$A$1:$I$89,3,0)*0.475*44/12</f>
        <v>5.665974679073444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23.230506154223821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261.75887764015459</v>
      </c>
      <c r="CZ116" s="59">
        <f t="shared" si="96"/>
        <v>209.74127356028544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87.053209036387216</v>
      </c>
      <c r="DG116" s="21">
        <f>EXP(-LN(2)/25)*DG115+(1-EXP(-LN(2)/25))/(LN(2)/25)*Calculateur!DB116*Calculateur!DD116*VLOOKUP('Données projet'!$B$13,Paramètres!$A$1:$I$89,3,0)*0.475*44/12</f>
        <v>21.301602886385428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108.35481192277264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-2.2737367544323206E-13</v>
      </c>
      <c r="DP116" s="17">
        <f>DO116*VLOOKUP('Données projet'!$B$14,Paramètres!$A$1:$I$89,3,0)*VLOOKUP('Données projet'!$B$14,Paramètres!$A$1:$I$89,5,0)</f>
        <v>-1.8089849618263545E-13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215.37468832969444</v>
      </c>
      <c r="DU116" s="59">
        <f t="shared" si="98"/>
        <v>208.60212063136419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56.906281076873789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56.906281076873789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-2.2737367544323206E-13</v>
      </c>
      <c r="EK116" s="17">
        <f>EJ116*VLOOKUP('Données projet'!$B$15,Paramètres!$A$1:$I$89,3,0)*VLOOKUP('Données projet'!$B$15,Paramètres!$A$1:$I$89,5,0)</f>
        <v>-1.8089849618263545E-13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215.37468832969444</v>
      </c>
      <c r="EP116" s="59">
        <f t="shared" si="100"/>
        <v>208.60212063136419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56.906281076873789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56.906281076873789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-2.2737367544323206E-13</v>
      </c>
      <c r="FF116" s="17">
        <f>FE116*VLOOKUP('Données projet'!$B$16,Paramètres!$A$1:$I$89,3,0)*VLOOKUP('Données projet'!$B$16,Paramètres!$A$1:$I$89,5,0)</f>
        <v>-1.8444552551954985E-13</v>
      </c>
      <c r="FG116" s="13" t="e">
        <f t="shared" si="101"/>
        <v>#NUM!</v>
      </c>
      <c r="FH116" s="20" t="e">
        <f t="shared" si="76"/>
        <v>#NUM!</v>
      </c>
      <c r="FI116" s="59" t="e">
        <f t="shared" si="77"/>
        <v>#NUM!</v>
      </c>
      <c r="FJ116" s="59">
        <f ca="1">AVERAGE(OFFSET($FI$3,0,0,'Données projet'!$E$16+1,1))-AVERAGE(OFFSET($H$3,0,0,'Données projet'!$E$16+1,1))</f>
        <v>220.90439367987847</v>
      </c>
      <c r="FK116" s="59">
        <f t="shared" si="102"/>
        <v>213.66046131354858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58.02209050975371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58.02209050975371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1">
        <f t="shared" si="86"/>
        <v>25.161622425346401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67">
        <f t="shared" si="56"/>
        <v>498.22025239081154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6.8212102632969618E-13</v>
      </c>
      <c r="O117" s="13">
        <f>N117*VLOOKUP('Données projet'!$B$9,Paramètres!$A$1:$I$89,3,0)*VLOOKUP('Données projet'!$B$9,Paramètres!$A$1:$I$89,5,0)</f>
        <v>3.1923264032229784E-13</v>
      </c>
      <c r="P117" s="13">
        <f t="shared" si="87"/>
        <v>4.1896839804541558E-12</v>
      </c>
      <c r="Q117" s="20">
        <f t="shared" si="107"/>
        <v>7.8530297811856558E-12</v>
      </c>
      <c r="R117" s="59">
        <f t="shared" si="55"/>
        <v>293.33333333334116</v>
      </c>
      <c r="S117" s="59">
        <f ca="1">AVERAGE(OFFSET($R$3,0,0,'Données projet'!$E$9+1,1))-AVERAGE(OFFSET($H$3,0,0,'Données projet'!$E$9+1,1))</f>
        <v>196.72624686715807</v>
      </c>
      <c r="T117" s="59">
        <f t="shared" si="88"/>
        <v>37.315661698104691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159.00778196103963</v>
      </c>
      <c r="AA117" s="21">
        <f>EXP(-LN(2)/25)*AA116+(1-EXP(-LN(2)/25))/(LN(2)/25)*Calculateur!V117*Calculateur!X117*VLOOKUP('Données projet'!$B$9,Paramètres!$A$1:$I$89,3,0)*0.475*44/12</f>
        <v>59.046107503261553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218.05388946430116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-1.0000000000001137</v>
      </c>
      <c r="AJ117" s="13">
        <f>AI117*VLOOKUP('Données projet'!$B$10,Paramètres!$A$1:$I$89,3,0)*VLOOKUP('Données projet'!$B$10,Paramètres!$A$1:$I$89,5,0)</f>
        <v>-0.55900000000006356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325.42940802362739</v>
      </c>
      <c r="AO117" s="59">
        <f t="shared" si="90"/>
        <v>388.87198417542277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80.424760775512681</v>
      </c>
      <c r="AV117" s="21">
        <f>EXP(-LN(2)/25)*AV116+(1-EXP(-LN(2)/25))/(LN(2)/25)*Calculateur!AQ117*Calculateur!AS117*VLOOKUP('Données projet'!$B$10,Paramètres!$A$1:$I$89,3,0)*0.475*44/12</f>
        <v>20.250028691174748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100.67478946668743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</v>
      </c>
      <c r="BE117" s="13">
        <f>BD117*VLOOKUP('Données projet'!$B$11,Paramètres!$A$1:$I$89,3,0)*VLOOKUP('Données projet'!$B$11,Paramètres!$A$1:$I$89,5,0)</f>
        <v>-0.624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162.87524915738271</v>
      </c>
      <c r="BJ117" s="59">
        <f t="shared" si="92"/>
        <v>249.37880137966658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51.310816294281352</v>
      </c>
      <c r="BQ117" s="21">
        <f>EXP(-LN(2)/25)*BQ116+(1-EXP(-LN(2)/25))/(LN(2)/25)*Calculateur!BL117*Calculateur!BN117*VLOOKUP('Données projet'!$B$11,Paramètres!$A$1:$I$89,3,0)*0.475*44/12</f>
        <v>14.276891077331271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65.587707371612623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-1.4210854715202004E-13</v>
      </c>
      <c r="BZ117" s="13">
        <f>BY117*VLOOKUP('Données projet'!$B$12,Paramètres!$A$1:$I$89,3,0)*VLOOKUP('Données projet'!$B$12,Paramètres!$A$1:$I$89,5,0)</f>
        <v>-9.3109520094003535E-14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119.88584888779422</v>
      </c>
      <c r="CE117" s="59">
        <f t="shared" si="94"/>
        <v>162.97244314258774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17.220101726229029</v>
      </c>
      <c r="CL117" s="21">
        <f>EXP(-LN(2)/25)*CL116+(1-EXP(-LN(2)/25))/(LN(2)/25)*Calculateur!CG117*Calculateur!CI117*VLOOKUP('Données projet'!$B$12,Paramètres!$A$1:$I$89,3,0)*0.475*44/12</f>
        <v>5.511038303513522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22.731140029742551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261.75887764015459</v>
      </c>
      <c r="CZ117" s="59">
        <f t="shared" si="96"/>
        <v>209.74127356028544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85.34614870439826</v>
      </c>
      <c r="DG117" s="21">
        <f>EXP(-LN(2)/25)*DG116+(1-EXP(-LN(2)/25))/(LN(2)/25)*Calculateur!DB117*Calculateur!DD117*VLOOKUP('Données projet'!$B$13,Paramètres!$A$1:$I$89,3,0)*0.475*44/12</f>
        <v>20.719109435254609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106.06525813965287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-2.2737367544323206E-13</v>
      </c>
      <c r="DP117" s="17">
        <f>DO117*VLOOKUP('Données projet'!$B$14,Paramètres!$A$1:$I$89,3,0)*VLOOKUP('Données projet'!$B$14,Paramètres!$A$1:$I$89,5,0)</f>
        <v>-1.8089849618263545E-13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215.37468832969444</v>
      </c>
      <c r="DU117" s="59">
        <f t="shared" si="98"/>
        <v>208.60212063136419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55.790383614360479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55.790383614360479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-2.2737367544323206E-13</v>
      </c>
      <c r="EK117" s="17">
        <f>EJ117*VLOOKUP('Données projet'!$B$15,Paramètres!$A$1:$I$89,3,0)*VLOOKUP('Données projet'!$B$15,Paramètres!$A$1:$I$89,5,0)</f>
        <v>-1.8089849618263545E-13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215.37468832969444</v>
      </c>
      <c r="EP117" s="59">
        <f t="shared" si="100"/>
        <v>208.60212063136419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55.790383614360479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55.790383614360479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-2.2737367544323206E-13</v>
      </c>
      <c r="FF117" s="17">
        <f>FE117*VLOOKUP('Données projet'!$B$16,Paramètres!$A$1:$I$89,3,0)*VLOOKUP('Données projet'!$B$16,Paramètres!$A$1:$I$89,5,0)</f>
        <v>-1.8444552551954985E-13</v>
      </c>
      <c r="FG117" s="13" t="e">
        <f t="shared" si="101"/>
        <v>#NUM!</v>
      </c>
      <c r="FH117" s="20" t="e">
        <f t="shared" si="76"/>
        <v>#NUM!</v>
      </c>
      <c r="FI117" s="59" t="e">
        <f t="shared" si="77"/>
        <v>#NUM!</v>
      </c>
      <c r="FJ117" s="59">
        <f ca="1">AVERAGE(OFFSET($FI$3,0,0,'Données projet'!$E$16+1,1))-AVERAGE(OFFSET($H$3,0,0,'Données projet'!$E$16+1,1))</f>
        <v>220.90439367987847</v>
      </c>
      <c r="FK117" s="59">
        <f t="shared" si="102"/>
        <v>213.66046131354858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56.88431270483818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56.88431270483818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1">
        <f t="shared" si="86"/>
        <v>25.356547829040977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67">
        <f t="shared" si="56"/>
        <v>499.97258746891293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6.8212102632969618E-13</v>
      </c>
      <c r="O118" s="13">
        <f>N118*VLOOKUP('Données projet'!$B$9,Paramètres!$A$1:$I$89,3,0)*VLOOKUP('Données projet'!$B$9,Paramètres!$A$1:$I$89,5,0)</f>
        <v>3.1923264032229784E-13</v>
      </c>
      <c r="P118" s="13">
        <f t="shared" si="87"/>
        <v>4.1896839804541558E-12</v>
      </c>
      <c r="Q118" s="20">
        <f t="shared" si="107"/>
        <v>7.8530297811856558E-12</v>
      </c>
      <c r="R118" s="59">
        <f t="shared" si="55"/>
        <v>293.33333333334116</v>
      </c>
      <c r="S118" s="59">
        <f ca="1">AVERAGE(OFFSET($R$3,0,0,'Données projet'!$E$9+1,1))-AVERAGE(OFFSET($H$3,0,0,'Données projet'!$E$9+1,1))</f>
        <v>196.72624686715807</v>
      </c>
      <c r="T118" s="59">
        <f t="shared" si="88"/>
        <v>37.315661698104691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155.88973634195415</v>
      </c>
      <c r="AA118" s="21">
        <f>EXP(-LN(2)/25)*AA117+(1-EXP(-LN(2)/25))/(LN(2)/25)*Calculateur!V118*Calculateur!X118*VLOOKUP('Données projet'!$B$9,Paramètres!$A$1:$I$89,3,0)*0.475*44/12</f>
        <v>57.431488588485024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213.32122493043917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-1.0000000000001137</v>
      </c>
      <c r="AJ118" s="13">
        <f>AI118*VLOOKUP('Données projet'!$B$10,Paramètres!$A$1:$I$89,3,0)*VLOOKUP('Données projet'!$B$10,Paramètres!$A$1:$I$89,5,0)</f>
        <v>-0.55900000000006356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325.42940802362739</v>
      </c>
      <c r="AO118" s="59">
        <f t="shared" si="90"/>
        <v>388.87198417542277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78.847680270965242</v>
      </c>
      <c r="AV118" s="21">
        <f>EXP(-LN(2)/25)*AV117+(1-EXP(-LN(2)/25))/(LN(2)/25)*Calculateur!AQ118*Calculateur!AS118*VLOOKUP('Données projet'!$B$10,Paramètres!$A$1:$I$89,3,0)*0.475*44/12</f>
        <v>19.696290591711847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98.543970862677085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</v>
      </c>
      <c r="BE118" s="13">
        <f>BD118*VLOOKUP('Données projet'!$B$11,Paramètres!$A$1:$I$89,3,0)*VLOOKUP('Données projet'!$B$11,Paramètres!$A$1:$I$89,5,0)</f>
        <v>-0.624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162.87524915738271</v>
      </c>
      <c r="BJ118" s="59">
        <f t="shared" si="92"/>
        <v>249.37880137966658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50.304642483258164</v>
      </c>
      <c r="BQ118" s="21">
        <f>EXP(-LN(2)/25)*BQ117+(1-EXP(-LN(2)/25))/(LN(2)/25)*Calculateur!BL118*Calculateur!BN118*VLOOKUP('Données projet'!$B$11,Paramètres!$A$1:$I$89,3,0)*0.475*44/12</f>
        <v>13.886488740032576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64.191131223290739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-1.4210854715202004E-13</v>
      </c>
      <c r="BZ118" s="13">
        <f>BY118*VLOOKUP('Données projet'!$B$12,Paramètres!$A$1:$I$89,3,0)*VLOOKUP('Données projet'!$B$12,Paramètres!$A$1:$I$89,5,0)</f>
        <v>-9.3109520094003535E-14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119.88584888779422</v>
      </c>
      <c r="CE118" s="59">
        <f t="shared" si="94"/>
        <v>162.97244314258774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16.882426034602624</v>
      </c>
      <c r="CL118" s="21">
        <f>EXP(-LN(2)/25)*CL117+(1-EXP(-LN(2)/25))/(LN(2)/25)*Calculateur!CG118*Calculateur!CI118*VLOOKUP('Données projet'!$B$12,Paramètres!$A$1:$I$89,3,0)*0.475*44/12</f>
        <v>5.3603386712910357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22.242764705893659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261.75887764015459</v>
      </c>
      <c r="CZ118" s="59">
        <f t="shared" si="96"/>
        <v>209.74127356028544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83.672562784315616</v>
      </c>
      <c r="DG118" s="21">
        <f>EXP(-LN(2)/25)*DG117+(1-EXP(-LN(2)/25))/(LN(2)/25)*Calculateur!DB118*Calculateur!DD118*VLOOKUP('Données projet'!$B$13,Paramètres!$A$1:$I$89,3,0)*0.475*44/12</f>
        <v>20.152544298176959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103.82510708249258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-2.2737367544323206E-13</v>
      </c>
      <c r="DP118" s="17">
        <f>DO118*VLOOKUP('Données projet'!$B$14,Paramètres!$A$1:$I$89,3,0)*VLOOKUP('Données projet'!$B$14,Paramètres!$A$1:$I$89,5,0)</f>
        <v>-1.8089849618263545E-13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215.37468832969444</v>
      </c>
      <c r="DU118" s="59">
        <f t="shared" si="98"/>
        <v>208.60212063136419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54.696368220456812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54.696368220456812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-2.2737367544323206E-13</v>
      </c>
      <c r="EK118" s="17">
        <f>EJ118*VLOOKUP('Données projet'!$B$15,Paramètres!$A$1:$I$89,3,0)*VLOOKUP('Données projet'!$B$15,Paramètres!$A$1:$I$89,5,0)</f>
        <v>-1.8089849618263545E-13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215.37468832969444</v>
      </c>
      <c r="EP118" s="59">
        <f t="shared" si="100"/>
        <v>208.60212063136419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54.696368220456812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54.696368220456812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-2.2737367544323206E-13</v>
      </c>
      <c r="FF118" s="17">
        <f>FE118*VLOOKUP('Données projet'!$B$16,Paramètres!$A$1:$I$89,3,0)*VLOOKUP('Données projet'!$B$16,Paramètres!$A$1:$I$89,5,0)</f>
        <v>-1.8444552551954985E-13</v>
      </c>
      <c r="FG118" s="13" t="e">
        <f t="shared" si="101"/>
        <v>#NUM!</v>
      </c>
      <c r="FH118" s="20" t="e">
        <f t="shared" si="76"/>
        <v>#NUM!</v>
      </c>
      <c r="FI118" s="59" t="e">
        <f t="shared" si="77"/>
        <v>#NUM!</v>
      </c>
      <c r="FJ118" s="59">
        <f ca="1">AVERAGE(OFFSET($FI$3,0,0,'Données projet'!$E$16+1,1))-AVERAGE(OFFSET($H$3,0,0,'Données projet'!$E$16+1,1))</f>
        <v>220.90439367987847</v>
      </c>
      <c r="FK118" s="59">
        <f t="shared" si="102"/>
        <v>213.66046131354858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55.768846028701105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55.768846028701105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1">
        <f t="shared" si="86"/>
        <v>25.551276031514817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67">
        <f t="shared" si="56"/>
        <v>501.7245790882215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6.8212102632969618E-13</v>
      </c>
      <c r="O119" s="13">
        <f>N119*VLOOKUP('Données projet'!$B$9,Paramètres!$A$1:$I$89,3,0)*VLOOKUP('Données projet'!$B$9,Paramètres!$A$1:$I$89,5,0)</f>
        <v>3.1923264032229784E-13</v>
      </c>
      <c r="P119" s="13">
        <f t="shared" si="87"/>
        <v>4.1896839804541558E-12</v>
      </c>
      <c r="Q119" s="20">
        <f t="shared" si="107"/>
        <v>7.8530297811856558E-12</v>
      </c>
      <c r="R119" s="59">
        <f t="shared" si="55"/>
        <v>293.33333333334116</v>
      </c>
      <c r="S119" s="59">
        <f ca="1">AVERAGE(OFFSET($R$3,0,0,'Données projet'!$E$9+1,1))-AVERAGE(OFFSET($H$3,0,0,'Données projet'!$E$9+1,1))</f>
        <v>196.72624686715807</v>
      </c>
      <c r="T119" s="59">
        <f t="shared" si="88"/>
        <v>37.315661698104691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152.8328336956389</v>
      </c>
      <c r="AA119" s="21">
        <f>EXP(-LN(2)/25)*AA118+(1-EXP(-LN(2)/25))/(LN(2)/25)*Calculateur!V119*Calculateur!X119*VLOOKUP('Données projet'!$B$9,Paramètres!$A$1:$I$89,3,0)*0.475*44/12</f>
        <v>55.861021512842179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208.69385520848107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-1.0000000000001137</v>
      </c>
      <c r="AJ119" s="13">
        <f>AI119*VLOOKUP('Données projet'!$B$10,Paramètres!$A$1:$I$89,3,0)*VLOOKUP('Données projet'!$B$10,Paramètres!$A$1:$I$89,5,0)</f>
        <v>-0.55900000000006356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325.42940802362739</v>
      </c>
      <c r="AO119" s="59">
        <f t="shared" si="90"/>
        <v>388.87198417542277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77.301525353187856</v>
      </c>
      <c r="AV119" s="21">
        <f>EXP(-LN(2)/25)*AV118+(1-EXP(-LN(2)/25))/(LN(2)/25)*Calculateur!AQ119*Calculateur!AS119*VLOOKUP('Données projet'!$B$10,Paramètres!$A$1:$I$89,3,0)*0.475*44/12</f>
        <v>19.157694489698581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96.459219842886441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</v>
      </c>
      <c r="BE119" s="13">
        <f>BD119*VLOOKUP('Données projet'!$B$11,Paramètres!$A$1:$I$89,3,0)*VLOOKUP('Données projet'!$B$11,Paramètres!$A$1:$I$89,5,0)</f>
        <v>-0.624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162.87524915738271</v>
      </c>
      <c r="BJ119" s="59">
        <f t="shared" si="92"/>
        <v>249.37880137966658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49.318199126963712</v>
      </c>
      <c r="BQ119" s="21">
        <f>EXP(-LN(2)/25)*BQ118+(1-EXP(-LN(2)/25))/(LN(2)/25)*Calculateur!BL119*Calculateur!BN119*VLOOKUP('Données projet'!$B$11,Paramètres!$A$1:$I$89,3,0)*0.475*44/12</f>
        <v>13.50676197517768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62.824961102141394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-1.4210854715202004E-13</v>
      </c>
      <c r="BZ119" s="13">
        <f>BY119*VLOOKUP('Données projet'!$B$12,Paramètres!$A$1:$I$89,3,0)*VLOOKUP('Données projet'!$B$12,Paramètres!$A$1:$I$89,5,0)</f>
        <v>-9.3109520094003535E-14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119.88584888779422</v>
      </c>
      <c r="CE119" s="59">
        <f t="shared" si="94"/>
        <v>162.97244314258774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16.551371957327177</v>
      </c>
      <c r="CL119" s="21">
        <f>EXP(-LN(2)/25)*CL118+(1-EXP(-LN(2)/25))/(LN(2)/25)*Calculateur!CG119*Calculateur!CI119*VLOOKUP('Données projet'!$B$12,Paramètres!$A$1:$I$89,3,0)*0.475*44/12</f>
        <v>5.2137599284366232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21.7651318857638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261.75887764015459</v>
      </c>
      <c r="CZ119" s="59">
        <f t="shared" si="96"/>
        <v>209.74127356028544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82.031794863339172</v>
      </c>
      <c r="DG119" s="21">
        <f>EXP(-LN(2)/25)*DG118+(1-EXP(-LN(2)/25))/(LN(2)/25)*Calculateur!DB119*Calculateur!DD119*VLOOKUP('Données projet'!$B$13,Paramètres!$A$1:$I$89,3,0)*0.475*44/12</f>
        <v>19.601471914567064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101.63326677790624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-2.2737367544323206E-13</v>
      </c>
      <c r="DP119" s="17">
        <f>DO119*VLOOKUP('Données projet'!$B$14,Paramètres!$A$1:$I$89,3,0)*VLOOKUP('Données projet'!$B$14,Paramètres!$A$1:$I$89,5,0)</f>
        <v>-1.8089849618263545E-13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215.37468832969444</v>
      </c>
      <c r="DU119" s="59">
        <f t="shared" si="98"/>
        <v>208.60212063136419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53.623805801144094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53.623805801144094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-2.2737367544323206E-13</v>
      </c>
      <c r="EK119" s="17">
        <f>EJ119*VLOOKUP('Données projet'!$B$15,Paramètres!$A$1:$I$89,3,0)*VLOOKUP('Données projet'!$B$15,Paramètres!$A$1:$I$89,5,0)</f>
        <v>-1.8089849618263545E-13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215.37468832969444</v>
      </c>
      <c r="EP119" s="59">
        <f t="shared" si="100"/>
        <v>208.60212063136419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53.623805801144094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53.623805801144094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-2.2737367544323206E-13</v>
      </c>
      <c r="FF119" s="17">
        <f>FE119*VLOOKUP('Données projet'!$B$16,Paramètres!$A$1:$I$89,3,0)*VLOOKUP('Données projet'!$B$16,Paramètres!$A$1:$I$89,5,0)</f>
        <v>-1.8444552551954985E-13</v>
      </c>
      <c r="FG119" s="13" t="e">
        <f t="shared" si="101"/>
        <v>#NUM!</v>
      </c>
      <c r="FH119" s="20" t="e">
        <f t="shared" si="76"/>
        <v>#NUM!</v>
      </c>
      <c r="FI119" s="59" t="e">
        <f t="shared" si="77"/>
        <v>#NUM!</v>
      </c>
      <c r="FJ119" s="59">
        <f ca="1">AVERAGE(OFFSET($FI$3,0,0,'Données projet'!$E$16+1,1))-AVERAGE(OFFSET($H$3,0,0,'Données projet'!$E$16+1,1))</f>
        <v>220.90439367987847</v>
      </c>
      <c r="FK119" s="59">
        <f t="shared" si="102"/>
        <v>213.66046131354858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54.675252973715587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54.675252973715587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1">
        <f t="shared" si="86"/>
        <v>25.745808929754968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67">
        <f t="shared" si="56"/>
        <v>503.47623055265649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6.8212102632969618E-13</v>
      </c>
      <c r="O120" s="13">
        <f>N120*VLOOKUP('Données projet'!$B$9,Paramètres!$A$1:$I$89,3,0)*VLOOKUP('Données projet'!$B$9,Paramètres!$A$1:$I$89,5,0)</f>
        <v>3.1923264032229784E-13</v>
      </c>
      <c r="P120" s="13">
        <f t="shared" si="87"/>
        <v>4.1896839804541558E-12</v>
      </c>
      <c r="Q120" s="20">
        <f t="shared" si="107"/>
        <v>7.8530297811856558E-12</v>
      </c>
      <c r="R120" s="59">
        <f t="shared" si="55"/>
        <v>293.33333333334116</v>
      </c>
      <c r="S120" s="59">
        <f ca="1">AVERAGE(OFFSET($R$3,0,0,'Données projet'!$E$9+1,1))-AVERAGE(OFFSET($H$3,0,0,'Données projet'!$E$9+1,1))</f>
        <v>196.72624686715807</v>
      </c>
      <c r="T120" s="59">
        <f t="shared" si="88"/>
        <v>37.315661698104691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149.83587504569138</v>
      </c>
      <c r="AA120" s="21">
        <f>EXP(-LN(2)/25)*AA119+(1-EXP(-LN(2)/25))/(LN(2)/25)*Calculateur!V120*Calculateur!X120*VLOOKUP('Données projet'!$B$9,Paramètres!$A$1:$I$89,3,0)*0.475*44/12</f>
        <v>54.333498941970063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204.16937398766146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-1.0000000000001137</v>
      </c>
      <c r="AJ120" s="13">
        <f>AI120*VLOOKUP('Données projet'!$B$10,Paramètres!$A$1:$I$89,3,0)*VLOOKUP('Données projet'!$B$10,Paramètres!$A$1:$I$89,5,0)</f>
        <v>-0.55900000000006356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325.42940802362739</v>
      </c>
      <c r="AO120" s="59">
        <f t="shared" si="90"/>
        <v>388.87198417542277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75.785689590286708</v>
      </c>
      <c r="AV120" s="21">
        <f>EXP(-LN(2)/25)*AV119+(1-EXP(-LN(2)/25))/(LN(2)/25)*Calculateur!AQ120*Calculateur!AS120*VLOOKUP('Données projet'!$B$10,Paramètres!$A$1:$I$89,3,0)*0.475*44/12</f>
        <v>18.633826326418404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94.419515916705109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</v>
      </c>
      <c r="BE120" s="13">
        <f>BD120*VLOOKUP('Données projet'!$B$11,Paramètres!$A$1:$I$89,3,0)*VLOOKUP('Données projet'!$B$11,Paramètres!$A$1:$I$89,5,0)</f>
        <v>-0.624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162.87524915738271</v>
      </c>
      <c r="BJ120" s="59">
        <f t="shared" si="92"/>
        <v>249.37880137966658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48.351099323215159</v>
      </c>
      <c r="BQ120" s="21">
        <f>EXP(-LN(2)/25)*BQ119+(1-EXP(-LN(2)/25))/(LN(2)/25)*Calculateur!BL120*Calculateur!BN120*VLOOKUP('Données projet'!$B$11,Paramètres!$A$1:$I$89,3,0)*0.475*44/12</f>
        <v>13.137418858676703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61.488518181891862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-1.4210854715202004E-13</v>
      </c>
      <c r="BZ120" s="13">
        <f>BY120*VLOOKUP('Données projet'!$B$12,Paramètres!$A$1:$I$89,3,0)*VLOOKUP('Données projet'!$B$12,Paramètres!$A$1:$I$89,5,0)</f>
        <v>-9.3109520094003535E-14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119.88584888779422</v>
      </c>
      <c r="CE120" s="59">
        <f t="shared" si="94"/>
        <v>162.97244314258774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16.226809648584052</v>
      </c>
      <c r="CL120" s="21">
        <f>EXP(-LN(2)/25)*CL119+(1-EXP(-LN(2)/25))/(LN(2)/25)*Calculateur!CG120*Calculateur!CI120*VLOOKUP('Données projet'!$B$12,Paramètres!$A$1:$I$89,3,0)*0.475*44/12</f>
        <v>5.0711893890138056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21.297999037597858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261.75887764015459</v>
      </c>
      <c r="CZ120" s="59">
        <f t="shared" si="96"/>
        <v>209.74127356028544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80.423201400523467</v>
      </c>
      <c r="DG120" s="21">
        <f>EXP(-LN(2)/25)*DG119+(1-EXP(-LN(2)/25))/(LN(2)/25)*Calculateur!DB120*Calculateur!DD120*VLOOKUP('Données projet'!$B$13,Paramètres!$A$1:$I$89,3,0)*0.475*44/12</f>
        <v>19.065468634266619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99.48867003479009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-2.2737367544323206E-13</v>
      </c>
      <c r="DP120" s="17">
        <f>DO120*VLOOKUP('Données projet'!$B$14,Paramètres!$A$1:$I$89,3,0)*VLOOKUP('Données projet'!$B$14,Paramètres!$A$1:$I$89,5,0)</f>
        <v>-1.8089849618263545E-13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215.37468832969444</v>
      </c>
      <c r="DU120" s="59">
        <f t="shared" si="98"/>
        <v>208.60212063136419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52.572275676675623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52.572275676675623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-2.2737367544323206E-13</v>
      </c>
      <c r="EK120" s="17">
        <f>EJ120*VLOOKUP('Données projet'!$B$15,Paramètres!$A$1:$I$89,3,0)*VLOOKUP('Données projet'!$B$15,Paramètres!$A$1:$I$89,5,0)</f>
        <v>-1.8089849618263545E-13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215.37468832969444</v>
      </c>
      <c r="EP120" s="59">
        <f t="shared" si="100"/>
        <v>208.60212063136419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52.572275676675623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52.572275676675623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-2.2737367544323206E-13</v>
      </c>
      <c r="FF120" s="17">
        <f>FE120*VLOOKUP('Données projet'!$B$16,Paramètres!$A$1:$I$89,3,0)*VLOOKUP('Données projet'!$B$16,Paramètres!$A$1:$I$89,5,0)</f>
        <v>-1.8444552551954985E-13</v>
      </c>
      <c r="FG120" s="13" t="e">
        <f t="shared" si="101"/>
        <v>#NUM!</v>
      </c>
      <c r="FH120" s="20" t="e">
        <f t="shared" si="76"/>
        <v>#NUM!</v>
      </c>
      <c r="FI120" s="59" t="e">
        <f t="shared" si="77"/>
        <v>#NUM!</v>
      </c>
      <c r="FJ120" s="59">
        <f ca="1">AVERAGE(OFFSET($FI$3,0,0,'Données projet'!$E$16+1,1))-AVERAGE(OFFSET($H$3,0,0,'Données projet'!$E$16+1,1))</f>
        <v>220.90439367987847</v>
      </c>
      <c r="FK120" s="59">
        <f t="shared" si="102"/>
        <v>213.66046131354858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53.603104611512435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53.603104611512435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1">
        <f t="shared" si="86"/>
        <v>25.940148386449934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67">
        <f t="shared" si="56"/>
        <v>505.22754510640021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6.8212102632969618E-13</v>
      </c>
      <c r="O121" s="13">
        <f>N121*VLOOKUP('Données projet'!$B$9,Paramètres!$A$1:$I$89,3,0)*VLOOKUP('Données projet'!$B$9,Paramètres!$A$1:$I$89,5,0)</f>
        <v>3.1923264032229784E-13</v>
      </c>
      <c r="P121" s="13">
        <f t="shared" si="87"/>
        <v>4.1896839804541558E-12</v>
      </c>
      <c r="Q121" s="20">
        <f t="shared" si="107"/>
        <v>7.8530297811856558E-12</v>
      </c>
      <c r="R121" s="59">
        <f t="shared" si="55"/>
        <v>293.33333333334116</v>
      </c>
      <c r="S121" s="59">
        <f ca="1">AVERAGE(OFFSET($R$3,0,0,'Données projet'!$E$9+1,1))-AVERAGE(OFFSET($H$3,0,0,'Données projet'!$E$9+1,1))</f>
        <v>196.72624686715807</v>
      </c>
      <c r="T121" s="59">
        <f t="shared" si="88"/>
        <v>37.315661698104691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146.89768492690504</v>
      </c>
      <c r="AA121" s="21">
        <f>EXP(-LN(2)/25)*AA120+(1-EXP(-LN(2)/25))/(LN(2)/25)*Calculateur!V121*Calculateur!X121*VLOOKUP('Données projet'!$B$9,Paramètres!$A$1:$I$89,3,0)*0.475*44/12</f>
        <v>52.847746556127362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199.74543148303241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-1.0000000000001137</v>
      </c>
      <c r="AJ121" s="13">
        <f>AI121*VLOOKUP('Données projet'!$B$10,Paramètres!$A$1:$I$89,3,0)*VLOOKUP('Données projet'!$B$10,Paramètres!$A$1:$I$89,5,0)</f>
        <v>-0.55900000000006356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325.42940802362739</v>
      </c>
      <c r="AO121" s="59">
        <f t="shared" si="90"/>
        <v>388.87198417542277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74.299578442127526</v>
      </c>
      <c r="AV121" s="21">
        <f>EXP(-LN(2)/25)*AV120+(1-EXP(-LN(2)/25))/(LN(2)/25)*Calculateur!AQ121*Calculateur!AS121*VLOOKUP('Données projet'!$B$10,Paramètres!$A$1:$I$89,3,0)*0.475*44/12</f>
        <v>18.124283365612154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92.423861807739684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</v>
      </c>
      <c r="BE121" s="13">
        <f>BD121*VLOOKUP('Données projet'!$B$11,Paramètres!$A$1:$I$89,3,0)*VLOOKUP('Données projet'!$B$11,Paramètres!$A$1:$I$89,5,0)</f>
        <v>-0.624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162.87524915738271</v>
      </c>
      <c r="BJ121" s="59">
        <f t="shared" si="92"/>
        <v>249.37880137966658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47.402963756745478</v>
      </c>
      <c r="BQ121" s="21">
        <f>EXP(-LN(2)/25)*BQ120+(1-EXP(-LN(2)/25))/(LN(2)/25)*Calculateur!BL121*Calculateur!BN121*VLOOKUP('Données projet'!$B$11,Paramètres!$A$1:$I$89,3,0)*0.475*44/12</f>
        <v>12.778175449119358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60.181139205864838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-1.4210854715202004E-13</v>
      </c>
      <c r="BZ121" s="13">
        <f>BY121*VLOOKUP('Données projet'!$B$12,Paramètres!$A$1:$I$89,3,0)*VLOOKUP('Données projet'!$B$12,Paramètres!$A$1:$I$89,5,0)</f>
        <v>-9.3109520094003535E-14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119.88584888779422</v>
      </c>
      <c r="CE121" s="59">
        <f t="shared" si="94"/>
        <v>162.97244314258774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15.908611808751919</v>
      </c>
      <c r="CL121" s="21">
        <f>EXP(-LN(2)/25)*CL120+(1-EXP(-LN(2)/25))/(LN(2)/25)*Calculateur!CG121*Calculateur!CI121*VLOOKUP('Données projet'!$B$12,Paramètres!$A$1:$I$89,3,0)*0.475*44/12</f>
        <v>4.9325174484889631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20.841129257240883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261.75887764015459</v>
      </c>
      <c r="CZ121" s="59">
        <f t="shared" si="96"/>
        <v>209.74127356028544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78.84615147436844</v>
      </c>
      <c r="DG121" s="21">
        <f>EXP(-LN(2)/25)*DG120+(1-EXP(-LN(2)/25))/(LN(2)/25)*Calculateur!DB121*Calculateur!DD121*VLOOKUP('Données projet'!$B$13,Paramètres!$A$1:$I$89,3,0)*0.475*44/12</f>
        <v>18.544122391853179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97.390273866221619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-2.2737367544323206E-13</v>
      </c>
      <c r="DP121" s="17">
        <f>DO121*VLOOKUP('Données projet'!$B$14,Paramètres!$A$1:$I$89,3,0)*VLOOKUP('Données projet'!$B$14,Paramètres!$A$1:$I$89,5,0)</f>
        <v>-1.8089849618263545E-13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215.37468832969444</v>
      </c>
      <c r="DU121" s="59">
        <f t="shared" si="98"/>
        <v>208.60212063136419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51.541365416577932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51.541365416577932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-2.2737367544323206E-13</v>
      </c>
      <c r="EK121" s="17">
        <f>EJ121*VLOOKUP('Données projet'!$B$15,Paramètres!$A$1:$I$89,3,0)*VLOOKUP('Données projet'!$B$15,Paramètres!$A$1:$I$89,5,0)</f>
        <v>-1.8089849618263545E-13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215.37468832969444</v>
      </c>
      <c r="EP121" s="59">
        <f t="shared" si="100"/>
        <v>208.60212063136419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51.541365416577932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51.541365416577932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-2.2737367544323206E-13</v>
      </c>
      <c r="FF121" s="17">
        <f>FE121*VLOOKUP('Données projet'!$B$16,Paramètres!$A$1:$I$89,3,0)*VLOOKUP('Données projet'!$B$16,Paramètres!$A$1:$I$89,5,0)</f>
        <v>-1.8444552551954985E-13</v>
      </c>
      <c r="FG121" s="13" t="e">
        <f t="shared" si="101"/>
        <v>#NUM!</v>
      </c>
      <c r="FH121" s="20" t="e">
        <f t="shared" si="76"/>
        <v>#NUM!</v>
      </c>
      <c r="FI121" s="59" t="e">
        <f t="shared" si="77"/>
        <v>#NUM!</v>
      </c>
      <c r="FJ121" s="59">
        <f ca="1">AVERAGE(OFFSET($FI$3,0,0,'Données projet'!$E$16+1,1))-AVERAGE(OFFSET($H$3,0,0,'Données projet'!$E$16+1,1))</f>
        <v>220.90439367987847</v>
      </c>
      <c r="FK121" s="59">
        <f t="shared" si="102"/>
        <v>213.66046131354858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52.551980424746162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52.551980424746162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1">
        <f t="shared" si="86"/>
        <v>26.134296230894964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67">
        <f t="shared" si="56"/>
        <v>506.97852593547532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6.8212102632969618E-13</v>
      </c>
      <c r="O122" s="13">
        <f>N122*VLOOKUP('Données projet'!$B$9,Paramètres!$A$1:$I$89,3,0)*VLOOKUP('Données projet'!$B$9,Paramètres!$A$1:$I$89,5,0)</f>
        <v>3.1923264032229784E-13</v>
      </c>
      <c r="P122" s="13">
        <f t="shared" si="87"/>
        <v>4.1896839804541558E-12</v>
      </c>
      <c r="Q122" s="20">
        <f t="shared" si="107"/>
        <v>7.8530297811856558E-12</v>
      </c>
      <c r="R122" s="59">
        <f t="shared" si="55"/>
        <v>293.33333333334116</v>
      </c>
      <c r="S122" s="59">
        <f ca="1">AVERAGE(OFFSET($R$3,0,0,'Données projet'!$E$9+1,1))-AVERAGE(OFFSET($H$3,0,0,'Données projet'!$E$9+1,1))</f>
        <v>196.72624686715807</v>
      </c>
      <c r="T122" s="59">
        <f t="shared" si="88"/>
        <v>37.315661698104691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144.01711092422909</v>
      </c>
      <c r="AA122" s="21">
        <f>EXP(-LN(2)/25)*AA121+(1-EXP(-LN(2)/25))/(LN(2)/25)*Calculateur!V122*Calculateur!X122*VLOOKUP('Données projet'!$B$9,Paramètres!$A$1:$I$89,3,0)*0.475*44/12</f>
        <v>51.402622147407854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195.41973307163693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-1.0000000000001137</v>
      </c>
      <c r="AJ122" s="13">
        <f>AI122*VLOOKUP('Données projet'!$B$10,Paramètres!$A$1:$I$89,3,0)*VLOOKUP('Données projet'!$B$10,Paramètres!$A$1:$I$89,5,0)</f>
        <v>-0.55900000000006356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325.42940802362739</v>
      </c>
      <c r="AO122" s="59">
        <f t="shared" si="90"/>
        <v>388.87198417542277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72.842609027145443</v>
      </c>
      <c r="AV122" s="21">
        <f>EXP(-LN(2)/25)*AV121+(1-EXP(-LN(2)/25))/(LN(2)/25)*Calculateur!AQ122*Calculateur!AS122*VLOOKUP('Données projet'!$B$10,Paramètres!$A$1:$I$89,3,0)*0.475*44/12</f>
        <v>17.628673883864852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90.471282911010292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</v>
      </c>
      <c r="BE122" s="13">
        <f>BD122*VLOOKUP('Données projet'!$B$11,Paramètres!$A$1:$I$89,3,0)*VLOOKUP('Données projet'!$B$11,Paramètres!$A$1:$I$89,5,0)</f>
        <v>-0.624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162.87524915738271</v>
      </c>
      <c r="BJ122" s="59">
        <f t="shared" si="92"/>
        <v>249.37880137966658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46.473420550428678</v>
      </c>
      <c r="BQ122" s="21">
        <f>EXP(-LN(2)/25)*BQ121+(1-EXP(-LN(2)/25))/(LN(2)/25)*Calculateur!BL122*Calculateur!BN122*VLOOKUP('Données projet'!$B$11,Paramètres!$A$1:$I$89,3,0)*0.475*44/12</f>
        <v>12.428755569488146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58.902176119916824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-1.4210854715202004E-13</v>
      </c>
      <c r="BZ122" s="13">
        <f>BY122*VLOOKUP('Données projet'!$B$12,Paramètres!$A$1:$I$89,3,0)*VLOOKUP('Données projet'!$B$12,Paramètres!$A$1:$I$89,5,0)</f>
        <v>-9.3109520094003535E-14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119.88584888779422</v>
      </c>
      <c r="CE122" s="59">
        <f t="shared" si="94"/>
        <v>162.97244314258774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15.596653634477377</v>
      </c>
      <c r="CL122" s="21">
        <f>EXP(-LN(2)/25)*CL121+(1-EXP(-LN(2)/25))/(LN(2)/25)*Calculateur!CG122*Calculateur!CI122*VLOOKUP('Données projet'!$B$12,Paramètres!$A$1:$I$89,3,0)*0.475*44/12</f>
        <v>4.7976374994702136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20.39429113394759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261.75887764015459</v>
      </c>
      <c r="CZ122" s="59">
        <f t="shared" si="96"/>
        <v>209.74127356028544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77.300026535359848</v>
      </c>
      <c r="DG122" s="21">
        <f>EXP(-LN(2)/25)*DG121+(1-EXP(-LN(2)/25))/(LN(2)/25)*Calculateur!DB122*Calculateur!DD122*VLOOKUP('Données projet'!$B$13,Paramètres!$A$1:$I$89,3,0)*0.475*44/12</f>
        <v>18.037032389854939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95.337058925214791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-2.2737367544323206E-13</v>
      </c>
      <c r="DP122" s="17">
        <f>DO122*VLOOKUP('Données projet'!$B$14,Paramètres!$A$1:$I$89,3,0)*VLOOKUP('Données projet'!$B$14,Paramètres!$A$1:$I$89,5,0)</f>
        <v>-1.8089849618263545E-13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215.37468832969444</v>
      </c>
      <c r="DU122" s="59">
        <f t="shared" si="98"/>
        <v>208.60212063136419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50.530670677887585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50.530670677887585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-2.2737367544323206E-13</v>
      </c>
      <c r="EK122" s="17">
        <f>EJ122*VLOOKUP('Données projet'!$B$15,Paramètres!$A$1:$I$89,3,0)*VLOOKUP('Données projet'!$B$15,Paramètres!$A$1:$I$89,5,0)</f>
        <v>-1.8089849618263545E-13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215.37468832969444</v>
      </c>
      <c r="EP122" s="59">
        <f t="shared" si="100"/>
        <v>208.60212063136419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50.530670677887585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50.530670677887585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-2.2737367544323206E-13</v>
      </c>
      <c r="FF122" s="17">
        <f>FE122*VLOOKUP('Données projet'!$B$16,Paramètres!$A$1:$I$89,3,0)*VLOOKUP('Données projet'!$B$16,Paramètres!$A$1:$I$89,5,0)</f>
        <v>-1.8444552551954985E-13</v>
      </c>
      <c r="FG122" s="13" t="e">
        <f t="shared" si="101"/>
        <v>#NUM!</v>
      </c>
      <c r="FH122" s="20" t="e">
        <f t="shared" si="76"/>
        <v>#NUM!</v>
      </c>
      <c r="FI122" s="59" t="e">
        <f t="shared" si="77"/>
        <v>#NUM!</v>
      </c>
      <c r="FJ122" s="59">
        <f ca="1">AVERAGE(OFFSET($FI$3,0,0,'Données projet'!$E$16+1,1))-AVERAGE(OFFSET($H$3,0,0,'Données projet'!$E$16+1,1))</f>
        <v>220.90439367987847</v>
      </c>
      <c r="FK122" s="59">
        <f t="shared" si="102"/>
        <v>213.66046131354858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51.521468142159925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51.521468142159925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1">
        <f t="shared" si="86"/>
        <v>26.328254259866451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67">
        <f t="shared" si="56"/>
        <v>508.7291761692673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6.8212102632969618E-13</v>
      </c>
      <c r="O123" s="13">
        <f>N123*VLOOKUP('Données projet'!$B$9,Paramètres!$A$1:$I$89,3,0)*VLOOKUP('Données projet'!$B$9,Paramètres!$A$1:$I$89,5,0)</f>
        <v>3.1923264032229784E-13</v>
      </c>
      <c r="P123" s="13">
        <f t="shared" si="87"/>
        <v>4.1896839804541558E-12</v>
      </c>
      <c r="Q123" s="20">
        <f t="shared" si="107"/>
        <v>7.8530297811856558E-12</v>
      </c>
      <c r="R123" s="59">
        <f t="shared" si="55"/>
        <v>293.33333333334116</v>
      </c>
      <c r="S123" s="59">
        <f ca="1">AVERAGE(OFFSET($R$3,0,0,'Données projet'!$E$9+1,1))-AVERAGE(OFFSET($H$3,0,0,'Données projet'!$E$9+1,1))</f>
        <v>196.72624686715807</v>
      </c>
      <c r="T123" s="59">
        <f t="shared" si="88"/>
        <v>37.315661698104691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141.19302322076896</v>
      </c>
      <c r="AA123" s="21">
        <f>EXP(-LN(2)/25)*AA122+(1-EXP(-LN(2)/25))/(LN(2)/25)*Calculateur!V123*Calculateur!X123*VLOOKUP('Données projet'!$B$9,Paramètres!$A$1:$I$89,3,0)*0.475*44/12</f>
        <v>49.997014741640569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191.19003796240952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-1.0000000000001137</v>
      </c>
      <c r="AJ123" s="13">
        <f>AI123*VLOOKUP('Données projet'!$B$10,Paramètres!$A$1:$I$89,3,0)*VLOOKUP('Données projet'!$B$10,Paramètres!$A$1:$I$89,5,0)</f>
        <v>-0.55900000000006356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325.42940802362739</v>
      </c>
      <c r="AO123" s="59">
        <f t="shared" si="90"/>
        <v>388.87198417542277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71.414209893727573</v>
      </c>
      <c r="AV123" s="21">
        <f>EXP(-LN(2)/25)*AV122+(1-EXP(-LN(2)/25))/(LN(2)/25)*Calculateur!AQ123*Calculateur!AS123*VLOOKUP('Données projet'!$B$10,Paramètres!$A$1:$I$89,3,0)*0.475*44/12</f>
        <v>17.146616869458899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88.560826763186469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</v>
      </c>
      <c r="BE123" s="13">
        <f>BD123*VLOOKUP('Données projet'!$B$11,Paramètres!$A$1:$I$89,3,0)*VLOOKUP('Données projet'!$B$11,Paramètres!$A$1:$I$89,5,0)</f>
        <v>-0.624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162.87524915738271</v>
      </c>
      <c r="BJ123" s="59">
        <f t="shared" si="92"/>
        <v>249.37880137966658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45.562105119422377</v>
      </c>
      <c r="BQ123" s="21">
        <f>EXP(-LN(2)/25)*BQ122+(1-EXP(-LN(2)/25))/(LN(2)/25)*Calculateur!BL123*Calculateur!BN123*VLOOKUP('Données projet'!$B$11,Paramètres!$A$1:$I$89,3,0)*0.475*44/12</f>
        <v>12.088890594840644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57.650995714263018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-1.4210854715202004E-13</v>
      </c>
      <c r="BZ123" s="13">
        <f>BY123*VLOOKUP('Données projet'!$B$12,Paramètres!$A$1:$I$89,3,0)*VLOOKUP('Données projet'!$B$12,Paramètres!$A$1:$I$89,5,0)</f>
        <v>-9.3109520094003535E-14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119.88584888779422</v>
      </c>
      <c r="CE123" s="59">
        <f t="shared" si="94"/>
        <v>162.97244314258774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15.29081276972466</v>
      </c>
      <c r="CL123" s="21">
        <f>EXP(-LN(2)/25)*CL122+(1-EXP(-LN(2)/25))/(LN(2)/25)*Calculateur!CG123*Calculateur!CI123*VLOOKUP('Données projet'!$B$12,Paramètres!$A$1:$I$89,3,0)*0.475*44/12</f>
        <v>4.66644584975041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19.95725861947507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261.75887764015459</v>
      </c>
      <c r="CZ123" s="59">
        <f t="shared" si="96"/>
        <v>209.74127356028544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75.784220163362107</v>
      </c>
      <c r="DG123" s="21">
        <f>EXP(-LN(2)/25)*DG122+(1-EXP(-LN(2)/25))/(LN(2)/25)*Calculateur!DB123*Calculateur!DD123*VLOOKUP('Données projet'!$B$13,Paramètres!$A$1:$I$89,3,0)*0.475*44/12</f>
        <v>17.543808790628049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93.328028953990156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-2.2737367544323206E-13</v>
      </c>
      <c r="DP123" s="17">
        <f>DO123*VLOOKUP('Données projet'!$B$14,Paramètres!$A$1:$I$89,3,0)*VLOOKUP('Données projet'!$B$14,Paramètres!$A$1:$I$89,5,0)</f>
        <v>-1.8089849618263545E-13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215.37468832969444</v>
      </c>
      <c r="DU123" s="59">
        <f t="shared" si="98"/>
        <v>208.60212063136419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49.539795046560037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49.539795046560037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-2.2737367544323206E-13</v>
      </c>
      <c r="EK123" s="17">
        <f>EJ123*VLOOKUP('Données projet'!$B$15,Paramètres!$A$1:$I$89,3,0)*VLOOKUP('Données projet'!$B$15,Paramètres!$A$1:$I$89,5,0)</f>
        <v>-1.8089849618263545E-13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215.37468832969444</v>
      </c>
      <c r="EP123" s="59">
        <f t="shared" si="100"/>
        <v>208.60212063136419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49.539795046560037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49.539795046560037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-2.2737367544323206E-13</v>
      </c>
      <c r="FF123" s="17">
        <f>FE123*VLOOKUP('Données projet'!$B$16,Paramètres!$A$1:$I$89,3,0)*VLOOKUP('Données projet'!$B$16,Paramètres!$A$1:$I$89,5,0)</f>
        <v>-1.8444552551954985E-13</v>
      </c>
      <c r="FG123" s="13" t="e">
        <f t="shared" si="101"/>
        <v>#NUM!</v>
      </c>
      <c r="FH123" s="20" t="e">
        <f t="shared" si="76"/>
        <v>#NUM!</v>
      </c>
      <c r="FI123" s="59" t="e">
        <f t="shared" si="77"/>
        <v>#NUM!</v>
      </c>
      <c r="FJ123" s="59">
        <f ca="1">AVERAGE(OFFSET($FI$3,0,0,'Données projet'!$E$16+1,1))-AVERAGE(OFFSET($H$3,0,0,'Données projet'!$E$16+1,1))</f>
        <v>220.90439367987847</v>
      </c>
      <c r="FK123" s="59">
        <f t="shared" si="102"/>
        <v>213.66046131354858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50.511163576884776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50.511163576884776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1">
        <f t="shared" si="86"/>
        <v>26.522024238465754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67">
        <f t="shared" si="56"/>
        <v>510.4794988819944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6.8212102632969618E-13</v>
      </c>
      <c r="O124" s="13">
        <f>N124*VLOOKUP('Données projet'!$B$9,Paramètres!$A$1:$I$89,3,0)*VLOOKUP('Données projet'!$B$9,Paramètres!$A$1:$I$89,5,0)</f>
        <v>3.1923264032229784E-13</v>
      </c>
      <c r="P124" s="13">
        <f t="shared" si="87"/>
        <v>4.1896839804541558E-12</v>
      </c>
      <c r="Q124" s="20">
        <f t="shared" si="107"/>
        <v>7.8530297811856558E-12</v>
      </c>
      <c r="R124" s="59">
        <f t="shared" si="55"/>
        <v>293.33333333334116</v>
      </c>
      <c r="S124" s="59">
        <f ca="1">AVERAGE(OFFSET($R$3,0,0,'Données projet'!$E$9+1,1))-AVERAGE(OFFSET($H$3,0,0,'Données projet'!$E$9+1,1))</f>
        <v>196.72624686715807</v>
      </c>
      <c r="T124" s="59">
        <f t="shared" si="88"/>
        <v>37.315661698104691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138.42431415465029</v>
      </c>
      <c r="AA124" s="21">
        <f>EXP(-LN(2)/25)*AA123+(1-EXP(-LN(2)/25))/(LN(2)/25)*Calculateur!V124*Calculateur!X124*VLOOKUP('Données projet'!$B$9,Paramètres!$A$1:$I$89,3,0)*0.475*44/12</f>
        <v>48.629843744301674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187.05415789895196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-1.0000000000001137</v>
      </c>
      <c r="AJ124" s="13">
        <f>AI124*VLOOKUP('Données projet'!$B$10,Paramètres!$A$1:$I$89,3,0)*VLOOKUP('Données projet'!$B$10,Paramètres!$A$1:$I$89,5,0)</f>
        <v>-0.55900000000006356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325.42940802362739</v>
      </c>
      <c r="AO124" s="59">
        <f t="shared" si="90"/>
        <v>388.87198417542277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70.013820796078576</v>
      </c>
      <c r="AV124" s="21">
        <f>EXP(-LN(2)/25)*AV123+(1-EXP(-LN(2)/25))/(LN(2)/25)*Calculateur!AQ124*Calculateur!AS124*VLOOKUP('Données projet'!$B$10,Paramètres!$A$1:$I$89,3,0)*0.475*44/12</f>
        <v>16.677741729462152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86.691562525540732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</v>
      </c>
      <c r="BE124" s="13">
        <f>BD124*VLOOKUP('Données projet'!$B$11,Paramètres!$A$1:$I$89,3,0)*VLOOKUP('Données projet'!$B$11,Paramètres!$A$1:$I$89,5,0)</f>
        <v>-0.624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162.87524915738271</v>
      </c>
      <c r="BJ124" s="59">
        <f t="shared" si="92"/>
        <v>249.37880137966658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44.668660028170578</v>
      </c>
      <c r="BQ124" s="21">
        <f>EXP(-LN(2)/25)*BQ123+(1-EXP(-LN(2)/25))/(LN(2)/25)*Calculateur!BL124*Calculateur!BN124*VLOOKUP('Données projet'!$B$11,Paramètres!$A$1:$I$89,3,0)*0.475*44/12</f>
        <v>11.758319245797599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56.426979273968179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-1.4210854715202004E-13</v>
      </c>
      <c r="BZ124" s="13">
        <f>BY124*VLOOKUP('Données projet'!$B$12,Paramètres!$A$1:$I$89,3,0)*VLOOKUP('Données projet'!$B$12,Paramètres!$A$1:$I$89,5,0)</f>
        <v>-9.3109520094003535E-14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119.88584888779422</v>
      </c>
      <c r="CE124" s="59">
        <f t="shared" si="94"/>
        <v>162.97244314258774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14.990969257785236</v>
      </c>
      <c r="CL124" s="21">
        <f>EXP(-LN(2)/25)*CL123+(1-EXP(-LN(2)/25))/(LN(2)/25)*Calculateur!CG124*Calculateur!CI124*VLOOKUP('Données projet'!$B$12,Paramètres!$A$1:$I$89,3,0)*0.475*44/12</f>
        <v>4.5388416425912634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19.5298109003765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261.75887764015459</v>
      </c>
      <c r="CZ124" s="59">
        <f t="shared" si="96"/>
        <v>209.74127356028544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74.298137829768649</v>
      </c>
      <c r="DG124" s="21">
        <f>EXP(-LN(2)/25)*DG123+(1-EXP(-LN(2)/25))/(LN(2)/25)*Calculateur!DB124*Calculateur!DD124*VLOOKUP('Données projet'!$B$13,Paramètres!$A$1:$I$89,3,0)*0.475*44/12</f>
        <v>17.064072416659517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91.362210246428162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-2.2737367544323206E-13</v>
      </c>
      <c r="DP124" s="17">
        <f>DO124*VLOOKUP('Données projet'!$B$14,Paramètres!$A$1:$I$89,3,0)*VLOOKUP('Données projet'!$B$14,Paramètres!$A$1:$I$89,5,0)</f>
        <v>-1.8089849618263545E-13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215.37468832969444</v>
      </c>
      <c r="DU124" s="59">
        <f t="shared" si="98"/>
        <v>208.60212063136419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48.568349881988361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48.568349881988361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-2.2737367544323206E-13</v>
      </c>
      <c r="EK124" s="17">
        <f>EJ124*VLOOKUP('Données projet'!$B$15,Paramètres!$A$1:$I$89,3,0)*VLOOKUP('Données projet'!$B$15,Paramètres!$A$1:$I$89,5,0)</f>
        <v>-1.8089849618263545E-13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215.37468832969444</v>
      </c>
      <c r="EP124" s="59">
        <f t="shared" si="100"/>
        <v>208.60212063136419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48.568349881988361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48.568349881988361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-2.2737367544323206E-13</v>
      </c>
      <c r="FF124" s="17">
        <f>FE124*VLOOKUP('Données projet'!$B$16,Paramètres!$A$1:$I$89,3,0)*VLOOKUP('Données projet'!$B$16,Paramètres!$A$1:$I$89,5,0)</f>
        <v>-1.8444552551954985E-13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220.90439367987847</v>
      </c>
      <c r="FK124" s="59">
        <f t="shared" si="102"/>
        <v>213.66046131354858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49.520670467909731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49.520670467909731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1">
        <f t="shared" si="86"/>
        <v>26.715607900934927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67">
        <f t="shared" si="56"/>
        <v>512.22949709412819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6.8212102632969618E-13</v>
      </c>
      <c r="O125" s="13">
        <f>N125*VLOOKUP('Données projet'!$B$9,Paramètres!$A$1:$I$89,3,0)*VLOOKUP('Données projet'!$B$9,Paramètres!$A$1:$I$89,5,0)</f>
        <v>3.1923264032229784E-13</v>
      </c>
      <c r="P125" s="13">
        <f t="shared" si="87"/>
        <v>4.1896839804541558E-12</v>
      </c>
      <c r="Q125" s="20">
        <f t="shared" si="107"/>
        <v>7.8530297811856558E-12</v>
      </c>
      <c r="R125" s="59">
        <f t="shared" si="55"/>
        <v>293.33333333334116</v>
      </c>
      <c r="S125" s="59">
        <f ca="1">AVERAGE(OFFSET($R$3,0,0,'Données projet'!$E$9+1,1))-AVERAGE(OFFSET($H$3,0,0,'Données projet'!$E$9+1,1))</f>
        <v>196.72624686715807</v>
      </c>
      <c r="T125" s="59">
        <f t="shared" si="88"/>
        <v>37.315661698104691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135.70989778457241</v>
      </c>
      <c r="AA125" s="21">
        <f>EXP(-LN(2)/25)*AA124+(1-EXP(-LN(2)/25))/(LN(2)/25)*Calculateur!V125*Calculateur!X125*VLOOKUP('Données projet'!$B$9,Paramètres!$A$1:$I$89,3,0)*0.475*44/12</f>
        <v>47.300058109781411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183.00995589435382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-1.0000000000001137</v>
      </c>
      <c r="AJ125" s="13">
        <f>AI125*VLOOKUP('Données projet'!$B$10,Paramètres!$A$1:$I$89,3,0)*VLOOKUP('Données projet'!$B$10,Paramètres!$A$1:$I$89,5,0)</f>
        <v>-0.55900000000006356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325.42940802362739</v>
      </c>
      <c r="AO125" s="59">
        <f t="shared" si="90"/>
        <v>388.87198417542277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68.640892474481475</v>
      </c>
      <c r="AV125" s="21">
        <f>EXP(-LN(2)/25)*AV124+(1-EXP(-LN(2)/25))/(LN(2)/25)*Calculateur!AQ125*Calculateur!AS125*VLOOKUP('Données projet'!$B$10,Paramètres!$A$1:$I$89,3,0)*0.475*44/12</f>
        <v>16.22168800482569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84.862580479307169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</v>
      </c>
      <c r="BE125" s="13">
        <f>BD125*VLOOKUP('Données projet'!$B$11,Paramètres!$A$1:$I$89,3,0)*VLOOKUP('Données projet'!$B$11,Paramètres!$A$1:$I$89,5,0)</f>
        <v>-0.624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162.87524915738271</v>
      </c>
      <c r="BJ125" s="59">
        <f t="shared" si="92"/>
        <v>249.37880137966658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43.792734850210529</v>
      </c>
      <c r="BQ125" s="21">
        <f>EXP(-LN(2)/25)*BQ124+(1-EXP(-LN(2)/25))/(LN(2)/25)*Calculateur!BL125*Calculateur!BN125*VLOOKUP('Données projet'!$B$11,Paramètres!$A$1:$I$89,3,0)*0.475*44/12</f>
        <v>11.436787387678129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55.229522237888659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-1.4210854715202004E-13</v>
      </c>
      <c r="BZ125" s="13">
        <f>BY125*VLOOKUP('Données projet'!$B$12,Paramètres!$A$1:$I$89,3,0)*VLOOKUP('Données projet'!$B$12,Paramètres!$A$1:$I$89,5,0)</f>
        <v>-9.3109520094003535E-14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119.88584888779422</v>
      </c>
      <c r="CE125" s="59">
        <f t="shared" si="94"/>
        <v>162.97244314258774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14.697005494228462</v>
      </c>
      <c r="CL125" s="21">
        <f>EXP(-LN(2)/25)*CL124+(1-EXP(-LN(2)/25))/(LN(2)/25)*Calculateur!CG125*Calculateur!CI125*VLOOKUP('Données projet'!$B$12,Paramètres!$A$1:$I$89,3,0)*0.475*44/12</f>
        <v>4.4147267791872968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19.111732273415758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261.75887764015459</v>
      </c>
      <c r="CZ125" s="59">
        <f t="shared" si="96"/>
        <v>209.74127356028544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72.841196664316243</v>
      </c>
      <c r="DG125" s="21">
        <f>EXP(-LN(2)/25)*DG124+(1-EXP(-LN(2)/25))/(LN(2)/25)*Calculateur!DB125*Calculateur!DD125*VLOOKUP('Données projet'!$B$13,Paramètres!$A$1:$I$89,3,0)*0.475*44/12</f>
        <v>16.597454459065396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89.438651123381646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-2.2737367544323206E-13</v>
      </c>
      <c r="DP125" s="17">
        <f>DO125*VLOOKUP('Données projet'!$B$14,Paramètres!$A$1:$I$89,3,0)*VLOOKUP('Données projet'!$B$14,Paramètres!$A$1:$I$89,5,0)</f>
        <v>-1.8089849618263545E-13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215.37468832969444</v>
      </c>
      <c r="DU125" s="59">
        <f t="shared" si="98"/>
        <v>208.60212063136419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47.615954164570894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47.615954164570894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-2.2737367544323206E-13</v>
      </c>
      <c r="EK125" s="17">
        <f>EJ125*VLOOKUP('Données projet'!$B$15,Paramètres!$A$1:$I$89,3,0)*VLOOKUP('Données projet'!$B$15,Paramètres!$A$1:$I$89,5,0)</f>
        <v>-1.8089849618263545E-13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215.37468832969444</v>
      </c>
      <c r="EP125" s="59">
        <f t="shared" si="100"/>
        <v>208.60212063136419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47.615954164570894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47.615954164570894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-2.2737367544323206E-13</v>
      </c>
      <c r="FF125" s="17">
        <f>FE125*VLOOKUP('Données projet'!$B$16,Paramètres!$A$1:$I$89,3,0)*VLOOKUP('Données projet'!$B$16,Paramètres!$A$1:$I$89,5,0)</f>
        <v>-1.8444552551954985E-13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220.90439367987847</v>
      </c>
      <c r="FK125" s="59">
        <f t="shared" si="102"/>
        <v>213.66046131354858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48.549600324660545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48.549600324660545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1">
        <f t="shared" si="86"/>
        <v>26.909006951444532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67">
        <f t="shared" si="56"/>
        <v>513.97917377376575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6.8212102632969618E-13</v>
      </c>
      <c r="O126" s="13">
        <f>N126*VLOOKUP('Données projet'!$B$9,Paramètres!$A$1:$I$89,3,0)*VLOOKUP('Données projet'!$B$9,Paramètres!$A$1:$I$89,5,0)</f>
        <v>3.1923264032229784E-13</v>
      </c>
      <c r="P126" s="13">
        <f t="shared" si="87"/>
        <v>4.1896839804541558E-12</v>
      </c>
      <c r="Q126" s="20">
        <f t="shared" si="107"/>
        <v>7.8530297811856558E-12</v>
      </c>
      <c r="R126" s="59">
        <f t="shared" si="55"/>
        <v>293.33333333334116</v>
      </c>
      <c r="S126" s="59">
        <f ca="1">AVERAGE(OFFSET($R$3,0,0,'Données projet'!$E$9+1,1))-AVERAGE(OFFSET($H$3,0,0,'Données projet'!$E$9+1,1))</f>
        <v>196.72624686715807</v>
      </c>
      <c r="T126" s="59">
        <f t="shared" si="88"/>
        <v>37.315661698104691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133.04870946388124</v>
      </c>
      <c r="AA126" s="21">
        <f>EXP(-LN(2)/25)*AA125+(1-EXP(-LN(2)/25))/(LN(2)/25)*Calculateur!V126*Calculateur!X126*VLOOKUP('Données projet'!$B$9,Paramètres!$A$1:$I$89,3,0)*0.475*44/12</f>
        <v>46.006635533367486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179.05534499724871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-1.0000000000001137</v>
      </c>
      <c r="AJ126" s="13">
        <f>AI126*VLOOKUP('Données projet'!$B$10,Paramètres!$A$1:$I$89,3,0)*VLOOKUP('Données projet'!$B$10,Paramètres!$A$1:$I$89,5,0)</f>
        <v>-0.55900000000006356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325.42940802362739</v>
      </c>
      <c r="AO126" s="59">
        <f t="shared" si="90"/>
        <v>388.87198417542277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67.294886439867298</v>
      </c>
      <c r="AV126" s="21">
        <f>EXP(-LN(2)/25)*AV125+(1-EXP(-LN(2)/25))/(LN(2)/25)*Calculateur!AQ126*Calculateur!AS126*VLOOKUP('Données projet'!$B$10,Paramètres!$A$1:$I$89,3,0)*0.475*44/12</f>
        <v>15.778105093272234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83.072991533139529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</v>
      </c>
      <c r="BE126" s="13">
        <f>BD126*VLOOKUP('Données projet'!$B$11,Paramètres!$A$1:$I$89,3,0)*VLOOKUP('Données projet'!$B$11,Paramètres!$A$1:$I$89,5,0)</f>
        <v>-0.624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162.87524915738271</v>
      </c>
      <c r="BJ126" s="59">
        <f t="shared" si="92"/>
        <v>249.37880137966658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42.933986030728676</v>
      </c>
      <c r="BQ126" s="21">
        <f>EXP(-LN(2)/25)*BQ125+(1-EXP(-LN(2)/25))/(LN(2)/25)*Calculateur!BL126*Calculateur!BN126*VLOOKUP('Données projet'!$B$11,Paramètres!$A$1:$I$89,3,0)*0.475*44/12</f>
        <v>11.124047835127561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54.058033865856238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-1.4210854715202004E-13</v>
      </c>
      <c r="BZ126" s="13">
        <f>BY126*VLOOKUP('Données projet'!$B$12,Paramètres!$A$1:$I$89,3,0)*VLOOKUP('Données projet'!$B$12,Paramètres!$A$1:$I$89,5,0)</f>
        <v>-9.3109520094003535E-14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119.88584888779422</v>
      </c>
      <c r="CE126" s="59">
        <f t="shared" si="94"/>
        <v>162.97244314258774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14.408806180774842</v>
      </c>
      <c r="CL126" s="21">
        <f>EXP(-LN(2)/25)*CL125+(1-EXP(-LN(2)/25))/(LN(2)/25)*Calculateur!CG126*Calculateur!CI126*VLOOKUP('Données projet'!$B$12,Paramètres!$A$1:$I$89,3,0)*0.475*44/12</f>
        <v>4.2940058432500292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18.702812024024873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261.75887764015459</v>
      </c>
      <c r="CZ126" s="59">
        <f t="shared" si="96"/>
        <v>209.74127356028544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71.412825226471995</v>
      </c>
      <c r="DG126" s="21">
        <f>EXP(-LN(2)/25)*DG125+(1-EXP(-LN(2)/25))/(LN(2)/25)*Calculateur!DB126*Calculateur!DD126*VLOOKUP('Données projet'!$B$13,Paramètres!$A$1:$I$89,3,0)*0.475*44/12</f>
        <v>16.143596194060056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87.556421420532047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-2.2737367544323206E-13</v>
      </c>
      <c r="DP126" s="17">
        <f>DO126*VLOOKUP('Données projet'!$B$14,Paramètres!$A$1:$I$89,3,0)*VLOOKUP('Données projet'!$B$14,Paramètres!$A$1:$I$89,5,0)</f>
        <v>-1.8089849618263545E-13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215.37468832969444</v>
      </c>
      <c r="DU126" s="59">
        <f t="shared" si="98"/>
        <v>208.60212063136419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46.682234346267954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46.682234346267954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-2.2737367544323206E-13</v>
      </c>
      <c r="EK126" s="17">
        <f>EJ126*VLOOKUP('Données projet'!$B$15,Paramètres!$A$1:$I$89,3,0)*VLOOKUP('Données projet'!$B$15,Paramètres!$A$1:$I$89,5,0)</f>
        <v>-1.8089849618263545E-13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215.37468832969444</v>
      </c>
      <c r="EP126" s="59">
        <f t="shared" si="100"/>
        <v>208.60212063136419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46.682234346267954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46.682234346267954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-2.2737367544323206E-13</v>
      </c>
      <c r="FF126" s="17">
        <f>FE126*VLOOKUP('Données projet'!$B$16,Paramètres!$A$1:$I$89,3,0)*VLOOKUP('Données projet'!$B$16,Paramètres!$A$1:$I$89,5,0)</f>
        <v>-1.8444552551954985E-13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220.90439367987847</v>
      </c>
      <c r="FK126" s="59">
        <f t="shared" si="102"/>
        <v>213.66046131354858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47.597572274626174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47.597572274626174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1">
        <f t="shared" si="86"/>
        <v>27.102223064855114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67">
        <f t="shared" si="56"/>
        <v>515.72853183795587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6.8212102632969618E-13</v>
      </c>
      <c r="O127" s="13">
        <f>N127*VLOOKUP('Données projet'!$B$9,Paramètres!$A$1:$I$89,3,0)*VLOOKUP('Données projet'!$B$9,Paramètres!$A$1:$I$89,5,0)</f>
        <v>3.1923264032229784E-13</v>
      </c>
      <c r="P127" s="13">
        <f t="shared" si="87"/>
        <v>4.1896839804541558E-12</v>
      </c>
      <c r="Q127" s="20">
        <f t="shared" si="107"/>
        <v>7.8530297811856558E-12</v>
      </c>
      <c r="R127" s="59">
        <f t="shared" si="55"/>
        <v>293.33333333334116</v>
      </c>
      <c r="S127" s="59">
        <f ca="1">AVERAGE(OFFSET($R$3,0,0,'Données projet'!$E$9+1,1))-AVERAGE(OFFSET($H$3,0,0,'Données projet'!$E$9+1,1))</f>
        <v>196.72624686715807</v>
      </c>
      <c r="T127" s="59">
        <f t="shared" si="88"/>
        <v>37.315661698104691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130.43970542299422</v>
      </c>
      <c r="AA127" s="21">
        <f>EXP(-LN(2)/25)*AA126+(1-EXP(-LN(2)/25))/(LN(2)/25)*Calculateur!V127*Calculateur!X127*VLOOKUP('Données projet'!$B$9,Paramètres!$A$1:$I$89,3,0)*0.475*44/12</f>
        <v>44.748581665323741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175.18828708831796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-1.0000000000001137</v>
      </c>
      <c r="AJ127" s="13">
        <f>AI127*VLOOKUP('Données projet'!$B$10,Paramètres!$A$1:$I$89,3,0)*VLOOKUP('Données projet'!$B$10,Paramètres!$A$1:$I$89,5,0)</f>
        <v>-0.55900000000006356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325.42940802362739</v>
      </c>
      <c r="AO127" s="59">
        <f t="shared" si="90"/>
        <v>388.87198417542277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65.975274762609288</v>
      </c>
      <c r="AV127" s="21">
        <f>EXP(-LN(2)/25)*AV126+(1-EXP(-LN(2)/25))/(LN(2)/25)*Calculateur!AQ127*Calculateur!AS127*VLOOKUP('Données projet'!$B$10,Paramètres!$A$1:$I$89,3,0)*0.475*44/12</f>
        <v>15.346651979762219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81.321926742371502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</v>
      </c>
      <c r="BE127" s="13">
        <f>BD127*VLOOKUP('Données projet'!$B$11,Paramètres!$A$1:$I$89,3,0)*VLOOKUP('Données projet'!$B$11,Paramètres!$A$1:$I$89,5,0)</f>
        <v>-0.624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162.87524915738271</v>
      </c>
      <c r="BJ127" s="59">
        <f t="shared" si="92"/>
        <v>249.37880137966658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42.092076751811803</v>
      </c>
      <c r="BQ127" s="21">
        <f>EXP(-LN(2)/25)*BQ126+(1-EXP(-LN(2)/25))/(LN(2)/25)*Calculateur!BL127*Calculateur!BN127*VLOOKUP('Données projet'!$B$11,Paramètres!$A$1:$I$89,3,0)*0.475*44/12</f>
        <v>10.819860162087746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52.911936913899552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-1.4210854715202004E-13</v>
      </c>
      <c r="BZ127" s="13">
        <f>BY127*VLOOKUP('Données projet'!$B$12,Paramètres!$A$1:$I$89,3,0)*VLOOKUP('Données projet'!$B$12,Paramètres!$A$1:$I$89,5,0)</f>
        <v>-9.3109520094003535E-14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119.88584888779422</v>
      </c>
      <c r="CE127" s="59">
        <f t="shared" si="94"/>
        <v>162.97244314258774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14.126258280073825</v>
      </c>
      <c r="CL127" s="21">
        <f>EXP(-LN(2)/25)*CL126+(1-EXP(-LN(2)/25))/(LN(2)/25)*Calculateur!CG127*Calculateur!CI127*VLOOKUP('Données projet'!$B$12,Paramètres!$A$1:$I$89,3,0)*0.475*44/12</f>
        <v>4.1765860276544036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18.302844307728229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261.75887764015459</v>
      </c>
      <c r="CZ127" s="59">
        <f t="shared" si="96"/>
        <v>209.74127356028544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70.012463281303326</v>
      </c>
      <c r="DG127" s="21">
        <f>EXP(-LN(2)/25)*DG126+(1-EXP(-LN(2)/25))/(LN(2)/25)*Calculateur!DB127*Calculateur!DD127*VLOOKUP('Données projet'!$B$13,Paramètres!$A$1:$I$89,3,0)*0.475*44/12</f>
        <v>15.702148707178656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85.714611988481977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-2.2737367544323206E-13</v>
      </c>
      <c r="DP127" s="17">
        <f>DO127*VLOOKUP('Données projet'!$B$14,Paramètres!$A$1:$I$89,3,0)*VLOOKUP('Données projet'!$B$14,Paramètres!$A$1:$I$89,5,0)</f>
        <v>-1.8089849618263545E-13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215.37468832969444</v>
      </c>
      <c r="DU127" s="59">
        <f t="shared" si="98"/>
        <v>208.60212063136419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45.766824204089083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45.766824204089083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-2.2737367544323206E-13</v>
      </c>
      <c r="EK127" s="17">
        <f>EJ127*VLOOKUP('Données projet'!$B$15,Paramètres!$A$1:$I$89,3,0)*VLOOKUP('Données projet'!$B$15,Paramètres!$A$1:$I$89,5,0)</f>
        <v>-1.8089849618263545E-13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215.37468832969444</v>
      </c>
      <c r="EP127" s="59">
        <f t="shared" si="100"/>
        <v>208.60212063136419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45.766824204089083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45.766824204089083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-2.2737367544323206E-13</v>
      </c>
      <c r="FF127" s="17">
        <f>FE127*VLOOKUP('Données projet'!$B$16,Paramètres!$A$1:$I$89,3,0)*VLOOKUP('Données projet'!$B$16,Paramètres!$A$1:$I$89,5,0)</f>
        <v>-1.8444552551954985E-13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220.90439367987847</v>
      </c>
      <c r="FK127" s="59">
        <f t="shared" si="102"/>
        <v>213.66046131354858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46.664212913973202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46.664212913973202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1">
        <f t="shared" si="86"/>
        <v>27.295257887453797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67">
        <f t="shared" si="56"/>
        <v>517.47757415398189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6.8212102632969618E-13</v>
      </c>
      <c r="O128" s="13">
        <f>N128*VLOOKUP('Données projet'!$B$9,Paramètres!$A$1:$I$89,3,0)*VLOOKUP('Données projet'!$B$9,Paramètres!$A$1:$I$89,5,0)</f>
        <v>3.1923264032229784E-13</v>
      </c>
      <c r="P128" s="13">
        <f t="shared" si="87"/>
        <v>4.1896839804541558E-12</v>
      </c>
      <c r="Q128" s="20">
        <f t="shared" si="107"/>
        <v>7.8530297811856558E-12</v>
      </c>
      <c r="R128" s="59">
        <f t="shared" si="55"/>
        <v>293.33333333334116</v>
      </c>
      <c r="S128" s="59">
        <f ca="1">AVERAGE(OFFSET($R$3,0,0,'Données projet'!$E$9+1,1))-AVERAGE(OFFSET($H$3,0,0,'Données projet'!$E$9+1,1))</f>
        <v>196.72624686715807</v>
      </c>
      <c r="T128" s="59">
        <f t="shared" si="88"/>
        <v>37.315661698104691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127.88186236001368</v>
      </c>
      <c r="AA128" s="21">
        <f>EXP(-LN(2)/25)*AA127+(1-EXP(-LN(2)/25))/(LN(2)/25)*Calculateur!V128*Calculateur!X128*VLOOKUP('Données projet'!$B$9,Paramètres!$A$1:$I$89,3,0)*0.475*44/12</f>
        <v>43.524929346459828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171.40679170647351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-1.0000000000001137</v>
      </c>
      <c r="AJ128" s="13">
        <f>AI128*VLOOKUP('Données projet'!$B$10,Paramètres!$A$1:$I$89,3,0)*VLOOKUP('Données projet'!$B$10,Paramètres!$A$1:$I$89,5,0)</f>
        <v>-0.55900000000006356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325.42940802362739</v>
      </c>
      <c r="AO128" s="59">
        <f t="shared" si="90"/>
        <v>388.87198417542277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64.68153986545866</v>
      </c>
      <c r="AV128" s="21">
        <f>EXP(-LN(2)/25)*AV127+(1-EXP(-LN(2)/25))/(LN(2)/25)*Calculateur!AQ128*Calculateur!AS128*VLOOKUP('Données projet'!$B$10,Paramètres!$A$1:$I$89,3,0)*0.475*44/12</f>
        <v>14.926996974330269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79.608536839788925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</v>
      </c>
      <c r="BE128" s="13">
        <f>BD128*VLOOKUP('Données projet'!$B$11,Paramètres!$A$1:$I$89,3,0)*VLOOKUP('Données projet'!$B$11,Paramètres!$A$1:$I$89,5,0)</f>
        <v>-0.624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162.87524915738271</v>
      </c>
      <c r="BJ128" s="59">
        <f t="shared" si="92"/>
        <v>249.37880137966658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41.266676800340534</v>
      </c>
      <c r="BQ128" s="21">
        <f>EXP(-LN(2)/25)*BQ127+(1-EXP(-LN(2)/25))/(LN(2)/25)*Calculateur!BL128*Calculateur!BN128*VLOOKUP('Données projet'!$B$11,Paramètres!$A$1:$I$89,3,0)*0.475*44/12</f>
        <v>10.523990516963741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51.790667317304276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-1.4210854715202004E-13</v>
      </c>
      <c r="BZ128" s="13">
        <f>BY128*VLOOKUP('Données projet'!$B$12,Paramètres!$A$1:$I$89,3,0)*VLOOKUP('Données projet'!$B$12,Paramètres!$A$1:$I$89,5,0)</f>
        <v>-9.3109520094003535E-14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119.88584888779422</v>
      </c>
      <c r="CE128" s="59">
        <f t="shared" si="94"/>
        <v>162.97244314258774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13.849250971368352</v>
      </c>
      <c r="CL128" s="21">
        <f>EXP(-LN(2)/25)*CL127+(1-EXP(-LN(2)/25))/(LN(2)/25)*Calculateur!CG128*Calculateur!CI128*VLOOKUP('Données projet'!$B$12,Paramètres!$A$1:$I$89,3,0)*0.475*44/12</f>
        <v>4.0623770630910805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17.911628034459433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261.75887764015459</v>
      </c>
      <c r="CZ128" s="59">
        <f t="shared" si="96"/>
        <v>209.74127356028544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68.63956157974296</v>
      </c>
      <c r="DG128" s="21">
        <f>EXP(-LN(2)/25)*DG127+(1-EXP(-LN(2)/25))/(LN(2)/25)*Calculateur!DB128*Calculateur!DD128*VLOOKUP('Données projet'!$B$13,Paramètres!$A$1:$I$89,3,0)*0.475*44/12</f>
        <v>15.272772625040743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83.912334204783704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-2.2737367544323206E-13</v>
      </c>
      <c r="DP128" s="17">
        <f>DO128*VLOOKUP('Données projet'!$B$14,Paramètres!$A$1:$I$89,3,0)*VLOOKUP('Données projet'!$B$14,Paramètres!$A$1:$I$89,5,0)</f>
        <v>-1.8089849618263545E-13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215.37468832969444</v>
      </c>
      <c r="DU128" s="59">
        <f t="shared" si="98"/>
        <v>208.60212063136419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44.869364696453282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44.869364696453282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-2.2737367544323206E-13</v>
      </c>
      <c r="EK128" s="17">
        <f>EJ128*VLOOKUP('Données projet'!$B$15,Paramètres!$A$1:$I$89,3,0)*VLOOKUP('Données projet'!$B$15,Paramètres!$A$1:$I$89,5,0)</f>
        <v>-1.8089849618263545E-13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215.37468832969444</v>
      </c>
      <c r="EP128" s="59">
        <f t="shared" si="100"/>
        <v>208.60212063136419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44.869364696453282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44.869364696453282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-2.2737367544323206E-13</v>
      </c>
      <c r="FF128" s="17">
        <f>FE128*VLOOKUP('Données projet'!$B$16,Paramètres!$A$1:$I$89,3,0)*VLOOKUP('Données projet'!$B$16,Paramètres!$A$1:$I$89,5,0)</f>
        <v>-1.8444552551954985E-13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220.90439367987847</v>
      </c>
      <c r="FK128" s="59">
        <f t="shared" si="102"/>
        <v>213.66046131354858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45.749156161089644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45.749156161089644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1">
        <f t="shared" si="86"/>
        <v>27.488113037666018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67">
        <f t="shared" si="56"/>
        <v>519.22630354060152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6.8212102632969618E-13</v>
      </c>
      <c r="O129" s="13">
        <f>N129*VLOOKUP('Données projet'!$B$9,Paramètres!$A$1:$I$89,3,0)*VLOOKUP('Données projet'!$B$9,Paramètres!$A$1:$I$89,5,0)</f>
        <v>3.1923264032229784E-13</v>
      </c>
      <c r="P129" s="13">
        <f t="shared" si="87"/>
        <v>4.1896839804541558E-12</v>
      </c>
      <c r="Q129" s="20">
        <f t="shared" si="107"/>
        <v>7.8530297811856558E-12</v>
      </c>
      <c r="R129" s="59">
        <f t="shared" si="55"/>
        <v>293.33333333334116</v>
      </c>
      <c r="S129" s="59">
        <f ca="1">AVERAGE(OFFSET($R$3,0,0,'Données projet'!$E$9+1,1))-AVERAGE(OFFSET($H$3,0,0,'Données projet'!$E$9+1,1))</f>
        <v>196.72624686715807</v>
      </c>
      <c r="T129" s="59">
        <f t="shared" si="88"/>
        <v>37.315661698104691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125.37417703936798</v>
      </c>
      <c r="AA129" s="21">
        <f>EXP(-LN(2)/25)*AA128+(1-EXP(-LN(2)/25))/(LN(2)/25)*Calculateur!V129*Calculateur!X129*VLOOKUP('Données projet'!$B$9,Paramètres!$A$1:$I$89,3,0)*0.475*44/12</f>
        <v>42.334737864604328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167.7089149039723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-1.0000000000001137</v>
      </c>
      <c r="AJ129" s="13">
        <f>AI129*VLOOKUP('Données projet'!$B$10,Paramètres!$A$1:$I$89,3,0)*VLOOKUP('Données projet'!$B$10,Paramètres!$A$1:$I$89,5,0)</f>
        <v>-0.55900000000006356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325.42940802362739</v>
      </c>
      <c r="AO129" s="59">
        <f t="shared" si="90"/>
        <v>388.87198417542277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63.41317432054079</v>
      </c>
      <c r="AV129" s="21">
        <f>EXP(-LN(2)/25)*AV128+(1-EXP(-LN(2)/25))/(LN(2)/25)*Calculateur!AQ129*Calculateur!AS129*VLOOKUP('Données projet'!$B$10,Paramètres!$A$1:$I$89,3,0)*0.475*44/12</f>
        <v>14.518817457090552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77.931991777631339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</v>
      </c>
      <c r="BE129" s="13">
        <f>BD129*VLOOKUP('Données projet'!$B$11,Paramètres!$A$1:$I$89,3,0)*VLOOKUP('Données projet'!$B$11,Paramètres!$A$1:$I$89,5,0)</f>
        <v>-0.624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162.87524915738271</v>
      </c>
      <c r="BJ129" s="59">
        <f t="shared" si="92"/>
        <v>249.37880137966658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40.457462438473357</v>
      </c>
      <c r="BQ129" s="21">
        <f>EXP(-LN(2)/25)*BQ128+(1-EXP(-LN(2)/25))/(LN(2)/25)*Calculateur!BL129*Calculateur!BN129*VLOOKUP('Données projet'!$B$11,Paramètres!$A$1:$I$89,3,0)*0.475*44/12</f>
        <v>10.236211442844759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50.693673881318119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-1.4210854715202004E-13</v>
      </c>
      <c r="BZ129" s="13">
        <f>BY129*VLOOKUP('Données projet'!$B$12,Paramètres!$A$1:$I$89,3,0)*VLOOKUP('Données projet'!$B$12,Paramètres!$A$1:$I$89,5,0)</f>
        <v>-9.3109520094003535E-14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119.88584888779422</v>
      </c>
      <c r="CE129" s="59">
        <f t="shared" si="94"/>
        <v>162.97244314258774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13.577675607028819</v>
      </c>
      <c r="CL129" s="21">
        <f>EXP(-LN(2)/25)*CL128+(1-EXP(-LN(2)/25))/(LN(2)/25)*Calculateur!CG129*Calculateur!CI129*VLOOKUP('Données projet'!$B$12,Paramètres!$A$1:$I$89,3,0)*0.475*44/12</f>
        <v>3.9512911486697297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17.528966755698548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261.75887764015459</v>
      </c>
      <c r="CZ129" s="59">
        <f t="shared" si="96"/>
        <v>209.74127356028544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67.293581643162838</v>
      </c>
      <c r="DG129" s="21">
        <f>EXP(-LN(2)/25)*DG128+(1-EXP(-LN(2)/25))/(LN(2)/25)*Calculateur!DB129*Calculateur!DD129*VLOOKUP('Données projet'!$B$13,Paramètres!$A$1:$I$89,3,0)*0.475*44/12</f>
        <v>14.855137854448797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82.148719497611637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-2.2737367544323206E-13</v>
      </c>
      <c r="DP129" s="17">
        <f>DO129*VLOOKUP('Données projet'!$B$14,Paramètres!$A$1:$I$89,3,0)*VLOOKUP('Données projet'!$B$14,Paramètres!$A$1:$I$89,5,0)</f>
        <v>-1.8089849618263545E-13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215.37468832969444</v>
      </c>
      <c r="DU129" s="59">
        <f t="shared" si="98"/>
        <v>208.60212063136419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43.989503822365968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43.989503822365968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-2.2737367544323206E-13</v>
      </c>
      <c r="EK129" s="17">
        <f>EJ129*VLOOKUP('Données projet'!$B$15,Paramètres!$A$1:$I$89,3,0)*VLOOKUP('Données projet'!$B$15,Paramètres!$A$1:$I$89,5,0)</f>
        <v>-1.8089849618263545E-13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215.37468832969444</v>
      </c>
      <c r="EP129" s="59">
        <f t="shared" si="100"/>
        <v>208.60212063136419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43.989503822365968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43.989503822365968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-2.2737367544323206E-13</v>
      </c>
      <c r="FF129" s="17">
        <f>FE129*VLOOKUP('Données projet'!$B$16,Paramètres!$A$1:$I$89,3,0)*VLOOKUP('Données projet'!$B$16,Paramètres!$A$1:$I$89,5,0)</f>
        <v>-1.8444552551954985E-13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220.90439367987847</v>
      </c>
      <c r="FK129" s="59">
        <f t="shared" si="102"/>
        <v>213.66046131354858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44.852043113000619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44.852043113000619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1">
        <f t="shared" si="86"/>
        <v>27.680790106744631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67">
        <f t="shared" si="56"/>
        <v>520.9747227692468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6.8212102632969618E-13</v>
      </c>
      <c r="O130" s="13">
        <f>N130*VLOOKUP('Données projet'!$B$9,Paramètres!$A$1:$I$89,3,0)*VLOOKUP('Données projet'!$B$9,Paramètres!$A$1:$I$89,5,0)</f>
        <v>3.1923264032229784E-13</v>
      </c>
      <c r="P130" s="13">
        <f t="shared" si="87"/>
        <v>4.1896839804541558E-12</v>
      </c>
      <c r="Q130" s="20">
        <f t="shared" si="107"/>
        <v>7.8530297811856558E-12</v>
      </c>
      <c r="R130" s="59">
        <f t="shared" si="55"/>
        <v>293.33333333334116</v>
      </c>
      <c r="S130" s="59">
        <f ca="1">AVERAGE(OFFSET($R$3,0,0,'Données projet'!$E$9+1,1))-AVERAGE(OFFSET($H$3,0,0,'Données projet'!$E$9+1,1))</f>
        <v>196.72624686715807</v>
      </c>
      <c r="T130" s="59">
        <f t="shared" si="88"/>
        <v>37.315661698104691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122.91566589832311</v>
      </c>
      <c r="AA130" s="21">
        <f>EXP(-LN(2)/25)*AA129+(1-EXP(-LN(2)/25))/(LN(2)/25)*Calculateur!V130*Calculateur!X130*VLOOKUP('Données projet'!$B$9,Paramètres!$A$1:$I$89,3,0)*0.475*44/12</f>
        <v>41.177092231409617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164.09275812973272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-1.0000000000001137</v>
      </c>
      <c r="AJ130" s="13">
        <f>AI130*VLOOKUP('Données projet'!$B$10,Paramètres!$A$1:$I$89,3,0)*VLOOKUP('Données projet'!$B$10,Paramètres!$A$1:$I$89,5,0)</f>
        <v>-0.55900000000006356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325.42940802362739</v>
      </c>
      <c r="AO130" s="59">
        <f t="shared" si="90"/>
        <v>388.87198417542277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62.169680650332161</v>
      </c>
      <c r="AV130" s="21">
        <f>EXP(-LN(2)/25)*AV129+(1-EXP(-LN(2)/25))/(LN(2)/25)*Calculateur!AQ130*Calculateur!AS130*VLOOKUP('Données projet'!$B$10,Paramètres!$A$1:$I$89,3,0)*0.475*44/12</f>
        <v>14.121799630214984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76.291480280547148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</v>
      </c>
      <c r="BE130" s="13">
        <f>BD130*VLOOKUP('Données projet'!$B$11,Paramètres!$A$1:$I$89,3,0)*VLOOKUP('Données projet'!$B$11,Paramètres!$A$1:$I$89,5,0)</f>
        <v>-0.624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162.87524915738271</v>
      </c>
      <c r="BJ130" s="59">
        <f t="shared" si="92"/>
        <v>249.37880137966658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39.66411627667037</v>
      </c>
      <c r="BQ130" s="21">
        <f>EXP(-LN(2)/25)*BQ129+(1-EXP(-LN(2)/25))/(LN(2)/25)*Calculateur!BL130*Calculateur!BN130*VLOOKUP('Données projet'!$B$11,Paramètres!$A$1:$I$89,3,0)*0.475*44/12</f>
        <v>9.9563017026412037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49.620417979311576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-1.4210854715202004E-13</v>
      </c>
      <c r="BZ130" s="13">
        <f>BY130*VLOOKUP('Données projet'!$B$12,Paramètres!$A$1:$I$89,3,0)*VLOOKUP('Données projet'!$B$12,Paramètres!$A$1:$I$89,5,0)</f>
        <v>-9.3109520094003535E-14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119.88584888779422</v>
      </c>
      <c r="CE130" s="59">
        <f t="shared" si="94"/>
        <v>162.97244314258774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13.311425669939368</v>
      </c>
      <c r="CL130" s="21">
        <f>EXP(-LN(2)/25)*CL129+(1-EXP(-LN(2)/25))/(LN(2)/25)*Calculateur!CG130*Calculateur!CI130*VLOOKUP('Données projet'!$B$12,Paramètres!$A$1:$I$89,3,0)*0.475*44/12</f>
        <v>3.8432428844199853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17.154668554359354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261.75887764015459</v>
      </c>
      <c r="CZ130" s="59">
        <f t="shared" si="96"/>
        <v>209.74127356028544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65.973995552172354</v>
      </c>
      <c r="DG130" s="21">
        <f>EXP(-LN(2)/25)*DG129+(1-EXP(-LN(2)/25))/(LN(2)/25)*Calculateur!DB130*Calculateur!DD130*VLOOKUP('Données projet'!$B$13,Paramètres!$A$1:$I$89,3,0)*0.475*44/12</f>
        <v>14.448923328621147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80.422918880793503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-2.2737367544323206E-13</v>
      </c>
      <c r="DP130" s="17">
        <f>DO130*VLOOKUP('Données projet'!$B$14,Paramètres!$A$1:$I$89,3,0)*VLOOKUP('Données projet'!$B$14,Paramètres!$A$1:$I$89,5,0)</f>
        <v>-1.8089849618263545E-13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215.37468832969444</v>
      </c>
      <c r="DU130" s="59">
        <f t="shared" si="98"/>
        <v>208.60212063136419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43.12689648335737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43.12689648335737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-2.2737367544323206E-13</v>
      </c>
      <c r="EK130" s="17">
        <f>EJ130*VLOOKUP('Données projet'!$B$15,Paramètres!$A$1:$I$89,3,0)*VLOOKUP('Données projet'!$B$15,Paramètres!$A$1:$I$89,5,0)</f>
        <v>-1.8089849618263545E-13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215.37468832969444</v>
      </c>
      <c r="EP130" s="59">
        <f t="shared" si="100"/>
        <v>208.60212063136419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43.12689648335737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43.12689648335737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-2.2737367544323206E-13</v>
      </c>
      <c r="FF130" s="17">
        <f>FE130*VLOOKUP('Données projet'!$B$16,Paramètres!$A$1:$I$89,3,0)*VLOOKUP('Données projet'!$B$16,Paramètres!$A$1:$I$89,5,0)</f>
        <v>-1.8444552551954985E-13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220.90439367987847</v>
      </c>
      <c r="FK130" s="59">
        <f t="shared" si="102"/>
        <v>213.66046131354858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43.972521904599695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43.972521904599695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1">
        <f t="shared" si="86"/>
        <v>27.873290659436186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67">
        <f t="shared" si="56"/>
        <v>522.7228345651846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6.8212102632969618E-13</v>
      </c>
      <c r="O131" s="13">
        <f>N131*VLOOKUP('Données projet'!$B$9,Paramètres!$A$1:$I$89,3,0)*VLOOKUP('Données projet'!$B$9,Paramètres!$A$1:$I$89,5,0)</f>
        <v>3.1923264032229784E-13</v>
      </c>
      <c r="P131" s="13">
        <f t="shared" si="87"/>
        <v>4.1896839804541558E-12</v>
      </c>
      <c r="Q131" s="20">
        <f t="shared" ref="Q131:Q153" si="108">(O131+P131)*0.475*44/12</f>
        <v>7.8530297811856558E-12</v>
      </c>
      <c r="R131" s="59">
        <f t="shared" ref="R131:R194" si="109">Q131+(I131+J131)*44/12</f>
        <v>293.33333333334116</v>
      </c>
      <c r="S131" s="59">
        <f ca="1">AVERAGE(OFFSET($R$3,0,0,'Données projet'!$E$9+1,1))-AVERAGE(OFFSET($H$3,0,0,'Données projet'!$E$9+1,1))</f>
        <v>196.72624686715807</v>
      </c>
      <c r="T131" s="59">
        <f t="shared" si="88"/>
        <v>37.315661698104691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120.50536466121041</v>
      </c>
      <c r="AA131" s="21">
        <f>EXP(-LN(2)/25)*AA130+(1-EXP(-LN(2)/25))/(LN(2)/25)*Calculateur!V131*Calculateur!X131*VLOOKUP('Données projet'!$B$9,Paramètres!$A$1:$I$89,3,0)*0.475*44/12</f>
        <v>40.051102478932549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160.55646714014296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-1.0000000000001137</v>
      </c>
      <c r="AJ131" s="13">
        <f>AI131*VLOOKUP('Données projet'!$B$10,Paramètres!$A$1:$I$89,3,0)*VLOOKUP('Données projet'!$B$10,Paramètres!$A$1:$I$89,5,0)</f>
        <v>-0.55900000000006356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325.42940802362739</v>
      </c>
      <c r="AO131" s="59">
        <f t="shared" si="90"/>
        <v>388.87198417542277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60.950571132540077</v>
      </c>
      <c r="AV131" s="21">
        <f>EXP(-LN(2)/25)*AV130+(1-EXP(-LN(2)/25))/(LN(2)/25)*Calculateur!AQ131*Calculateur!AS131*VLOOKUP('Données projet'!$B$10,Paramètres!$A$1:$I$89,3,0)*0.475*44/12</f>
        <v>13.735638276693589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74.686209409233669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</v>
      </c>
      <c r="BE131" s="13">
        <f>BD131*VLOOKUP('Données projet'!$B$11,Paramètres!$A$1:$I$89,3,0)*VLOOKUP('Données projet'!$B$11,Paramètres!$A$1:$I$89,5,0)</f>
        <v>-0.624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162.87524915738271</v>
      </c>
      <c r="BJ131" s="59">
        <f t="shared" si="92"/>
        <v>249.37880137966658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38.886327149206963</v>
      </c>
      <c r="BQ131" s="21">
        <f>EXP(-LN(2)/25)*BQ130+(1-EXP(-LN(2)/25))/(LN(2)/25)*Calculateur!BL131*Calculateur!BN131*VLOOKUP('Données projet'!$B$11,Paramètres!$A$1:$I$89,3,0)*0.475*44/12</f>
        <v>9.6840461090033294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48.570373258210296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-1.4210854715202004E-13</v>
      </c>
      <c r="BZ131" s="13">
        <f>BY131*VLOOKUP('Données projet'!$B$12,Paramètres!$A$1:$I$89,3,0)*VLOOKUP('Données projet'!$B$12,Paramètres!$A$1:$I$89,5,0)</f>
        <v>-9.3109520094003535E-14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119.88584888779422</v>
      </c>
      <c r="CE131" s="59">
        <f t="shared" si="94"/>
        <v>162.97244314258774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13.050396731719815</v>
      </c>
      <c r="CL131" s="21">
        <f>EXP(-LN(2)/25)*CL130+(1-EXP(-LN(2)/25))/(LN(2)/25)*Calculateur!CG131*Calculateur!CI131*VLOOKUP('Données projet'!$B$12,Paramètres!$A$1:$I$89,3,0)*0.475*44/12</f>
        <v>3.7381492056381616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16.788545937357977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261.75887764015459</v>
      </c>
      <c r="CZ131" s="59">
        <f t="shared" si="96"/>
        <v>209.74127356028544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64.680285739558158</v>
      </c>
      <c r="DG131" s="21">
        <f>EXP(-LN(2)/25)*DG130+(1-EXP(-LN(2)/25))/(LN(2)/25)*Calculateur!DB131*Calculateur!DD131*VLOOKUP('Données projet'!$B$13,Paramètres!$A$1:$I$89,3,0)*0.475*44/12</f>
        <v>14.053816760364148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78.734102499922301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-2.2737367544323206E-13</v>
      </c>
      <c r="DP131" s="17">
        <f>DO131*VLOOKUP('Données projet'!$B$14,Paramètres!$A$1:$I$89,3,0)*VLOOKUP('Données projet'!$B$14,Paramètres!$A$1:$I$89,5,0)</f>
        <v>-1.8089849618263545E-13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215.37468832969444</v>
      </c>
      <c r="DU131" s="59">
        <f t="shared" si="98"/>
        <v>208.60212063136419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42.281204348128206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42.281204348128206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-2.2737367544323206E-13</v>
      </c>
      <c r="EK131" s="17">
        <f>EJ131*VLOOKUP('Données projet'!$B$15,Paramètres!$A$1:$I$89,3,0)*VLOOKUP('Données projet'!$B$15,Paramètres!$A$1:$I$89,5,0)</f>
        <v>-1.8089849618263545E-13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215.37468832969444</v>
      </c>
      <c r="EP131" s="59">
        <f t="shared" si="100"/>
        <v>208.60212063136419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42.281204348128206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42.281204348128206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-2.2737367544323206E-13</v>
      </c>
      <c r="FF131" s="17">
        <f>FE131*VLOOKUP('Données projet'!$B$16,Paramètres!$A$1:$I$89,3,0)*VLOOKUP('Données projet'!$B$16,Paramètres!$A$1:$I$89,5,0)</f>
        <v>-1.8444552551954985E-13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220.90439367987847</v>
      </c>
      <c r="FK131" s="59">
        <f t="shared" si="102"/>
        <v>213.66046131354858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43.110247570640546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43.110247570640546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1">
        <f t="shared" si="86"/>
        <v>28.065616234626216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67">
        <f t="shared" ref="H132:H195" si="110">(B132+E132+F132)*44/12+(C132+D132)*0.475*44/12</f>
        <v>524.47064160864056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6.8212102632969618E-13</v>
      </c>
      <c r="O132" s="13">
        <f>N132*VLOOKUP('Données projet'!$B$9,Paramètres!$A$1:$I$89,3,0)*VLOOKUP('Données projet'!$B$9,Paramètres!$A$1:$I$89,5,0)</f>
        <v>3.1923264032229784E-13</v>
      </c>
      <c r="P132" s="13">
        <f t="shared" si="87"/>
        <v>4.1896839804541558E-12</v>
      </c>
      <c r="Q132" s="20">
        <f t="shared" si="108"/>
        <v>7.8530297811856558E-12</v>
      </c>
      <c r="R132" s="59">
        <f t="shared" si="109"/>
        <v>293.33333333334116</v>
      </c>
      <c r="S132" s="59">
        <f ca="1">AVERAGE(OFFSET($R$3,0,0,'Données projet'!$E$9+1,1))-AVERAGE(OFFSET($H$3,0,0,'Données projet'!$E$9+1,1))</f>
        <v>196.72624686715807</v>
      </c>
      <c r="T132" s="59">
        <f t="shared" si="88"/>
        <v>37.315661698104691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118.1423279612189</v>
      </c>
      <c r="AA132" s="21">
        <f>EXP(-LN(2)/25)*AA131+(1-EXP(-LN(2)/25))/(LN(2)/25)*Calculateur!V132*Calculateur!X132*VLOOKUP('Données projet'!$B$9,Paramètres!$A$1:$I$89,3,0)*0.475*44/12</f>
        <v>38.955902975450194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157.0982309366691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-1.0000000000001137</v>
      </c>
      <c r="AJ132" s="13">
        <f>AI132*VLOOKUP('Données projet'!$B$10,Paramètres!$A$1:$I$89,3,0)*VLOOKUP('Données projet'!$B$10,Paramètres!$A$1:$I$89,5,0)</f>
        <v>-0.55900000000006356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325.42940802362739</v>
      </c>
      <c r="AO132" s="59">
        <f t="shared" si="90"/>
        <v>388.87198417542277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59.755367608808513</v>
      </c>
      <c r="AV132" s="21">
        <f>EXP(-LN(2)/25)*AV131+(1-EXP(-LN(2)/25))/(LN(2)/25)*Calculateur!AQ132*Calculateur!AS132*VLOOKUP('Données projet'!$B$10,Paramètres!$A$1:$I$89,3,0)*0.475*44/12</f>
        <v>13.360036525691578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73.115404134500096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</v>
      </c>
      <c r="BE132" s="13">
        <f>BD132*VLOOKUP('Données projet'!$B$11,Paramètres!$A$1:$I$89,3,0)*VLOOKUP('Données projet'!$B$11,Paramètres!$A$1:$I$89,5,0)</f>
        <v>-0.624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162.87524915738271</v>
      </c>
      <c r="BJ132" s="59">
        <f t="shared" si="92"/>
        <v>249.37880137966658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38.123789992128586</v>
      </c>
      <c r="BQ132" s="21">
        <f>EXP(-LN(2)/25)*BQ131+(1-EXP(-LN(2)/25))/(LN(2)/25)*Calculateur!BL132*Calculateur!BN132*VLOOKUP('Données projet'!$B$11,Paramètres!$A$1:$I$89,3,0)*0.475*44/12</f>
        <v>9.4192353588907825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47.543025351019367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-1.4210854715202004E-13</v>
      </c>
      <c r="BZ132" s="13">
        <f>BY132*VLOOKUP('Données projet'!$B$12,Paramètres!$A$1:$I$89,3,0)*VLOOKUP('Données projet'!$B$12,Paramètres!$A$1:$I$89,5,0)</f>
        <v>-9.3109520094003535E-14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119.88584888779422</v>
      </c>
      <c r="CE132" s="59">
        <f t="shared" si="94"/>
        <v>162.97244314258774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12.794486411766815</v>
      </c>
      <c r="CL132" s="21">
        <f>EXP(-LN(2)/25)*CL131+(1-EXP(-LN(2)/25))/(LN(2)/25)*Calculateur!CG132*Calculateur!CI132*VLOOKUP('Données projet'!$B$12,Paramètres!$A$1:$I$89,3,0)*0.475*44/12</f>
        <v>3.635929319029263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16.430415730796078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261.75887764015459</v>
      </c>
      <c r="CZ132" s="59">
        <f t="shared" si="96"/>
        <v>209.74127356028544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63.411944787284256</v>
      </c>
      <c r="DG132" s="21">
        <f>EXP(-LN(2)/25)*DG131+(1-EXP(-LN(2)/25))/(LN(2)/25)*Calculateur!DB132*Calculateur!DD132*VLOOKUP('Données projet'!$B$13,Paramètres!$A$1:$I$89,3,0)*0.475*44/12</f>
        <v>13.669514401993887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77.081459189278149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-2.2737367544323206E-13</v>
      </c>
      <c r="DP132" s="17">
        <f>DO132*VLOOKUP('Données projet'!$B$14,Paramètres!$A$1:$I$89,3,0)*VLOOKUP('Données projet'!$B$14,Paramètres!$A$1:$I$89,5,0)</f>
        <v>-1.8089849618263545E-13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215.37468832969444</v>
      </c>
      <c r="DU132" s="59">
        <f t="shared" si="98"/>
        <v>208.60212063136419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41.452095719849616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41.452095719849616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-2.2737367544323206E-13</v>
      </c>
      <c r="EK132" s="17">
        <f>EJ132*VLOOKUP('Données projet'!$B$15,Paramètres!$A$1:$I$89,3,0)*VLOOKUP('Données projet'!$B$15,Paramètres!$A$1:$I$89,5,0)</f>
        <v>-1.8089849618263545E-13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215.37468832969444</v>
      </c>
      <c r="EP132" s="59">
        <f t="shared" si="100"/>
        <v>208.60212063136419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41.452095719849616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41.452095719849616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-2.2737367544323206E-13</v>
      </c>
      <c r="FF132" s="17">
        <f>FE132*VLOOKUP('Données projet'!$B$16,Paramètres!$A$1:$I$89,3,0)*VLOOKUP('Données projet'!$B$16,Paramètres!$A$1:$I$89,5,0)</f>
        <v>-1.8444552551954985E-13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220.90439367987847</v>
      </c>
      <c r="FK132" s="59">
        <f t="shared" si="102"/>
        <v>213.66046131354858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42.264881910434923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42.264881910434923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1">
        <f t="shared" ref="D133:D196" si="140">IFERROR(EXP(-1.0587+0.8836*LN(C133)+0.284),0)</f>
        <v>28.257768345963548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67">
        <f t="shared" si="110"/>
        <v>526.21814653588638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6.8212102632969618E-13</v>
      </c>
      <c r="O133" s="13">
        <f>N133*VLOOKUP('Données projet'!$B$9,Paramètres!$A$1:$I$89,3,0)*VLOOKUP('Données projet'!$B$9,Paramètres!$A$1:$I$89,5,0)</f>
        <v>3.1923264032229784E-13</v>
      </c>
      <c r="P133" s="13">
        <f t="shared" ref="P133:P196" si="141">EXP(-1.0587+0.8836*LN(O133)+0.284)</f>
        <v>4.1896839804541558E-12</v>
      </c>
      <c r="Q133" s="20">
        <f t="shared" si="108"/>
        <v>7.8530297811856558E-12</v>
      </c>
      <c r="R133" s="59">
        <f t="shared" si="109"/>
        <v>293.33333333334116</v>
      </c>
      <c r="S133" s="59">
        <f ca="1">AVERAGE(OFFSET($R$3,0,0,'Données projet'!$E$9+1,1))-AVERAGE(OFFSET($H$3,0,0,'Données projet'!$E$9+1,1))</f>
        <v>196.72624686715807</v>
      </c>
      <c r="T133" s="59">
        <f t="shared" ref="T133:T196" si="142">$T$3</f>
        <v>37.315661698104691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115.82562896960414</v>
      </c>
      <c r="AA133" s="21">
        <f>EXP(-LN(2)/25)*AA132+(1-EXP(-LN(2)/25))/(LN(2)/25)*Calculateur!V133*Calculateur!X133*VLOOKUP('Données projet'!$B$9,Paramètres!$A$1:$I$89,3,0)*0.475*44/12</f>
        <v>37.890651759984607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153.71628072958873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-1.0000000000001137</v>
      </c>
      <c r="AJ133" s="13">
        <f>AI133*VLOOKUP('Données projet'!$B$10,Paramètres!$A$1:$I$89,3,0)*VLOOKUP('Données projet'!$B$10,Paramètres!$A$1:$I$89,5,0)</f>
        <v>-0.55900000000006356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325.42940802362739</v>
      </c>
      <c r="AO133" s="59">
        <f t="shared" ref="AO133:AO196" si="144">$AO$3</f>
        <v>388.87198417542277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58.583601297175157</v>
      </c>
      <c r="AV133" s="21">
        <f>EXP(-LN(2)/25)*AV132+(1-EXP(-LN(2)/25))/(LN(2)/25)*Calculateur!AQ133*Calculateur!AS133*VLOOKUP('Données projet'!$B$10,Paramètres!$A$1:$I$89,3,0)*0.475*44/12</f>
        <v>12.994705624322757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71.578306921497912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</v>
      </c>
      <c r="BE133" s="13">
        <f>BD133*VLOOKUP('Données projet'!$B$11,Paramètres!$A$1:$I$89,3,0)*VLOOKUP('Données projet'!$B$11,Paramètres!$A$1:$I$89,5,0)</f>
        <v>-0.624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162.87524915738271</v>
      </c>
      <c r="BJ133" s="59">
        <f t="shared" ref="BJ133:BJ196" si="146">$BJ$3</f>
        <v>249.37880137966658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37.376205723598773</v>
      </c>
      <c r="BQ133" s="21">
        <f>EXP(-LN(2)/25)*BQ132+(1-EXP(-LN(2)/25))/(LN(2)/25)*Calculateur!BL133*Calculateur!BN133*VLOOKUP('Données projet'!$B$11,Paramètres!$A$1:$I$89,3,0)*0.475*44/12</f>
        <v>9.1616658726658553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46.53787159626463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-1.4210854715202004E-13</v>
      </c>
      <c r="BZ133" s="13">
        <f>BY133*VLOOKUP('Données projet'!$B$12,Paramètres!$A$1:$I$89,3,0)*VLOOKUP('Données projet'!$B$12,Paramètres!$A$1:$I$89,5,0)</f>
        <v>-9.3109520094003535E-14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119.88584888779422</v>
      </c>
      <c r="CE133" s="59">
        <f t="shared" ref="CE133:CE196" si="148">$CE$3</f>
        <v>162.97244314258774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12.543594337098211</v>
      </c>
      <c r="CL133" s="21">
        <f>EXP(-LN(2)/25)*CL132+(1-EXP(-LN(2)/25))/(LN(2)/25)*Calculateur!CG133*Calculateur!CI133*VLOOKUP('Données projet'!$B$12,Paramètres!$A$1:$I$89,3,0)*0.475*44/12</f>
        <v>3.536504640595195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16.080098977693407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261.75887764015459</v>
      </c>
      <c r="CZ133" s="59">
        <f t="shared" ref="CZ133:CZ196" si="150">$CZ$3</f>
        <v>209.74127356028544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62.168475227472847</v>
      </c>
      <c r="DG133" s="21">
        <f>EXP(-LN(2)/25)*DG132+(1-EXP(-LN(2)/25))/(LN(2)/25)*Calculateur!DB133*Calculateur!DD133*VLOOKUP('Données projet'!$B$13,Paramètres!$A$1:$I$89,3,0)*0.475*44/12</f>
        <v>13.295720811822843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75.464196039295686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-2.2737367544323206E-13</v>
      </c>
      <c r="DP133" s="17">
        <f>DO133*VLOOKUP('Données projet'!$B$14,Paramètres!$A$1:$I$89,3,0)*VLOOKUP('Données projet'!$B$14,Paramètres!$A$1:$I$89,5,0)</f>
        <v>-1.8089849618263545E-13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215.37468832969444</v>
      </c>
      <c r="DU133" s="59">
        <f t="shared" ref="DU133:DU196" si="152">$DU$3</f>
        <v>208.60212063136419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40.639245406065235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40.639245406065235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-2.2737367544323206E-13</v>
      </c>
      <c r="EK133" s="17">
        <f>EJ133*VLOOKUP('Données projet'!$B$15,Paramètres!$A$1:$I$89,3,0)*VLOOKUP('Données projet'!$B$15,Paramètres!$A$1:$I$89,5,0)</f>
        <v>-1.8089849618263545E-13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215.37468832969444</v>
      </c>
      <c r="EP133" s="59">
        <f t="shared" ref="EP133:EP196" si="154">$EP$3</f>
        <v>208.60212063136419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40.639245406065235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40.639245406065235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-2.2737367544323206E-13</v>
      </c>
      <c r="FF133" s="17">
        <f>FE133*VLOOKUP('Données projet'!$B$16,Paramètres!$A$1:$I$89,3,0)*VLOOKUP('Données projet'!$B$16,Paramètres!$A$1:$I$89,5,0)</f>
        <v>-1.8444552551954985E-13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220.90439367987847</v>
      </c>
      <c r="FK133" s="59">
        <f t="shared" ref="FK133:FK196" si="156">$FK$3</f>
        <v>213.66046131354858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41.436093355203795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41.436093355203795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1">
        <f t="shared" si="140"/>
        <v>28.449748482465122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67">
        <f t="shared" si="110"/>
        <v>527.9653519402932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6.8212102632969618E-13</v>
      </c>
      <c r="O134" s="13">
        <f>N134*VLOOKUP('Données projet'!$B$9,Paramètres!$A$1:$I$89,3,0)*VLOOKUP('Données projet'!$B$9,Paramètres!$A$1:$I$89,5,0)</f>
        <v>3.1923264032229784E-13</v>
      </c>
      <c r="P134" s="13">
        <f t="shared" si="141"/>
        <v>4.1896839804541558E-12</v>
      </c>
      <c r="Q134" s="20">
        <f t="shared" si="108"/>
        <v>7.8530297811856558E-12</v>
      </c>
      <c r="R134" s="59">
        <f t="shared" si="109"/>
        <v>293.33333333334116</v>
      </c>
      <c r="S134" s="59">
        <f ca="1">AVERAGE(OFFSET($R$3,0,0,'Données projet'!$E$9+1,1))-AVERAGE(OFFSET($H$3,0,0,'Données projet'!$E$9+1,1))</f>
        <v>196.72624686715807</v>
      </c>
      <c r="T134" s="59">
        <f t="shared" si="142"/>
        <v>37.315661698104691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113.55435903216809</v>
      </c>
      <c r="AA134" s="21">
        <f>EXP(-LN(2)/25)*AA133+(1-EXP(-LN(2)/25))/(LN(2)/25)*Calculateur!V134*Calculateur!X134*VLOOKUP('Données projet'!$B$9,Paramètres!$A$1:$I$89,3,0)*0.475*44/12</f>
        <v>36.854529895025053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150.40888892719315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-1.0000000000001137</v>
      </c>
      <c r="AJ134" s="13">
        <f>AI134*VLOOKUP('Données projet'!$B$10,Paramètres!$A$1:$I$89,3,0)*VLOOKUP('Données projet'!$B$10,Paramètres!$A$1:$I$89,5,0)</f>
        <v>-0.55900000000006356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325.42940802362739</v>
      </c>
      <c r="AO134" s="59">
        <f t="shared" si="144"/>
        <v>388.87198417542277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57.434812608206059</v>
      </c>
      <c r="AV134" s="21">
        <f>EXP(-LN(2)/25)*AV133+(1-EXP(-LN(2)/25))/(LN(2)/25)*Calculateur!AQ134*Calculateur!AS134*VLOOKUP('Données projet'!$B$10,Paramètres!$A$1:$I$89,3,0)*0.475*44/12</f>
        <v>12.639364715663781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70.074177323869833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</v>
      </c>
      <c r="BE134" s="13">
        <f>BD134*VLOOKUP('Données projet'!$B$11,Paramètres!$A$1:$I$89,3,0)*VLOOKUP('Données projet'!$B$11,Paramètres!$A$1:$I$89,5,0)</f>
        <v>-0.624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162.87524915738271</v>
      </c>
      <c r="BJ134" s="59">
        <f t="shared" si="146"/>
        <v>249.37880137966658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36.64328112659345</v>
      </c>
      <c r="BQ134" s="21">
        <f>EXP(-LN(2)/25)*BQ133+(1-EXP(-LN(2)/25))/(LN(2)/25)*Calculateur!BL134*Calculateur!BN134*VLOOKUP('Données projet'!$B$11,Paramètres!$A$1:$I$89,3,0)*0.475*44/12</f>
        <v>8.9111396375867393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45.554420764180193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-1.4210854715202004E-13</v>
      </c>
      <c r="BZ134" s="13">
        <f>BY134*VLOOKUP('Données projet'!$B$12,Paramètres!$A$1:$I$89,3,0)*VLOOKUP('Données projet'!$B$12,Paramètres!$A$1:$I$89,5,0)</f>
        <v>-9.3109520094003535E-14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119.88584888779422</v>
      </c>
      <c r="CE134" s="59">
        <f t="shared" si="148"/>
        <v>162.97244314258774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12.297622102984803</v>
      </c>
      <c r="CL134" s="21">
        <f>EXP(-LN(2)/25)*CL133+(1-EXP(-LN(2)/25))/(LN(2)/25)*Calculateur!CG134*Calculateur!CI134*VLOOKUP('Données projet'!$B$12,Paramètres!$A$1:$I$89,3,0)*0.475*44/12</f>
        <v>3.439798735221423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15.737420838206226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261.75887764015459</v>
      </c>
      <c r="CZ134" s="59">
        <f t="shared" si="150"/>
        <v>209.74127356028544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60.949389347287799</v>
      </c>
      <c r="DG134" s="21">
        <f>EXP(-LN(2)/25)*DG133+(1-EXP(-LN(2)/25))/(LN(2)/25)*Calculateur!DB134*Calculateur!DD134*VLOOKUP('Données projet'!$B$13,Paramètres!$A$1:$I$89,3,0)*0.475*44/12</f>
        <v>12.932148627031978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73.88153797431977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-2.2737367544323206E-13</v>
      </c>
      <c r="DP134" s="17">
        <f>DO134*VLOOKUP('Données projet'!$B$14,Paramètres!$A$1:$I$89,3,0)*VLOOKUP('Données projet'!$B$14,Paramètres!$A$1:$I$89,5,0)</f>
        <v>-1.8089849618263545E-13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215.37468832969444</v>
      </c>
      <c r="DU134" s="59">
        <f t="shared" si="152"/>
        <v>208.60212063136419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39.842334591144436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39.842334591144436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-2.2737367544323206E-13</v>
      </c>
      <c r="EK134" s="17">
        <f>EJ134*VLOOKUP('Données projet'!$B$15,Paramètres!$A$1:$I$89,3,0)*VLOOKUP('Données projet'!$B$15,Paramètres!$A$1:$I$89,5,0)</f>
        <v>-1.8089849618263545E-13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215.37468832969444</v>
      </c>
      <c r="EP134" s="59">
        <f t="shared" si="154"/>
        <v>208.60212063136419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39.842334591144436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39.842334591144436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-2.2737367544323206E-13</v>
      </c>
      <c r="FF134" s="17">
        <f>FE134*VLOOKUP('Données projet'!$B$16,Paramètres!$A$1:$I$89,3,0)*VLOOKUP('Données projet'!$B$16,Paramètres!$A$1:$I$89,5,0)</f>
        <v>-1.8444552551954985E-13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220.90439367987847</v>
      </c>
      <c r="FK134" s="59">
        <f t="shared" si="156"/>
        <v>213.66046131354858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40.623556838029643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40.623556838029643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1">
        <f t="shared" si="140"/>
        <v>28.64155810910178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67">
        <f t="shared" si="110"/>
        <v>529.71226037335214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6.8212102632969618E-13</v>
      </c>
      <c r="O135" s="13">
        <f>N135*VLOOKUP('Données projet'!$B$9,Paramètres!$A$1:$I$89,3,0)*VLOOKUP('Données projet'!$B$9,Paramètres!$A$1:$I$89,5,0)</f>
        <v>3.1923264032229784E-13</v>
      </c>
      <c r="P135" s="13">
        <f t="shared" si="141"/>
        <v>4.1896839804541558E-12</v>
      </c>
      <c r="Q135" s="20">
        <f t="shared" si="108"/>
        <v>7.8530297811856558E-12</v>
      </c>
      <c r="R135" s="59">
        <f t="shared" si="109"/>
        <v>293.33333333334116</v>
      </c>
      <c r="S135" s="59">
        <f ca="1">AVERAGE(OFFSET($R$3,0,0,'Données projet'!$E$9+1,1))-AVERAGE(OFFSET($H$3,0,0,'Données projet'!$E$9+1,1))</f>
        <v>196.72624686715807</v>
      </c>
      <c r="T135" s="59">
        <f t="shared" si="142"/>
        <v>37.315661698104691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111.32762731286731</v>
      </c>
      <c r="AA135" s="21">
        <f>EXP(-LN(2)/25)*AA134+(1-EXP(-LN(2)/25))/(LN(2)/25)*Calculateur!V135*Calculateur!X135*VLOOKUP('Données projet'!$B$9,Paramètres!$A$1:$I$89,3,0)*0.475*44/12</f>
        <v>35.846740836950097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147.17436814981741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-1.0000000000001137</v>
      </c>
      <c r="AJ135" s="13">
        <f>AI135*VLOOKUP('Données projet'!$B$10,Paramètres!$A$1:$I$89,3,0)*VLOOKUP('Données projet'!$B$10,Paramètres!$A$1:$I$89,5,0)</f>
        <v>-0.55900000000006356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325.42940802362739</v>
      </c>
      <c r="AO135" s="59">
        <f t="shared" si="144"/>
        <v>388.87198417542277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56.30855096473573</v>
      </c>
      <c r="AV135" s="21">
        <f>EXP(-LN(2)/25)*AV134+(1-EXP(-LN(2)/25))/(LN(2)/25)*Calculateur!AQ135*Calculateur!AS135*VLOOKUP('Données projet'!$B$10,Paramètres!$A$1:$I$89,3,0)*0.475*44/12</f>
        <v>12.293740622838653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68.602291587574385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</v>
      </c>
      <c r="BE135" s="13">
        <f>BD135*VLOOKUP('Données projet'!$B$11,Paramètres!$A$1:$I$89,3,0)*VLOOKUP('Données projet'!$B$11,Paramètres!$A$1:$I$89,5,0)</f>
        <v>-0.624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162.87524915738271</v>
      </c>
      <c r="BJ135" s="59">
        <f t="shared" si="146"/>
        <v>249.37880137966658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35.924728733895542</v>
      </c>
      <c r="BQ135" s="21">
        <f>EXP(-LN(2)/25)*BQ134+(1-EXP(-LN(2)/25))/(LN(2)/25)*Calculateur!BL135*Calculateur!BN135*VLOOKUP('Données projet'!$B$11,Paramètres!$A$1:$I$89,3,0)*0.475*44/12</f>
        <v>8.6674640555804636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44.592192789476002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-1.4210854715202004E-13</v>
      </c>
      <c r="BZ135" s="13">
        <f>BY135*VLOOKUP('Données projet'!$B$12,Paramètres!$A$1:$I$89,3,0)*VLOOKUP('Données projet'!$B$12,Paramètres!$A$1:$I$89,5,0)</f>
        <v>-9.3109520094003535E-14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119.88584888779422</v>
      </c>
      <c r="CE135" s="59">
        <f t="shared" si="148"/>
        <v>162.97244314258774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12.056473234354112</v>
      </c>
      <c r="CL135" s="21">
        <f>EXP(-LN(2)/25)*CL134+(1-EXP(-LN(2)/25))/(LN(2)/25)*Calculateur!CG135*Calculateur!CI135*VLOOKUP('Données projet'!$B$12,Paramètres!$A$1:$I$89,3,0)*0.475*44/12</f>
        <v>3.3457372579156393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15.40221049226975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261.75887764015459</v>
      </c>
      <c r="CZ135" s="59">
        <f t="shared" si="150"/>
        <v>209.74127356028544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59.754208997644213</v>
      </c>
      <c r="DG135" s="21">
        <f>EXP(-LN(2)/25)*DG134+(1-EXP(-LN(2)/25))/(LN(2)/25)*Calculateur!DB135*Calculateur!DD135*VLOOKUP('Données projet'!$B$13,Paramètres!$A$1:$I$89,3,0)*0.475*44/12</f>
        <v>12.578518342753648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72.332727340397867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-2.2737367544323206E-13</v>
      </c>
      <c r="DP135" s="17">
        <f>DO135*VLOOKUP('Données projet'!$B$14,Paramètres!$A$1:$I$89,3,0)*VLOOKUP('Données projet'!$B$14,Paramètres!$A$1:$I$89,5,0)</f>
        <v>-1.8089849618263545E-13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215.37468832969444</v>
      </c>
      <c r="DU135" s="59">
        <f t="shared" si="152"/>
        <v>208.60212063136419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39.061050711236625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39.061050711236625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-2.2737367544323206E-13</v>
      </c>
      <c r="EK135" s="17">
        <f>EJ135*VLOOKUP('Données projet'!$B$15,Paramètres!$A$1:$I$89,3,0)*VLOOKUP('Données projet'!$B$15,Paramètres!$A$1:$I$89,5,0)</f>
        <v>-1.8089849618263545E-13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215.37468832969444</v>
      </c>
      <c r="EP135" s="59">
        <f t="shared" si="154"/>
        <v>208.60212063136419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39.061050711236625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39.061050711236625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-2.2737367544323206E-13</v>
      </c>
      <c r="FF135" s="17">
        <f>FE135*VLOOKUP('Données projet'!$B$16,Paramètres!$A$1:$I$89,3,0)*VLOOKUP('Données projet'!$B$16,Paramètres!$A$1:$I$89,5,0)</f>
        <v>-1.8444552551954985E-13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220.90439367987847</v>
      </c>
      <c r="FK135" s="59">
        <f t="shared" si="156"/>
        <v>213.66046131354858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39.826953666358939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39.826953666358939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1">
        <f t="shared" si="140"/>
        <v>28.833198667365593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67">
        <f t="shared" si="110"/>
        <v>531.45887434566157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6.8212102632969618E-13</v>
      </c>
      <c r="O136" s="13">
        <f>N136*VLOOKUP('Données projet'!$B$9,Paramètres!$A$1:$I$89,3,0)*VLOOKUP('Données projet'!$B$9,Paramètres!$A$1:$I$89,5,0)</f>
        <v>3.1923264032229784E-13</v>
      </c>
      <c r="P136" s="13">
        <f t="shared" si="141"/>
        <v>4.1896839804541558E-12</v>
      </c>
      <c r="Q136" s="20">
        <f t="shared" si="108"/>
        <v>7.8530297811856558E-12</v>
      </c>
      <c r="R136" s="59">
        <f t="shared" si="109"/>
        <v>293.33333333334116</v>
      </c>
      <c r="S136" s="59">
        <f ca="1">AVERAGE(OFFSET($R$3,0,0,'Données projet'!$E$9+1,1))-AVERAGE(OFFSET($H$3,0,0,'Données projet'!$E$9+1,1))</f>
        <v>196.72624686715807</v>
      </c>
      <c r="T136" s="59">
        <f t="shared" si="142"/>
        <v>37.315661698104691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109.14456044440976</v>
      </c>
      <c r="AA136" s="21">
        <f>EXP(-LN(2)/25)*AA135+(1-EXP(-LN(2)/25))/(LN(2)/25)*Calculateur!V136*Calculateur!X136*VLOOKUP('Données projet'!$B$9,Paramètres!$A$1:$I$89,3,0)*0.475*44/12</f>
        <v>34.866509823665524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144.01107026807529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-1.0000000000001137</v>
      </c>
      <c r="AJ136" s="13">
        <f>AI136*VLOOKUP('Données projet'!$B$10,Paramètres!$A$1:$I$89,3,0)*VLOOKUP('Données projet'!$B$10,Paramètres!$A$1:$I$89,5,0)</f>
        <v>-0.55900000000006356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325.42940802362739</v>
      </c>
      <c r="AO136" s="59">
        <f t="shared" si="144"/>
        <v>388.87198417542277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55.20437462514208</v>
      </c>
      <c r="AV136" s="21">
        <f>EXP(-LN(2)/25)*AV135+(1-EXP(-LN(2)/25))/(LN(2)/25)*Calculateur!AQ136*Calculateur!AS136*VLOOKUP('Données projet'!$B$10,Paramètres!$A$1:$I$89,3,0)*0.475*44/12</f>
        <v>11.957567639007408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67.161942264149488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</v>
      </c>
      <c r="BE136" s="13">
        <f>BD136*VLOOKUP('Données projet'!$B$11,Paramètres!$A$1:$I$89,3,0)*VLOOKUP('Données projet'!$B$11,Paramètres!$A$1:$I$89,5,0)</f>
        <v>-0.624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162.87524915738271</v>
      </c>
      <c r="BJ136" s="59">
        <f t="shared" si="146"/>
        <v>249.37880137966658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35.220266715344756</v>
      </c>
      <c r="BQ136" s="21">
        <f>EXP(-LN(2)/25)*BQ135+(1-EXP(-LN(2)/25))/(LN(2)/25)*Calculateur!BL136*Calculateur!BN136*VLOOKUP('Données projet'!$B$11,Paramètres!$A$1:$I$89,3,0)*0.475*44/12</f>
        <v>8.4304517951784916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43.650718510523248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-1.4210854715202004E-13</v>
      </c>
      <c r="BZ136" s="13">
        <f>BY136*VLOOKUP('Données projet'!$B$12,Paramètres!$A$1:$I$89,3,0)*VLOOKUP('Données projet'!$B$12,Paramètres!$A$1:$I$89,5,0)</f>
        <v>-9.3109520094003535E-14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119.88584888779422</v>
      </c>
      <c r="CE136" s="59">
        <f t="shared" si="148"/>
        <v>162.97244314258774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11.820053147950981</v>
      </c>
      <c r="CL136" s="21">
        <f>EXP(-LN(2)/25)*CL135+(1-EXP(-LN(2)/25))/(LN(2)/25)*Calculateur!CG136*Calculateur!CI136*VLOOKUP('Données projet'!$B$12,Paramètres!$A$1:$I$89,3,0)*0.475*44/12</f>
        <v>3.2542478966532604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15.07430104460424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261.75887764015459</v>
      </c>
      <c r="CZ136" s="59">
        <f t="shared" si="150"/>
        <v>209.74127356028544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58.582465405669112</v>
      </c>
      <c r="DG136" s="21">
        <f>EXP(-LN(2)/25)*DG135+(1-EXP(-LN(2)/25))/(LN(2)/25)*Calculateur!DB136*Calculateur!DD136*VLOOKUP('Données projet'!$B$13,Paramètres!$A$1:$I$89,3,0)*0.475*44/12</f>
        <v>12.234558097195519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70.817023502864629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-2.2737367544323206E-13</v>
      </c>
      <c r="DP136" s="17">
        <f>DO136*VLOOKUP('Données projet'!$B$14,Paramètres!$A$1:$I$89,3,0)*VLOOKUP('Données projet'!$B$14,Paramètres!$A$1:$I$89,5,0)</f>
        <v>-1.8089849618263545E-13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215.37468832969444</v>
      </c>
      <c r="DU136" s="59">
        <f t="shared" si="152"/>
        <v>208.60212063136419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38.295087331677699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38.295087331677699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-2.2737367544323206E-13</v>
      </c>
      <c r="EK136" s="17">
        <f>EJ136*VLOOKUP('Données projet'!$B$15,Paramètres!$A$1:$I$89,3,0)*VLOOKUP('Données projet'!$B$15,Paramètres!$A$1:$I$89,5,0)</f>
        <v>-1.8089849618263545E-13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215.37468832969444</v>
      </c>
      <c r="EP136" s="59">
        <f t="shared" si="154"/>
        <v>208.60212063136419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38.295087331677699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38.295087331677699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-2.2737367544323206E-13</v>
      </c>
      <c r="FF136" s="17">
        <f>FE136*VLOOKUP('Données projet'!$B$16,Paramètres!$A$1:$I$89,3,0)*VLOOKUP('Données projet'!$B$16,Paramètres!$A$1:$I$89,5,0)</f>
        <v>-1.8444552551954985E-13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220.90439367987847</v>
      </c>
      <c r="FK136" s="59">
        <f t="shared" si="156"/>
        <v>213.66046131354858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39.045971397004735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39.045971397004735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1">
        <f t="shared" si="140"/>
        <v>29.024671575819966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67">
        <f t="shared" si="110"/>
        <v>533.20519632788637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6.8212102632969618E-13</v>
      </c>
      <c r="O137" s="13">
        <f>N137*VLOOKUP('Données projet'!$B$9,Paramètres!$A$1:$I$89,3,0)*VLOOKUP('Données projet'!$B$9,Paramètres!$A$1:$I$89,5,0)</f>
        <v>3.1923264032229784E-13</v>
      </c>
      <c r="P137" s="13">
        <f t="shared" si="141"/>
        <v>4.1896839804541558E-12</v>
      </c>
      <c r="Q137" s="20">
        <f t="shared" si="108"/>
        <v>7.8530297811856558E-12</v>
      </c>
      <c r="R137" s="59">
        <f t="shared" si="109"/>
        <v>293.33333333334116</v>
      </c>
      <c r="S137" s="59">
        <f ca="1">AVERAGE(OFFSET($R$3,0,0,'Données projet'!$E$9+1,1))-AVERAGE(OFFSET($H$3,0,0,'Données projet'!$E$9+1,1))</f>
        <v>196.72624686715807</v>
      </c>
      <c r="T137" s="59">
        <f t="shared" si="142"/>
        <v>37.315661698104691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107.00430218570335</v>
      </c>
      <c r="AA137" s="21">
        <f>EXP(-LN(2)/25)*AA136+(1-EXP(-LN(2)/25))/(LN(2)/25)*Calculateur!V137*Calculateur!X137*VLOOKUP('Données projet'!$B$9,Paramètres!$A$1:$I$89,3,0)*0.475*44/12</f>
        <v>33.91308327898733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140.91738546469068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-1.0000000000001137</v>
      </c>
      <c r="AJ137" s="13">
        <f>AI137*VLOOKUP('Données projet'!$B$10,Paramètres!$A$1:$I$89,3,0)*VLOOKUP('Données projet'!$B$10,Paramètres!$A$1:$I$89,5,0)</f>
        <v>-0.55900000000006356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325.42940802362739</v>
      </c>
      <c r="AO137" s="59">
        <f t="shared" si="144"/>
        <v>388.87198417542277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54.121850510086794</v>
      </c>
      <c r="AV137" s="21">
        <f>EXP(-LN(2)/25)*AV136+(1-EXP(-LN(2)/25))/(LN(2)/25)*Calculateur!AQ137*Calculateur!AS137*VLOOKUP('Données projet'!$B$10,Paramètres!$A$1:$I$89,3,0)*0.475*44/12</f>
        <v>11.630587323097597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65.752437833184388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</v>
      </c>
      <c r="BE137" s="13">
        <f>BD137*VLOOKUP('Données projet'!$B$11,Paramètres!$A$1:$I$89,3,0)*VLOOKUP('Données projet'!$B$11,Paramètres!$A$1:$I$89,5,0)</f>
        <v>-0.624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162.87524915738271</v>
      </c>
      <c r="BJ137" s="59">
        <f t="shared" si="146"/>
        <v>249.37880137966658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34.529618767298345</v>
      </c>
      <c r="BQ137" s="21">
        <f>EXP(-LN(2)/25)*BQ136+(1-EXP(-LN(2)/25))/(LN(2)/25)*Calculateur!BL137*Calculateur!BN137*VLOOKUP('Données projet'!$B$11,Paramètres!$A$1:$I$89,3,0)*0.475*44/12</f>
        <v>8.1999206475011448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42.72953941479949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-1.4210854715202004E-13</v>
      </c>
      <c r="BZ137" s="13">
        <f>BY137*VLOOKUP('Données projet'!$B$12,Paramètres!$A$1:$I$89,3,0)*VLOOKUP('Données projet'!$B$12,Paramètres!$A$1:$I$89,5,0)</f>
        <v>-9.3109520094003535E-14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119.88584888779422</v>
      </c>
      <c r="CE137" s="59">
        <f t="shared" si="148"/>
        <v>162.97244314258774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11.588269115240202</v>
      </c>
      <c r="CL137" s="21">
        <f>EXP(-LN(2)/25)*CL136+(1-EXP(-LN(2)/25))/(LN(2)/25)*Calculateur!CG137*Calculateur!CI137*VLOOKUP('Données projet'!$B$12,Paramètres!$A$1:$I$89,3,0)*0.475*44/12</f>
        <v>3.165260316785818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14.753529432026021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261.75887764015459</v>
      </c>
      <c r="CZ137" s="59">
        <f t="shared" si="150"/>
        <v>209.74127356028544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57.433698990839616</v>
      </c>
      <c r="DG137" s="21">
        <f>EXP(-LN(2)/25)*DG136+(1-EXP(-LN(2)/25))/(LN(2)/25)*Calculateur!DB137*Calculateur!DD137*VLOOKUP('Données projet'!$B$13,Paramètres!$A$1:$I$89,3,0)*0.475*44/12</f>
        <v>11.90000346264026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69.333702453479873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-2.2737367544323206E-13</v>
      </c>
      <c r="DP137" s="17">
        <f>DO137*VLOOKUP('Données projet'!$B$14,Paramètres!$A$1:$I$89,3,0)*VLOOKUP('Données projet'!$B$14,Paramètres!$A$1:$I$89,5,0)</f>
        <v>-1.8089849618263545E-13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215.37468832969444</v>
      </c>
      <c r="DU137" s="59">
        <f t="shared" si="152"/>
        <v>208.60212063136419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37.544144026800389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37.544144026800389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-2.2737367544323206E-13</v>
      </c>
      <c r="EK137" s="17">
        <f>EJ137*VLOOKUP('Données projet'!$B$15,Paramètres!$A$1:$I$89,3,0)*VLOOKUP('Données projet'!$B$15,Paramètres!$A$1:$I$89,5,0)</f>
        <v>-1.8089849618263545E-13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215.37468832969444</v>
      </c>
      <c r="EP137" s="59">
        <f t="shared" si="154"/>
        <v>208.60212063136419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37.544144026800389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37.544144026800389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-2.2737367544323206E-13</v>
      </c>
      <c r="FF137" s="17">
        <f>FE137*VLOOKUP('Données projet'!$B$16,Paramètres!$A$1:$I$89,3,0)*VLOOKUP('Données projet'!$B$16,Paramètres!$A$1:$I$89,5,0)</f>
        <v>-1.8444552551954985E-13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220.90439367987847</v>
      </c>
      <c r="FK137" s="59">
        <f t="shared" si="156"/>
        <v>213.66046131354858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38.280303713600418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38.280303713600418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1">
        <f t="shared" si="140"/>
        <v>29.21597823063253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67">
        <f t="shared" si="110"/>
        <v>534.95122875168477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6.8212102632969618E-13</v>
      </c>
      <c r="O138" s="13">
        <f>N138*VLOOKUP('Données projet'!$B$9,Paramètres!$A$1:$I$89,3,0)*VLOOKUP('Données projet'!$B$9,Paramètres!$A$1:$I$89,5,0)</f>
        <v>3.1923264032229784E-13</v>
      </c>
      <c r="P138" s="13">
        <f t="shared" si="141"/>
        <v>4.1896839804541558E-12</v>
      </c>
      <c r="Q138" s="20">
        <f t="shared" si="108"/>
        <v>7.8530297811856558E-12</v>
      </c>
      <c r="R138" s="59">
        <f t="shared" si="109"/>
        <v>293.33333333334116</v>
      </c>
      <c r="S138" s="59">
        <f ca="1">AVERAGE(OFFSET($R$3,0,0,'Données projet'!$E$9+1,1))-AVERAGE(OFFSET($H$3,0,0,'Données projet'!$E$9+1,1))</f>
        <v>196.72624686715807</v>
      </c>
      <c r="T138" s="59">
        <f t="shared" si="142"/>
        <v>37.315661698104691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104.90601308602155</v>
      </c>
      <c r="AA138" s="21">
        <f>EXP(-LN(2)/25)*AA137+(1-EXP(-LN(2)/25))/(LN(2)/25)*Calculateur!V138*Calculateur!X138*VLOOKUP('Données projet'!$B$9,Paramètres!$A$1:$I$89,3,0)*0.475*44/12</f>
        <v>32.985728233311882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137.89174131933342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-1.0000000000001137</v>
      </c>
      <c r="AJ138" s="13">
        <f>AI138*VLOOKUP('Données projet'!$B$10,Paramètres!$A$1:$I$89,3,0)*VLOOKUP('Données projet'!$B$10,Paramètres!$A$1:$I$89,5,0)</f>
        <v>-0.55900000000006356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325.42940802362739</v>
      </c>
      <c r="AO138" s="59">
        <f t="shared" si="144"/>
        <v>388.87198417542277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53.060554032653229</v>
      </c>
      <c r="AV138" s="21">
        <f>EXP(-LN(2)/25)*AV137+(1-EXP(-LN(2)/25))/(LN(2)/25)*Calculateur!AQ138*Calculateur!AS138*VLOOKUP('Données projet'!$B$10,Paramètres!$A$1:$I$89,3,0)*0.475*44/12</f>
        <v>11.312548301121488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64.37310233377471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</v>
      </c>
      <c r="BE138" s="13">
        <f>BD138*VLOOKUP('Données projet'!$B$11,Paramètres!$A$1:$I$89,3,0)*VLOOKUP('Données projet'!$B$11,Paramètres!$A$1:$I$89,5,0)</f>
        <v>-0.624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162.87524915738271</v>
      </c>
      <c r="BJ138" s="59">
        <f t="shared" si="146"/>
        <v>249.37880137966658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33.852514004259476</v>
      </c>
      <c r="BQ138" s="21">
        <f>EXP(-LN(2)/25)*BQ137+(1-EXP(-LN(2)/25))/(LN(2)/25)*Calculateur!BL138*Calculateur!BN138*VLOOKUP('Données projet'!$B$11,Paramètres!$A$1:$I$89,3,0)*0.475*44/12</f>
        <v>7.97569338618014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41.828207390439616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-1.4210854715202004E-13</v>
      </c>
      <c r="BZ138" s="13">
        <f>BY138*VLOOKUP('Données projet'!$B$12,Paramètres!$A$1:$I$89,3,0)*VLOOKUP('Données projet'!$B$12,Paramètres!$A$1:$I$89,5,0)</f>
        <v>-9.3109520094003535E-14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119.88584888779422</v>
      </c>
      <c r="CE138" s="59">
        <f t="shared" si="148"/>
        <v>162.97244314258774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11.361030226036581</v>
      </c>
      <c r="CL138" s="21">
        <f>EXP(-LN(2)/25)*CL137+(1-EXP(-LN(2)/25))/(LN(2)/25)*Calculateur!CG138*Calculateur!CI138*VLOOKUP('Données projet'!$B$12,Paramètres!$A$1:$I$89,3,0)*0.475*44/12</f>
        <v>3.0787061069695039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14.439736333006085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261.75887764015459</v>
      </c>
      <c r="CZ138" s="59">
        <f t="shared" si="150"/>
        <v>209.74127356028544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56.307459184726603</v>
      </c>
      <c r="DG138" s="21">
        <f>EXP(-LN(2)/25)*DG137+(1-EXP(-LN(2)/25))/(LN(2)/25)*Calculateur!DB138*Calculateur!DD138*VLOOKUP('Données projet'!$B$13,Paramètres!$A$1:$I$89,3,0)*0.475*44/12</f>
        <v>11.574597242160378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67.882056426886976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-2.2737367544323206E-13</v>
      </c>
      <c r="DP138" s="17">
        <f>DO138*VLOOKUP('Données projet'!$B$14,Paramètres!$A$1:$I$89,3,0)*VLOOKUP('Données projet'!$B$14,Paramètres!$A$1:$I$89,5,0)</f>
        <v>-1.8089849618263545E-13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215.37468832969444</v>
      </c>
      <c r="DU138" s="59">
        <f t="shared" si="152"/>
        <v>208.60212063136419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36.807926262101532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36.807926262101532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-2.2737367544323206E-13</v>
      </c>
      <c r="EK138" s="17">
        <f>EJ138*VLOOKUP('Données projet'!$B$15,Paramètres!$A$1:$I$89,3,0)*VLOOKUP('Données projet'!$B$15,Paramètres!$A$1:$I$89,5,0)</f>
        <v>-1.8089849618263545E-13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215.37468832969444</v>
      </c>
      <c r="EP138" s="59">
        <f t="shared" si="154"/>
        <v>208.60212063136419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36.807926262101532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36.807926262101532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-2.2737367544323206E-13</v>
      </c>
      <c r="FF138" s="17">
        <f>FE138*VLOOKUP('Données projet'!$B$16,Paramètres!$A$1:$I$89,3,0)*VLOOKUP('Données projet'!$B$16,Paramètres!$A$1:$I$89,5,0)</f>
        <v>-1.8444552551954985E-13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220.90439367987847</v>
      </c>
      <c r="FK138" s="59">
        <f t="shared" si="156"/>
        <v>213.66046131354858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37.529650306456489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37.529650306456489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1">
        <f t="shared" si="140"/>
        <v>29.407120006092001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67">
        <f t="shared" si="110"/>
        <v>536.69697401061012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6.8212102632969618E-13</v>
      </c>
      <c r="O139" s="13">
        <f>N139*VLOOKUP('Données projet'!$B$9,Paramètres!$A$1:$I$89,3,0)*VLOOKUP('Données projet'!$B$9,Paramètres!$A$1:$I$89,5,0)</f>
        <v>3.1923264032229784E-13</v>
      </c>
      <c r="P139" s="13">
        <f t="shared" si="141"/>
        <v>4.1896839804541558E-12</v>
      </c>
      <c r="Q139" s="20">
        <f t="shared" si="108"/>
        <v>7.8530297811856558E-12</v>
      </c>
      <c r="R139" s="59">
        <f t="shared" si="109"/>
        <v>293.33333333334116</v>
      </c>
      <c r="S139" s="59">
        <f ca="1">AVERAGE(OFFSET($R$3,0,0,'Données projet'!$E$9+1,1))-AVERAGE(OFFSET($H$3,0,0,'Données projet'!$E$9+1,1))</f>
        <v>196.72624686715807</v>
      </c>
      <c r="T139" s="59">
        <f t="shared" si="142"/>
        <v>37.315661698104691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102.84887015575451</v>
      </c>
      <c r="AA139" s="21">
        <f>EXP(-LN(2)/25)*AA138+(1-EXP(-LN(2)/25))/(LN(2)/25)*Calculateur!V139*Calculateur!X139*VLOOKUP('Données projet'!$B$9,Paramètres!$A$1:$I$89,3,0)*0.475*44/12</f>
        <v>32.083731760127911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134.93260191588243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-1.0000000000001137</v>
      </c>
      <c r="AJ139" s="13">
        <f>AI139*VLOOKUP('Données projet'!$B$10,Paramètres!$A$1:$I$89,3,0)*VLOOKUP('Données projet'!$B$10,Paramètres!$A$1:$I$89,5,0)</f>
        <v>-0.55900000000006356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325.42940802362739</v>
      </c>
      <c r="AO139" s="59">
        <f t="shared" si="144"/>
        <v>388.87198417542277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52.020068931815203</v>
      </c>
      <c r="AV139" s="21">
        <f>EXP(-LN(2)/25)*AV138+(1-EXP(-LN(2)/25))/(LN(2)/25)*Calculateur!AQ139*Calculateur!AS139*VLOOKUP('Données projet'!$B$10,Paramètres!$A$1:$I$89,3,0)*0.475*44/12</f>
        <v>11.003206072926261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63.023275004741464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</v>
      </c>
      <c r="BE139" s="13">
        <f>BD139*VLOOKUP('Données projet'!$B$11,Paramètres!$A$1:$I$89,3,0)*VLOOKUP('Données projet'!$B$11,Paramètres!$A$1:$I$89,5,0)</f>
        <v>-0.624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162.87524915738271</v>
      </c>
      <c r="BJ139" s="59">
        <f t="shared" si="146"/>
        <v>249.37880137966658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33.188686852630667</v>
      </c>
      <c r="BQ139" s="21">
        <f>EXP(-LN(2)/25)*BQ138+(1-EXP(-LN(2)/25))/(LN(2)/25)*Calculateur!BL139*Calculateur!BN139*VLOOKUP('Données projet'!$B$11,Paramètres!$A$1:$I$89,3,0)*0.475*44/12</f>
        <v>7.7575976311115573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40.946284483742225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-1.4210854715202004E-13</v>
      </c>
      <c r="BZ139" s="13">
        <f>BY139*VLOOKUP('Données projet'!$B$12,Paramètres!$A$1:$I$89,3,0)*VLOOKUP('Données projet'!$B$12,Paramètres!$A$1:$I$89,5,0)</f>
        <v>-9.3109520094003535E-14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119.88584888779422</v>
      </c>
      <c r="CE139" s="59">
        <f t="shared" si="148"/>
        <v>162.97244314258774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11.138247352848206</v>
      </c>
      <c r="CL139" s="21">
        <f>EXP(-LN(2)/25)*CL138+(1-EXP(-LN(2)/25))/(LN(2)/25)*Calculateur!CG139*Calculateur!CI139*VLOOKUP('Données projet'!$B$12,Paramètres!$A$1:$I$89,3,0)*0.475*44/12</f>
        <v>2.9945187265723052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14.132766079420511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261.75887764015459</v>
      </c>
      <c r="CZ139" s="59">
        <f t="shared" si="150"/>
        <v>209.74127356028544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55.203304254273014</v>
      </c>
      <c r="DG139" s="21">
        <f>EXP(-LN(2)/25)*DG138+(1-EXP(-LN(2)/25))/(LN(2)/25)*Calculateur!DB139*Calculateur!DD139*VLOOKUP('Données projet'!$B$13,Paramètres!$A$1:$I$89,3,0)*0.475*44/12</f>
        <v>11.258089271891887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66.461393526164898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-2.2737367544323206E-13</v>
      </c>
      <c r="DP139" s="17">
        <f>DO139*VLOOKUP('Données projet'!$B$14,Paramètres!$A$1:$I$89,3,0)*VLOOKUP('Données projet'!$B$14,Paramètres!$A$1:$I$89,5,0)</f>
        <v>-1.8089849618263545E-13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215.37468832969444</v>
      </c>
      <c r="DU139" s="59">
        <f t="shared" si="152"/>
        <v>208.60212063136419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36.086145278719925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36.086145278719925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-2.2737367544323206E-13</v>
      </c>
      <c r="EK139" s="17">
        <f>EJ139*VLOOKUP('Données projet'!$B$15,Paramètres!$A$1:$I$89,3,0)*VLOOKUP('Données projet'!$B$15,Paramètres!$A$1:$I$89,5,0)</f>
        <v>-1.8089849618263545E-13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215.37468832969444</v>
      </c>
      <c r="EP139" s="59">
        <f t="shared" si="154"/>
        <v>208.60212063136419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36.086145278719925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36.086145278719925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-2.2737367544323206E-13</v>
      </c>
      <c r="FF139" s="17">
        <f>FE139*VLOOKUP('Données projet'!$B$16,Paramètres!$A$1:$I$89,3,0)*VLOOKUP('Données projet'!$B$16,Paramètres!$A$1:$I$89,5,0)</f>
        <v>-1.8444552551954985E-13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220.90439367987847</v>
      </c>
      <c r="FK139" s="59">
        <f t="shared" si="156"/>
        <v>213.66046131354858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36.793716754773286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36.793716754773286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1">
        <f t="shared" si="140"/>
        <v>29.59809825510931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67">
        <f t="shared" si="110"/>
        <v>538.44243446098199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6.8212102632969618E-13</v>
      </c>
      <c r="O140" s="13">
        <f>N140*VLOOKUP('Données projet'!$B$9,Paramètres!$A$1:$I$89,3,0)*VLOOKUP('Données projet'!$B$9,Paramètres!$A$1:$I$89,5,0)</f>
        <v>3.1923264032229784E-13</v>
      </c>
      <c r="P140" s="13">
        <f t="shared" si="141"/>
        <v>4.1896839804541558E-12</v>
      </c>
      <c r="Q140" s="20">
        <f t="shared" si="108"/>
        <v>7.8530297811856558E-12</v>
      </c>
      <c r="R140" s="59">
        <f t="shared" si="109"/>
        <v>293.33333333334116</v>
      </c>
      <c r="S140" s="59">
        <f ca="1">AVERAGE(OFFSET($R$3,0,0,'Données projet'!$E$9+1,1))-AVERAGE(OFFSET($H$3,0,0,'Données projet'!$E$9+1,1))</f>
        <v>196.72624686715807</v>
      </c>
      <c r="T140" s="59">
        <f t="shared" si="142"/>
        <v>37.315661698104691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100.83206654361673</v>
      </c>
      <c r="AA140" s="21">
        <f>EXP(-LN(2)/25)*AA139+(1-EXP(-LN(2)/25))/(LN(2)/25)*Calculateur!V140*Calculateur!X140*VLOOKUP('Données projet'!$B$9,Paramètres!$A$1:$I$89,3,0)*0.475*44/12</f>
        <v>31.206400427937087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132.03846697155382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-1.0000000000001137</v>
      </c>
      <c r="AJ140" s="13">
        <f>AI140*VLOOKUP('Données projet'!$B$10,Paramètres!$A$1:$I$89,3,0)*VLOOKUP('Données projet'!$B$10,Paramètres!$A$1:$I$89,5,0)</f>
        <v>-0.55900000000006356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325.42940802362739</v>
      </c>
      <c r="AO140" s="59">
        <f t="shared" si="144"/>
        <v>388.87198417542277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50.999987109171364</v>
      </c>
      <c r="AV140" s="21">
        <f>EXP(-LN(2)/25)*AV139+(1-EXP(-LN(2)/25))/(LN(2)/25)*Calculateur!AQ140*Calculateur!AS140*VLOOKUP('Données projet'!$B$10,Paramètres!$A$1:$I$89,3,0)*0.475*44/12</f>
        <v>10.702322824228633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61.702309933399995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</v>
      </c>
      <c r="BE140" s="13">
        <f>BD140*VLOOKUP('Données projet'!$B$11,Paramètres!$A$1:$I$89,3,0)*VLOOKUP('Données projet'!$B$11,Paramètres!$A$1:$I$89,5,0)</f>
        <v>-0.624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162.87524915738271</v>
      </c>
      <c r="BJ140" s="59">
        <f t="shared" si="146"/>
        <v>249.37880137966658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32.537876946550718</v>
      </c>
      <c r="BQ140" s="21">
        <f>EXP(-LN(2)/25)*BQ139+(1-EXP(-LN(2)/25))/(LN(2)/25)*Calculateur!BL140*Calculateur!BN140*VLOOKUP('Données projet'!$B$11,Paramètres!$A$1:$I$89,3,0)*0.475*44/12</f>
        <v>7.5454657159344825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40.083342662485201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-1.4210854715202004E-13</v>
      </c>
      <c r="BZ140" s="13">
        <f>BY140*VLOOKUP('Données projet'!$B$12,Paramètres!$A$1:$I$89,3,0)*VLOOKUP('Données projet'!$B$12,Paramètres!$A$1:$I$89,5,0)</f>
        <v>-9.3109520094003535E-14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119.88584888779422</v>
      </c>
      <c r="CE140" s="59">
        <f t="shared" si="148"/>
        <v>162.97244314258774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10.919833115918919</v>
      </c>
      <c r="CL140" s="21">
        <f>EXP(-LN(2)/25)*CL139+(1-EXP(-LN(2)/25))/(LN(2)/25)*Calculateur!CG140*Calculateur!CI140*VLOOKUP('Données projet'!$B$12,Paramètres!$A$1:$I$89,3,0)*0.475*44/12</f>
        <v>2.9126334545192898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13.832466570438209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261.75887764015459</v>
      </c>
      <c r="CZ140" s="59">
        <f t="shared" si="150"/>
        <v>209.74127356028544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54.120801128537614</v>
      </c>
      <c r="DG140" s="21">
        <f>EXP(-LN(2)/25)*DG139+(1-EXP(-LN(2)/25))/(LN(2)/25)*Calculateur!DB140*Calculateur!DD140*VLOOKUP('Données projet'!$B$13,Paramètres!$A$1:$I$89,3,0)*0.475*44/12</f>
        <v>10.95023622871482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65.071037357252436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-2.2737367544323206E-13</v>
      </c>
      <c r="DP140" s="17">
        <f>DO140*VLOOKUP('Données projet'!$B$14,Paramètres!$A$1:$I$89,3,0)*VLOOKUP('Données projet'!$B$14,Paramètres!$A$1:$I$89,5,0)</f>
        <v>-1.8089849618263545E-13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215.37468832969444</v>
      </c>
      <c r="DU140" s="59">
        <f t="shared" si="152"/>
        <v>208.60212063136419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35.378517980179502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35.378517980179502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-2.2737367544323206E-13</v>
      </c>
      <c r="EK140" s="17">
        <f>EJ140*VLOOKUP('Données projet'!$B$15,Paramètres!$A$1:$I$89,3,0)*VLOOKUP('Données projet'!$B$15,Paramètres!$A$1:$I$89,5,0)</f>
        <v>-1.8089849618263545E-13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215.37468832969444</v>
      </c>
      <c r="EP140" s="59">
        <f t="shared" si="154"/>
        <v>208.60212063136419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35.378517980179502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35.378517980179502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-2.2737367544323206E-13</v>
      </c>
      <c r="FF140" s="17">
        <f>FE140*VLOOKUP('Données projet'!$B$16,Paramètres!$A$1:$I$89,3,0)*VLOOKUP('Données projet'!$B$16,Paramètres!$A$1:$I$89,5,0)</f>
        <v>-1.8444552551954985E-13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220.90439367987847</v>
      </c>
      <c r="FK140" s="59">
        <f t="shared" si="156"/>
        <v>213.66046131354858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36.072214411163444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36.072214411163444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1">
        <f t="shared" si="140"/>
        <v>29.788914309703735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67">
        <f t="shared" si="110"/>
        <v>540.18761242273388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6.8212102632969618E-13</v>
      </c>
      <c r="O141" s="13">
        <f>N141*VLOOKUP('Données projet'!$B$9,Paramètres!$A$1:$I$89,3,0)*VLOOKUP('Données projet'!$B$9,Paramètres!$A$1:$I$89,5,0)</f>
        <v>3.1923264032229784E-13</v>
      </c>
      <c r="P141" s="13">
        <f t="shared" si="141"/>
        <v>4.1896839804541558E-12</v>
      </c>
      <c r="Q141" s="20">
        <f t="shared" si="108"/>
        <v>7.8530297811856558E-12</v>
      </c>
      <c r="R141" s="59">
        <f t="shared" si="109"/>
        <v>293.33333333334116</v>
      </c>
      <c r="S141" s="59">
        <f ca="1">AVERAGE(OFFSET($R$3,0,0,'Données projet'!$E$9+1,1))-AVERAGE(OFFSET($H$3,0,0,'Données projet'!$E$9+1,1))</f>
        <v>196.72624686715807</v>
      </c>
      <c r="T141" s="59">
        <f t="shared" si="142"/>
        <v>37.315661698104691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98.854811220184232</v>
      </c>
      <c r="AA141" s="21">
        <f>EXP(-LN(2)/25)*AA140+(1-EXP(-LN(2)/25))/(LN(2)/25)*Calculateur!V141*Calculateur!X141*VLOOKUP('Données projet'!$B$9,Paramètres!$A$1:$I$89,3,0)*0.475*44/12</f>
        <v>30.353059767161874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129.2078709873461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-1.0000000000001137</v>
      </c>
      <c r="AJ141" s="13">
        <f>AI141*VLOOKUP('Données projet'!$B$10,Paramètres!$A$1:$I$89,3,0)*VLOOKUP('Données projet'!$B$10,Paramètres!$A$1:$I$89,5,0)</f>
        <v>-0.55900000000006356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325.42940802362739</v>
      </c>
      <c r="AO141" s="59">
        <f t="shared" si="144"/>
        <v>388.87198417542277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49.999908468881095</v>
      </c>
      <c r="AV141" s="21">
        <f>EXP(-LN(2)/25)*AV140+(1-EXP(-LN(2)/25))/(LN(2)/25)*Calculateur!AQ141*Calculateur!AS141*VLOOKUP('Données projet'!$B$10,Paramètres!$A$1:$I$89,3,0)*0.475*44/12</f>
        <v>10.409667243789404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60.409575712670502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</v>
      </c>
      <c r="BE141" s="13">
        <f>BD141*VLOOKUP('Données projet'!$B$11,Paramètres!$A$1:$I$89,3,0)*VLOOKUP('Données projet'!$B$11,Paramètres!$A$1:$I$89,5,0)</f>
        <v>-0.624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162.87524915738271</v>
      </c>
      <c r="BJ141" s="59">
        <f t="shared" si="146"/>
        <v>249.37880137966658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31.899829025774153</v>
      </c>
      <c r="BQ141" s="21">
        <f>EXP(-LN(2)/25)*BQ140+(1-EXP(-LN(2)/25))/(LN(2)/25)*Calculateur!BL141*Calculateur!BN141*VLOOKUP('Données projet'!$B$11,Paramètres!$A$1:$I$89,3,0)*0.475*44/12</f>
        <v>7.3391345591334574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39.238963584907609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-1.4210854715202004E-13</v>
      </c>
      <c r="BZ141" s="13">
        <f>BY141*VLOOKUP('Données projet'!$B$12,Paramètres!$A$1:$I$89,3,0)*VLOOKUP('Données projet'!$B$12,Paramètres!$A$1:$I$89,5,0)</f>
        <v>-9.3109520094003535E-14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119.88584888779422</v>
      </c>
      <c r="CE141" s="59">
        <f t="shared" si="148"/>
        <v>162.97244314258774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10.705701848956286</v>
      </c>
      <c r="CL141" s="21">
        <f>EXP(-LN(2)/25)*CL140+(1-EXP(-LN(2)/25))/(LN(2)/25)*Calculateur!CG141*Calculateur!CI141*VLOOKUP('Données projet'!$B$12,Paramètres!$A$1:$I$89,3,0)*0.475*44/12</f>
        <v>2.8329873395367233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13.538689188493009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261.75887764015459</v>
      </c>
      <c r="CZ141" s="59">
        <f t="shared" si="150"/>
        <v>209.74127356028544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53.059525228836172</v>
      </c>
      <c r="DG141" s="21">
        <f>EXP(-LN(2)/25)*DG140+(1-EXP(-LN(2)/25))/(LN(2)/25)*Calculateur!DB141*Calculateur!DD141*VLOOKUP('Données projet'!$B$13,Paramètres!$A$1:$I$89,3,0)*0.475*44/12</f>
        <v>10.650801443192718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63.710326672028891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-2.2737367544323206E-13</v>
      </c>
      <c r="DP141" s="17">
        <f>DO141*VLOOKUP('Données projet'!$B$14,Paramètres!$A$1:$I$89,3,0)*VLOOKUP('Données projet'!$B$14,Paramètres!$A$1:$I$89,5,0)</f>
        <v>-1.8089849618263545E-13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215.37468832969444</v>
      </c>
      <c r="DU141" s="59">
        <f t="shared" si="152"/>
        <v>208.60212063136419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34.684766821353428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34.684766821353428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-2.2737367544323206E-13</v>
      </c>
      <c r="EK141" s="17">
        <f>EJ141*VLOOKUP('Données projet'!$B$15,Paramètres!$A$1:$I$89,3,0)*VLOOKUP('Données projet'!$B$15,Paramètres!$A$1:$I$89,5,0)</f>
        <v>-1.8089849618263545E-13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215.37468832969444</v>
      </c>
      <c r="EP141" s="59">
        <f t="shared" si="154"/>
        <v>208.60212063136419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34.684766821353428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34.684766821353428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-2.2737367544323206E-13</v>
      </c>
      <c r="FF141" s="17">
        <f>FE141*VLOOKUP('Données projet'!$B$16,Paramètres!$A$1:$I$89,3,0)*VLOOKUP('Données projet'!$B$16,Paramètres!$A$1:$I$89,5,0)</f>
        <v>-1.8444552551954985E-13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220.90439367987847</v>
      </c>
      <c r="FK141" s="59">
        <f t="shared" si="156"/>
        <v>213.66046131354858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35.364860288438813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35.364860288438813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1">
        <f t="shared" si="140"/>
        <v>29.979569481474449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67">
        <f t="shared" si="110"/>
        <v>541.93251018023454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6.8212102632969618E-13</v>
      </c>
      <c r="O142" s="13">
        <f>N142*VLOOKUP('Données projet'!$B$9,Paramètres!$A$1:$I$89,3,0)*VLOOKUP('Données projet'!$B$9,Paramètres!$A$1:$I$89,5,0)</f>
        <v>3.1923264032229784E-13</v>
      </c>
      <c r="P142" s="13">
        <f t="shared" si="141"/>
        <v>4.1896839804541558E-12</v>
      </c>
      <c r="Q142" s="20">
        <f t="shared" si="108"/>
        <v>7.8530297811856558E-12</v>
      </c>
      <c r="R142" s="59">
        <f t="shared" si="109"/>
        <v>293.33333333334116</v>
      </c>
      <c r="S142" s="59">
        <f ca="1">AVERAGE(OFFSET($R$3,0,0,'Données projet'!$E$9+1,1))-AVERAGE(OFFSET($H$3,0,0,'Données projet'!$E$9+1,1))</f>
        <v>196.72624686715807</v>
      </c>
      <c r="T142" s="59">
        <f t="shared" si="142"/>
        <v>37.315661698104691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96.916328667637572</v>
      </c>
      <c r="AA142" s="21">
        <f>EXP(-LN(2)/25)*AA141+(1-EXP(-LN(2)/25))/(LN(2)/25)*Calculateur!V142*Calculateur!X142*VLOOKUP('Données projet'!$B$9,Paramètres!$A$1:$I$89,3,0)*0.475*44/12</f>
        <v>29.52305375163079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126.43938241926836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-1.0000000000001137</v>
      </c>
      <c r="AJ142" s="13">
        <f>AI142*VLOOKUP('Données projet'!$B$10,Paramètres!$A$1:$I$89,3,0)*VLOOKUP('Données projet'!$B$10,Paramètres!$A$1:$I$89,5,0)</f>
        <v>-0.55900000000006356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325.42940802362739</v>
      </c>
      <c r="AO142" s="59">
        <f t="shared" si="144"/>
        <v>388.87198417542277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49.01944076073918</v>
      </c>
      <c r="AV142" s="21">
        <f>EXP(-LN(2)/25)*AV141+(1-EXP(-LN(2)/25))/(LN(2)/25)*Calculateur!AQ142*Calculateur!AS142*VLOOKUP('Données projet'!$B$10,Paramètres!$A$1:$I$89,3,0)*0.475*44/12</f>
        <v>10.125014345587374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59.144455106326554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</v>
      </c>
      <c r="BE142" s="13">
        <f>BD142*VLOOKUP('Données projet'!$B$11,Paramètres!$A$1:$I$89,3,0)*VLOOKUP('Données projet'!$B$11,Paramètres!$A$1:$I$89,5,0)</f>
        <v>-0.624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162.87524915738271</v>
      </c>
      <c r="BJ142" s="59">
        <f t="shared" si="146"/>
        <v>249.37880137966658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31.274292835553211</v>
      </c>
      <c r="BQ142" s="21">
        <f>EXP(-LN(2)/25)*BQ141+(1-EXP(-LN(2)/25))/(LN(2)/25)*Calculateur!BL142*Calculateur!BN142*VLOOKUP('Données projet'!$B$11,Paramètres!$A$1:$I$89,3,0)*0.475*44/12</f>
        <v>7.13844553866564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38.412738374218854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-1.4210854715202004E-13</v>
      </c>
      <c r="BZ142" s="13">
        <f>BY142*VLOOKUP('Données projet'!$B$12,Paramètres!$A$1:$I$89,3,0)*VLOOKUP('Données projet'!$B$12,Paramètres!$A$1:$I$89,5,0)</f>
        <v>-9.3109520094003535E-14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119.88584888779422</v>
      </c>
      <c r="CE142" s="59">
        <f t="shared" si="148"/>
        <v>162.97244314258774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10.495769565531614</v>
      </c>
      <c r="CL142" s="21">
        <f>EXP(-LN(2)/25)*CL141+(1-EXP(-LN(2)/25))/(LN(2)/25)*Calculateur!CG142*Calculateur!CI142*VLOOKUP('Données projet'!$B$12,Paramètres!$A$1:$I$89,3,0)*0.475*44/12</f>
        <v>2.7555191517567623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13.251288717288375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261.75887764015459</v>
      </c>
      <c r="CZ142" s="59">
        <f t="shared" si="150"/>
        <v>209.74127356028544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52.019060302213489</v>
      </c>
      <c r="DG142" s="21">
        <f>EXP(-LN(2)/25)*DG141+(1-EXP(-LN(2)/25))/(LN(2)/25)*Calculateur!DB142*Calculateur!DD142*VLOOKUP('Données projet'!$B$13,Paramètres!$A$1:$I$89,3,0)*0.475*44/12</f>
        <v>10.359554717627308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62.378615019840794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-2.2737367544323206E-13</v>
      </c>
      <c r="DP142" s="17">
        <f>DO142*VLOOKUP('Données projet'!$B$14,Paramètres!$A$1:$I$89,3,0)*VLOOKUP('Données projet'!$B$14,Paramètres!$A$1:$I$89,5,0)</f>
        <v>-1.8089849618263545E-13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215.37468832969444</v>
      </c>
      <c r="DU142" s="59">
        <f t="shared" si="152"/>
        <v>208.60212063136419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34.004619699605506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34.004619699605506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-2.2737367544323206E-13</v>
      </c>
      <c r="EK142" s="17">
        <f>EJ142*VLOOKUP('Données projet'!$B$15,Paramètres!$A$1:$I$89,3,0)*VLOOKUP('Données projet'!$B$15,Paramètres!$A$1:$I$89,5,0)</f>
        <v>-1.8089849618263545E-13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215.37468832969444</v>
      </c>
      <c r="EP142" s="59">
        <f t="shared" si="154"/>
        <v>208.60212063136419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34.004619699605506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34.004619699605506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-2.2737367544323206E-13</v>
      </c>
      <c r="FF142" s="17">
        <f>FE142*VLOOKUP('Données projet'!$B$16,Paramètres!$A$1:$I$89,3,0)*VLOOKUP('Données projet'!$B$16,Paramètres!$A$1:$I$89,5,0)</f>
        <v>-1.8444552551954985E-13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220.90439367987847</v>
      </c>
      <c r="FK142" s="59">
        <f t="shared" si="156"/>
        <v>213.66046131354858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34.6713769486174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34.6713769486174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1">
        <f t="shared" si="140"/>
        <v>30.170065062058185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67">
        <f t="shared" si="110"/>
        <v>543.67712998308457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6.8212102632969618E-13</v>
      </c>
      <c r="O143" s="13">
        <f>N143*VLOOKUP('Données projet'!$B$9,Paramètres!$A$1:$I$89,3,0)*VLOOKUP('Données projet'!$B$9,Paramètres!$A$1:$I$89,5,0)</f>
        <v>3.1923264032229784E-13</v>
      </c>
      <c r="P143" s="13">
        <f t="shared" si="141"/>
        <v>4.1896839804541558E-12</v>
      </c>
      <c r="Q143" s="20">
        <f t="shared" si="108"/>
        <v>7.8530297811856558E-12</v>
      </c>
      <c r="R143" s="59">
        <f t="shared" si="109"/>
        <v>293.33333333334116</v>
      </c>
      <c r="S143" s="59">
        <f ca="1">AVERAGE(OFFSET($R$3,0,0,'Données projet'!$E$9+1,1))-AVERAGE(OFFSET($H$3,0,0,'Données projet'!$E$9+1,1))</f>
        <v>196.72624686715807</v>
      </c>
      <c r="T143" s="59">
        <f t="shared" si="142"/>
        <v>37.315661698104691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95.015858575588751</v>
      </c>
      <c r="AA143" s="21">
        <f>EXP(-LN(2)/25)*AA142+(1-EXP(-LN(2)/25))/(LN(2)/25)*Calculateur!V143*Calculateur!X143*VLOOKUP('Données projet'!$B$9,Paramètres!$A$1:$I$89,3,0)*0.475*44/12</f>
        <v>28.715744294242526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123.73160286983128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-1.0000000000001137</v>
      </c>
      <c r="AJ143" s="13">
        <f>AI143*VLOOKUP('Données projet'!$B$10,Paramètres!$A$1:$I$89,3,0)*VLOOKUP('Données projet'!$B$10,Paramètres!$A$1:$I$89,5,0)</f>
        <v>-0.55900000000006356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325.42940802362739</v>
      </c>
      <c r="AO143" s="59">
        <f t="shared" si="144"/>
        <v>388.87198417542277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48.058199426327675</v>
      </c>
      <c r="AV143" s="21">
        <f>EXP(-LN(2)/25)*AV142+(1-EXP(-LN(2)/25))/(LN(2)/25)*Calculateur!AQ143*Calculateur!AS143*VLOOKUP('Données projet'!$B$10,Paramètres!$A$1:$I$89,3,0)*0.475*44/12</f>
        <v>9.8481452958559235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57.906344722183597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</v>
      </c>
      <c r="BE143" s="13">
        <f>BD143*VLOOKUP('Données projet'!$B$11,Paramètres!$A$1:$I$89,3,0)*VLOOKUP('Données projet'!$B$11,Paramètres!$A$1:$I$89,5,0)</f>
        <v>-0.624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162.87524915738271</v>
      </c>
      <c r="BJ143" s="59">
        <f t="shared" si="146"/>
        <v>249.37880137966658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30.6610230284831</v>
      </c>
      <c r="BQ143" s="21">
        <f>EXP(-LN(2)/25)*BQ142+(1-EXP(-LN(2)/25))/(LN(2)/25)*Calculateur!BL143*Calculateur!BN143*VLOOKUP('Données projet'!$B$11,Paramètres!$A$1:$I$89,3,0)*0.475*44/12</f>
        <v>6.9432443700162922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37.604267398499395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-1.4210854715202004E-13</v>
      </c>
      <c r="BZ143" s="13">
        <f>BY143*VLOOKUP('Données projet'!$B$12,Paramètres!$A$1:$I$89,3,0)*VLOOKUP('Données projet'!$B$12,Paramètres!$A$1:$I$89,5,0)</f>
        <v>-9.3109520094003535E-14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119.88584888779422</v>
      </c>
      <c r="CE143" s="59">
        <f t="shared" si="148"/>
        <v>162.97244314258774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10.28995392613885</v>
      </c>
      <c r="CL143" s="21">
        <f>EXP(-LN(2)/25)*CL142+(1-EXP(-LN(2)/25))/(LN(2)/25)*Calculateur!CG143*Calculateur!CI143*VLOOKUP('Données projet'!$B$12,Paramètres!$A$1:$I$89,3,0)*0.475*44/12</f>
        <v>2.6801693356455192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12.970123261784369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261.75887764015459</v>
      </c>
      <c r="CZ143" s="59">
        <f t="shared" si="150"/>
        <v>209.74127356028544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50.99899825818094</v>
      </c>
      <c r="DG143" s="21">
        <f>EXP(-LN(2)/25)*DG142+(1-EXP(-LN(2)/25))/(LN(2)/25)*Calculateur!DB143*Calculateur!DD143*VLOOKUP('Données projet'!$B$13,Paramètres!$A$1:$I$89,3,0)*0.475*44/12</f>
        <v>10.076272149088483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61.075270407269421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-2.2737367544323206E-13</v>
      </c>
      <c r="DP143" s="17">
        <f>DO143*VLOOKUP('Données projet'!$B$14,Paramètres!$A$1:$I$89,3,0)*VLOOKUP('Données projet'!$B$14,Paramètres!$A$1:$I$89,5,0)</f>
        <v>-1.8089849618263545E-13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215.37468832969444</v>
      </c>
      <c r="DU143" s="59">
        <f t="shared" si="152"/>
        <v>208.60212063136419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33.337809848066279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33.337809848066279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-2.2737367544323206E-13</v>
      </c>
      <c r="EK143" s="17">
        <f>EJ143*VLOOKUP('Données projet'!$B$15,Paramètres!$A$1:$I$89,3,0)*VLOOKUP('Données projet'!$B$15,Paramètres!$A$1:$I$89,5,0)</f>
        <v>-1.8089849618263545E-13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215.37468832969444</v>
      </c>
      <c r="EP143" s="59">
        <f t="shared" si="154"/>
        <v>208.60212063136419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33.337809848066279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33.337809848066279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-2.2737367544323206E-13</v>
      </c>
      <c r="FF143" s="17">
        <f>FE143*VLOOKUP('Données projet'!$B$16,Paramètres!$A$1:$I$89,3,0)*VLOOKUP('Données projet'!$B$16,Paramètres!$A$1:$I$89,5,0)</f>
        <v>-1.8444552551954985E-13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220.90439367987847</v>
      </c>
      <c r="FK143" s="59">
        <f t="shared" si="156"/>
        <v>213.66046131354858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33.991492394106814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33.991492394106814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1">
        <f t="shared" si="140"/>
        <v>30.360402323573524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67">
        <f t="shared" si="110"/>
        <v>545.42147404689047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6.8212102632969618E-13</v>
      </c>
      <c r="O144" s="13">
        <f>N144*VLOOKUP('Données projet'!$B$9,Paramètres!$A$1:$I$89,3,0)*VLOOKUP('Données projet'!$B$9,Paramètres!$A$1:$I$89,5,0)</f>
        <v>3.1923264032229784E-13</v>
      </c>
      <c r="P144" s="13">
        <f t="shared" si="141"/>
        <v>4.1896839804541558E-12</v>
      </c>
      <c r="Q144" s="20">
        <f t="shared" si="108"/>
        <v>7.8530297811856558E-12</v>
      </c>
      <c r="R144" s="59">
        <f t="shared" si="109"/>
        <v>293.33333333334116</v>
      </c>
      <c r="S144" s="59">
        <f ca="1">AVERAGE(OFFSET($R$3,0,0,'Données projet'!$E$9+1,1))-AVERAGE(OFFSET($H$3,0,0,'Données projet'!$E$9+1,1))</f>
        <v>196.72624686715807</v>
      </c>
      <c r="T144" s="59">
        <f t="shared" si="142"/>
        <v>37.315661698104691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93.152655542872708</v>
      </c>
      <c r="AA144" s="21">
        <f>EXP(-LN(2)/25)*AA143+(1-EXP(-LN(2)/25))/(LN(2)/25)*Calculateur!V144*Calculateur!X144*VLOOKUP('Données projet'!$B$9,Paramètres!$A$1:$I$89,3,0)*0.475*44/12</f>
        <v>27.930510756421103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121.08316629929381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-1.0000000000001137</v>
      </c>
      <c r="AJ144" s="13">
        <f>AI144*VLOOKUP('Données projet'!$B$10,Paramètres!$A$1:$I$89,3,0)*VLOOKUP('Données projet'!$B$10,Paramètres!$A$1:$I$89,5,0)</f>
        <v>-0.55900000000006356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325.42940802362739</v>
      </c>
      <c r="AO144" s="59">
        <f t="shared" si="144"/>
        <v>388.87198417542277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47.115807448184661</v>
      </c>
      <c r="AV144" s="21">
        <f>EXP(-LN(2)/25)*AV143+(1-EXP(-LN(2)/25))/(LN(2)/25)*Calculateur!AQ144*Calculateur!AS144*VLOOKUP('Données projet'!$B$10,Paramètres!$A$1:$I$89,3,0)*0.475*44/12</f>
        <v>9.5788472448492907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56.694654693033954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</v>
      </c>
      <c r="BE144" s="13">
        <f>BD144*VLOOKUP('Données projet'!$B$11,Paramètres!$A$1:$I$89,3,0)*VLOOKUP('Données projet'!$B$11,Paramètres!$A$1:$I$89,5,0)</f>
        <v>-0.624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162.87524915738271</v>
      </c>
      <c r="BJ144" s="59">
        <f t="shared" si="146"/>
        <v>249.37880137966658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30.059779068271986</v>
      </c>
      <c r="BQ144" s="21">
        <f>EXP(-LN(2)/25)*BQ143+(1-EXP(-LN(2)/25))/(LN(2)/25)*Calculateur!BL144*Calculateur!BN144*VLOOKUP('Données projet'!$B$11,Paramètres!$A$1:$I$89,3,0)*0.475*44/12</f>
        <v>6.7533809875888444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36.813160055860834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-1.4210854715202004E-13</v>
      </c>
      <c r="BZ144" s="13">
        <f>BY144*VLOOKUP('Données projet'!$B$12,Paramètres!$A$1:$I$89,3,0)*VLOOKUP('Données projet'!$B$12,Paramètres!$A$1:$I$89,5,0)</f>
        <v>-9.3109520094003535E-14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119.88584888779422</v>
      </c>
      <c r="CE144" s="59">
        <f t="shared" si="148"/>
        <v>162.97244314258774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10.088174205899433</v>
      </c>
      <c r="CL144" s="21">
        <f>EXP(-LN(2)/25)*CL143+(1-EXP(-LN(2)/25))/(LN(2)/25)*Calculateur!CG144*Calculateur!CI144*VLOOKUP('Données projet'!$B$12,Paramètres!$A$1:$I$89,3,0)*0.475*44/12</f>
        <v>2.6068799642183129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12.695054170117746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261.75887764015459</v>
      </c>
      <c r="CZ144" s="59">
        <f t="shared" si="150"/>
        <v>209.74127356028544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49.998939008655455</v>
      </c>
      <c r="DG144" s="21">
        <f>EXP(-LN(2)/25)*DG143+(1-EXP(-LN(2)/25))/(LN(2)/25)*Calculateur!DB144*Calculateur!DD144*VLOOKUP('Données projet'!$B$13,Paramètres!$A$1:$I$89,3,0)*0.475*44/12</f>
        <v>9.8007359572835355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59.799674965938991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-2.2737367544323206E-13</v>
      </c>
      <c r="DP144" s="17">
        <f>DO144*VLOOKUP('Données projet'!$B$14,Paramètres!$A$1:$I$89,3,0)*VLOOKUP('Données projet'!$B$14,Paramètres!$A$1:$I$89,5,0)</f>
        <v>-1.8089849618263545E-13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215.37468832969444</v>
      </c>
      <c r="DU144" s="59">
        <f t="shared" si="152"/>
        <v>208.60212063136419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32.684075731001883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32.684075731001883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-2.2737367544323206E-13</v>
      </c>
      <c r="EK144" s="17">
        <f>EJ144*VLOOKUP('Données projet'!$B$15,Paramètres!$A$1:$I$89,3,0)*VLOOKUP('Données projet'!$B$15,Paramètres!$A$1:$I$89,5,0)</f>
        <v>-1.8089849618263545E-13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215.37468832969444</v>
      </c>
      <c r="EP144" s="59">
        <f t="shared" si="154"/>
        <v>208.60212063136419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32.684075731001883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32.684075731001883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-2.2737367544323206E-13</v>
      </c>
      <c r="FF144" s="17">
        <f>FE144*VLOOKUP('Données projet'!$B$16,Paramètres!$A$1:$I$89,3,0)*VLOOKUP('Données projet'!$B$16,Paramètres!$A$1:$I$89,5,0)</f>
        <v>-1.8444552551954985E-13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220.90439367987847</v>
      </c>
      <c r="FK144" s="59">
        <f t="shared" si="156"/>
        <v>213.66046131354858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33.324939961021549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33.324939961021549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1">
        <f t="shared" si="140"/>
        <v>30.550582519051918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67">
        <f t="shared" si="110"/>
        <v>547.16554455401536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6.8212102632969618E-13</v>
      </c>
      <c r="O145" s="13">
        <f>N145*VLOOKUP('Données projet'!$B$9,Paramètres!$A$1:$I$89,3,0)*VLOOKUP('Données projet'!$B$9,Paramètres!$A$1:$I$89,5,0)</f>
        <v>3.1923264032229784E-13</v>
      </c>
      <c r="P145" s="13">
        <f t="shared" si="141"/>
        <v>4.1896839804541558E-12</v>
      </c>
      <c r="Q145" s="20">
        <f t="shared" si="108"/>
        <v>7.8530297811856558E-12</v>
      </c>
      <c r="R145" s="59">
        <f t="shared" si="109"/>
        <v>293.33333333334116</v>
      </c>
      <c r="S145" s="59">
        <f ca="1">AVERAGE(OFFSET($R$3,0,0,'Données projet'!$E$9+1,1))-AVERAGE(OFFSET($H$3,0,0,'Données projet'!$E$9+1,1))</f>
        <v>196.72624686715807</v>
      </c>
      <c r="T145" s="59">
        <f t="shared" si="142"/>
        <v>37.315661698104691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91.325988785186595</v>
      </c>
      <c r="AA145" s="21">
        <f>EXP(-LN(2)/25)*AA144+(1-EXP(-LN(2)/25))/(LN(2)/25)*Calculateur!V145*Calculateur!X145*VLOOKUP('Données projet'!$B$9,Paramètres!$A$1:$I$89,3,0)*0.475*44/12</f>
        <v>27.166749470985042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118.49273825617163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-1.0000000000001137</v>
      </c>
      <c r="AJ145" s="13">
        <f>AI145*VLOOKUP('Données projet'!$B$10,Paramètres!$A$1:$I$89,3,0)*VLOOKUP('Données projet'!$B$10,Paramètres!$A$1:$I$89,5,0)</f>
        <v>-0.55900000000006356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325.42940802362739</v>
      </c>
      <c r="AO145" s="59">
        <f t="shared" si="144"/>
        <v>388.87198417542277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46.191895201930684</v>
      </c>
      <c r="AV145" s="21">
        <f>EXP(-LN(2)/25)*AV144+(1-EXP(-LN(2)/25))/(LN(2)/25)*Calculateur!AQ145*Calculateur!AS145*VLOOKUP('Données projet'!$B$10,Paramètres!$A$1:$I$89,3,0)*0.475*44/12</f>
        <v>9.3169131632092022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55.508808365139885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</v>
      </c>
      <c r="BE145" s="13">
        <f>BD145*VLOOKUP('Données projet'!$B$11,Paramètres!$A$1:$I$89,3,0)*VLOOKUP('Données projet'!$B$11,Paramètres!$A$1:$I$89,5,0)</f>
        <v>-0.624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162.87524915738271</v>
      </c>
      <c r="BJ145" s="59">
        <f t="shared" si="146"/>
        <v>249.37880137966658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29.470325135398006</v>
      </c>
      <c r="BQ145" s="21">
        <f>EXP(-LN(2)/25)*BQ144+(1-EXP(-LN(2)/25))/(LN(2)/25)*Calculateur!BL145*Calculateur!BN145*VLOOKUP('Données projet'!$B$11,Paramètres!$A$1:$I$89,3,0)*0.475*44/12</f>
        <v>6.5687094293383561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36.039034564736362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-1.4210854715202004E-13</v>
      </c>
      <c r="BZ145" s="13">
        <f>BY145*VLOOKUP('Données projet'!$B$12,Paramètres!$A$1:$I$89,3,0)*VLOOKUP('Données projet'!$B$12,Paramètres!$A$1:$I$89,5,0)</f>
        <v>-9.3109520094003535E-14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119.88584888779422</v>
      </c>
      <c r="CE145" s="59">
        <f t="shared" si="148"/>
        <v>162.97244314258774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9.8903512629004346</v>
      </c>
      <c r="CL145" s="21">
        <f>EXP(-LN(2)/25)*CL144+(1-EXP(-LN(2)/25))/(LN(2)/25)*Calculateur!CG145*Calculateur!CI145*VLOOKUP('Données projet'!$B$12,Paramètres!$A$1:$I$89,3,0)*0.475*44/12</f>
        <v>2.5355946945069041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12.42594595740734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261.75887764015459</v>
      </c>
      <c r="CZ145" s="59">
        <f t="shared" si="150"/>
        <v>209.74127356028544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49.018490311037255</v>
      </c>
      <c r="DG145" s="21">
        <f>EXP(-LN(2)/25)*DG144+(1-EXP(-LN(2)/25))/(LN(2)/25)*Calculateur!DB145*Calculateur!DD145*VLOOKUP('Données projet'!$B$13,Paramètres!$A$1:$I$89,3,0)*0.475*44/12</f>
        <v>9.532734317133313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58.551224628170566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-2.2737367544323206E-13</v>
      </c>
      <c r="DP145" s="17">
        <f>DO145*VLOOKUP('Données projet'!$B$14,Paramètres!$A$1:$I$89,3,0)*VLOOKUP('Données projet'!$B$14,Paramètres!$A$1:$I$89,5,0)</f>
        <v>-1.8089849618263545E-13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215.37468832969444</v>
      </c>
      <c r="DU145" s="59">
        <f t="shared" si="152"/>
        <v>208.60212063136419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32.043160941234682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32.043160941234682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-2.2737367544323206E-13</v>
      </c>
      <c r="EK145" s="17">
        <f>EJ145*VLOOKUP('Données projet'!$B$15,Paramètres!$A$1:$I$89,3,0)*VLOOKUP('Données projet'!$B$15,Paramètres!$A$1:$I$89,5,0)</f>
        <v>-1.8089849618263545E-13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215.37468832969444</v>
      </c>
      <c r="EP145" s="59">
        <f t="shared" si="154"/>
        <v>208.60212063136419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32.043160941234682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32.043160941234682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-2.2737367544323206E-13</v>
      </c>
      <c r="FF145" s="17">
        <f>FE145*VLOOKUP('Données projet'!$B$16,Paramètres!$A$1:$I$89,3,0)*VLOOKUP('Données projet'!$B$16,Paramètres!$A$1:$I$89,5,0)</f>
        <v>-1.8444552551954985E-13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220.90439367987847</v>
      </c>
      <c r="FK145" s="59">
        <f t="shared" si="156"/>
        <v>213.66046131354858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32.671458214592249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32.671458214592249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1">
        <f t="shared" si="140"/>
        <v>30.740606882856699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67">
        <f t="shared" si="110"/>
        <v>548.9093436543086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6.8212102632969618E-13</v>
      </c>
      <c r="O146" s="13">
        <f>N146*VLOOKUP('Données projet'!$B$9,Paramètres!$A$1:$I$89,3,0)*VLOOKUP('Données projet'!$B$9,Paramètres!$A$1:$I$89,5,0)</f>
        <v>3.1923264032229784E-13</v>
      </c>
      <c r="P146" s="13">
        <f t="shared" si="141"/>
        <v>4.1896839804541558E-12</v>
      </c>
      <c r="Q146" s="20">
        <f t="shared" si="108"/>
        <v>7.8530297811856558E-12</v>
      </c>
      <c r="R146" s="59">
        <f t="shared" si="109"/>
        <v>293.33333333334116</v>
      </c>
      <c r="S146" s="59">
        <f ca="1">AVERAGE(OFFSET($R$3,0,0,'Données projet'!$E$9+1,1))-AVERAGE(OFFSET($H$3,0,0,'Données projet'!$E$9+1,1))</f>
        <v>196.72624686715807</v>
      </c>
      <c r="T146" s="59">
        <f t="shared" si="142"/>
        <v>37.315661698104691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89.53514184846199</v>
      </c>
      <c r="AA146" s="21">
        <f>EXP(-LN(2)/25)*AA145+(1-EXP(-LN(2)/25))/(LN(2)/25)*Calculateur!V146*Calculateur!X146*VLOOKUP('Données projet'!$B$9,Paramètres!$A$1:$I$89,3,0)*0.475*44/12</f>
        <v>26.423873278063692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115.95901512652568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-1.0000000000001137</v>
      </c>
      <c r="AJ146" s="13">
        <f>AI146*VLOOKUP('Données projet'!$B$10,Paramètres!$A$1:$I$89,3,0)*VLOOKUP('Données projet'!$B$10,Paramètres!$A$1:$I$89,5,0)</f>
        <v>-0.55900000000006356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325.42940802362739</v>
      </c>
      <c r="AO146" s="59">
        <f t="shared" si="144"/>
        <v>388.87198417542277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45.286100311294916</v>
      </c>
      <c r="AV146" s="21">
        <f>EXP(-LN(2)/25)*AV145+(1-EXP(-LN(2)/25))/(LN(2)/25)*Calculateur!AQ146*Calculateur!AS146*VLOOKUP('Données projet'!$B$10,Paramètres!$A$1:$I$89,3,0)*0.475*44/12</f>
        <v>9.062141682806077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54.348241994100995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</v>
      </c>
      <c r="BE146" s="13">
        <f>BD146*VLOOKUP('Données projet'!$B$11,Paramètres!$A$1:$I$89,3,0)*VLOOKUP('Données projet'!$B$11,Paramètres!$A$1:$I$89,5,0)</f>
        <v>-0.624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162.87524915738271</v>
      </c>
      <c r="BJ146" s="59">
        <f t="shared" si="146"/>
        <v>249.37880137966658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28.892430034616289</v>
      </c>
      <c r="BQ146" s="21">
        <f>EXP(-LN(2)/25)*BQ145+(1-EXP(-LN(2)/25))/(LN(2)/25)*Calculateur!BL146*Calculateur!BN146*VLOOKUP('Données projet'!$B$11,Paramètres!$A$1:$I$89,3,0)*0.475*44/12</f>
        <v>6.3890877245596824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35.281517759175969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-1.4210854715202004E-13</v>
      </c>
      <c r="BZ146" s="13">
        <f>BY146*VLOOKUP('Données projet'!$B$12,Paramètres!$A$1:$I$89,3,0)*VLOOKUP('Données projet'!$B$12,Paramètres!$A$1:$I$89,5,0)</f>
        <v>-9.3109520094003535E-14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119.88584888779422</v>
      </c>
      <c r="CE146" s="59">
        <f t="shared" si="148"/>
        <v>162.97244314258774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9.696407507153566</v>
      </c>
      <c r="CL146" s="21">
        <f>EXP(-LN(2)/25)*CL145+(1-EXP(-LN(2)/25))/(LN(2)/25)*Calculateur!CG146*Calculateur!CI146*VLOOKUP('Données projet'!$B$12,Paramètres!$A$1:$I$89,3,0)*0.475*44/12</f>
        <v>2.4662587242444829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12.162666231398049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261.75887764015459</v>
      </c>
      <c r="CZ146" s="59">
        <f t="shared" si="150"/>
        <v>209.74127356028544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48.05726761436469</v>
      </c>
      <c r="DG146" s="21">
        <f>EXP(-LN(2)/25)*DG145+(1-EXP(-LN(2)/25))/(LN(2)/25)*Calculateur!DB146*Calculateur!DD146*VLOOKUP('Données projet'!$B$13,Paramètres!$A$1:$I$89,3,0)*0.475*44/12</f>
        <v>9.2720611959265913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57.32932881029128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-2.2737367544323206E-13</v>
      </c>
      <c r="DP146" s="17">
        <f>DO146*VLOOKUP('Données projet'!$B$14,Paramètres!$A$1:$I$89,3,0)*VLOOKUP('Données projet'!$B$14,Paramètres!$A$1:$I$89,5,0)</f>
        <v>-1.8089849618263545E-13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215.37468832969444</v>
      </c>
      <c r="DU146" s="59">
        <f t="shared" si="152"/>
        <v>208.60212063136419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31.414814099575395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31.414814099575395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-2.2737367544323206E-13</v>
      </c>
      <c r="EK146" s="17">
        <f>EJ146*VLOOKUP('Données projet'!$B$15,Paramètres!$A$1:$I$89,3,0)*VLOOKUP('Données projet'!$B$15,Paramètres!$A$1:$I$89,5,0)</f>
        <v>-1.8089849618263545E-13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215.37468832969444</v>
      </c>
      <c r="EP146" s="59">
        <f t="shared" si="154"/>
        <v>208.60212063136419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31.414814099575395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31.414814099575395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-2.2737367544323206E-13</v>
      </c>
      <c r="FF146" s="17">
        <f>FE146*VLOOKUP('Données projet'!$B$16,Paramètres!$A$1:$I$89,3,0)*VLOOKUP('Données projet'!$B$16,Paramètres!$A$1:$I$89,5,0)</f>
        <v>-1.8444552551954985E-13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220.90439367987847</v>
      </c>
      <c r="FK146" s="59">
        <f t="shared" si="156"/>
        <v>213.66046131354858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32.030790846625919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32.030790846625919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1">
        <f t="shared" si="140"/>
        <v>30.930476631089483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67">
        <f t="shared" si="110"/>
        <v>550.65287346581408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6.8212102632969618E-13</v>
      </c>
      <c r="O147" s="13">
        <f>N147*VLOOKUP('Données projet'!$B$9,Paramètres!$A$1:$I$89,3,0)*VLOOKUP('Données projet'!$B$9,Paramètres!$A$1:$I$89,5,0)</f>
        <v>3.1923264032229784E-13</v>
      </c>
      <c r="P147" s="13">
        <f t="shared" si="141"/>
        <v>4.1896839804541558E-12</v>
      </c>
      <c r="Q147" s="20">
        <f t="shared" si="108"/>
        <v>7.8530297811856558E-12</v>
      </c>
      <c r="R147" s="59">
        <f t="shared" si="109"/>
        <v>293.33333333334116</v>
      </c>
      <c r="S147" s="59">
        <f ca="1">AVERAGE(OFFSET($R$3,0,0,'Données projet'!$E$9+1,1))-AVERAGE(OFFSET($H$3,0,0,'Données projet'!$E$9+1,1))</f>
        <v>196.72624686715807</v>
      </c>
      <c r="T147" s="59">
        <f t="shared" si="142"/>
        <v>37.315661698104691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87.779412327857784</v>
      </c>
      <c r="AA147" s="21">
        <f>EXP(-LN(2)/25)*AA146+(1-EXP(-LN(2)/25))/(LN(2)/25)*Calculateur!V147*Calculateur!X147*VLOOKUP('Données projet'!$B$9,Paramètres!$A$1:$I$89,3,0)*0.475*44/12</f>
        <v>25.701311073703938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113.48072340156172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-1.0000000000001137</v>
      </c>
      <c r="AJ147" s="13">
        <f>AI147*VLOOKUP('Données projet'!$B$10,Paramètres!$A$1:$I$89,3,0)*VLOOKUP('Données projet'!$B$10,Paramètres!$A$1:$I$89,5,0)</f>
        <v>-0.55900000000006356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325.42940802362739</v>
      </c>
      <c r="AO147" s="59">
        <f t="shared" si="144"/>
        <v>388.87198417542277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44.398067505984187</v>
      </c>
      <c r="AV147" s="21">
        <f>EXP(-LN(2)/25)*AV146+(1-EXP(-LN(2)/25))/(LN(2)/25)*Calculateur!AQ147*Calculateur!AS147*VLOOKUP('Données projet'!$B$10,Paramètres!$A$1:$I$89,3,0)*0.475*44/12</f>
        <v>8.8143369419324262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53.212404447916612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</v>
      </c>
      <c r="BE147" s="13">
        <f>BD147*VLOOKUP('Données projet'!$B$11,Paramètres!$A$1:$I$89,3,0)*VLOOKUP('Données projet'!$B$11,Paramètres!$A$1:$I$89,5,0)</f>
        <v>-0.624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162.87524915738271</v>
      </c>
      <c r="BJ147" s="59">
        <f t="shared" si="146"/>
        <v>249.37880137966658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28.325867104279695</v>
      </c>
      <c r="BQ147" s="21">
        <f>EXP(-LN(2)/25)*BQ146+(1-EXP(-LN(2)/25))/(LN(2)/25)*Calculateur!BL147*Calculateur!BN147*VLOOKUP('Données projet'!$B$11,Paramètres!$A$1:$I$89,3,0)*0.475*44/12</f>
        <v>6.2143777847440766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34.540244889023768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-1.4210854715202004E-13</v>
      </c>
      <c r="BZ147" s="13">
        <f>BY147*VLOOKUP('Données projet'!$B$12,Paramètres!$A$1:$I$89,3,0)*VLOOKUP('Données projet'!$B$12,Paramètres!$A$1:$I$89,5,0)</f>
        <v>-9.3109520094003535E-14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119.88584888779422</v>
      </c>
      <c r="CE147" s="59">
        <f t="shared" si="148"/>
        <v>162.97244314258774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9.5062668701628823</v>
      </c>
      <c r="CL147" s="21">
        <f>EXP(-LN(2)/25)*CL146+(1-EXP(-LN(2)/25))/(LN(2)/25)*Calculateur!CG147*Calculateur!CI147*VLOOKUP('Données projet'!$B$12,Paramètres!$A$1:$I$89,3,0)*0.475*44/12</f>
        <v>2.3988187497351081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11.90508561989799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261.75887764015459</v>
      </c>
      <c r="CZ147" s="59">
        <f t="shared" si="150"/>
        <v>209.74127356028544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47.114893908485918</v>
      </c>
      <c r="DG147" s="21">
        <f>EXP(-LN(2)/25)*DG146+(1-EXP(-LN(2)/25))/(LN(2)/25)*Calculateur!DB147*Calculateur!DD147*VLOOKUP('Données projet'!$B$13,Paramètres!$A$1:$I$89,3,0)*0.475*44/12</f>
        <v>9.0185161949274715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56.133410103413389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-2.2737367544323206E-13</v>
      </c>
      <c r="DP147" s="17">
        <f>DO147*VLOOKUP('Données projet'!$B$14,Paramètres!$A$1:$I$89,3,0)*VLOOKUP('Données projet'!$B$14,Paramètres!$A$1:$I$89,5,0)</f>
        <v>-1.8089849618263545E-13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215.37468832969444</v>
      </c>
      <c r="DU147" s="59">
        <f t="shared" si="152"/>
        <v>208.60212063136419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30.798788756227317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30.798788756227317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-2.2737367544323206E-13</v>
      </c>
      <c r="EK147" s="17">
        <f>EJ147*VLOOKUP('Données projet'!$B$15,Paramètres!$A$1:$I$89,3,0)*VLOOKUP('Données projet'!$B$15,Paramètres!$A$1:$I$89,5,0)</f>
        <v>-1.8089849618263545E-13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215.37468832969444</v>
      </c>
      <c r="EP147" s="59">
        <f t="shared" si="154"/>
        <v>208.60212063136419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30.798788756227317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30.798788756227317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-2.2737367544323206E-13</v>
      </c>
      <c r="FF147" s="17">
        <f>FE147*VLOOKUP('Données projet'!$B$16,Paramètres!$A$1:$I$89,3,0)*VLOOKUP('Données projet'!$B$16,Paramètres!$A$1:$I$89,5,0)</f>
        <v>-1.8444552551954985E-13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220.90439367987847</v>
      </c>
      <c r="FK147" s="59">
        <f t="shared" si="156"/>
        <v>213.66046131354858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31.402686574976897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31.402686574976897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1">
        <f t="shared" si="140"/>
        <v>31.120192961985413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67">
        <f t="shared" si="110"/>
        <v>552.39613607545789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6.8212102632969618E-13</v>
      </c>
      <c r="O148" s="13">
        <f>N148*VLOOKUP('Données projet'!$B$9,Paramètres!$A$1:$I$89,3,0)*VLOOKUP('Données projet'!$B$9,Paramètres!$A$1:$I$89,5,0)</f>
        <v>3.1923264032229784E-13</v>
      </c>
      <c r="P148" s="13">
        <f t="shared" si="141"/>
        <v>4.1896839804541558E-12</v>
      </c>
      <c r="Q148" s="20">
        <f t="shared" si="108"/>
        <v>7.8530297811856558E-12</v>
      </c>
      <c r="R148" s="59">
        <f t="shared" si="109"/>
        <v>293.33333333334116</v>
      </c>
      <c r="S148" s="59">
        <f ca="1">AVERAGE(OFFSET($R$3,0,0,'Données projet'!$E$9+1,1))-AVERAGE(OFFSET($H$3,0,0,'Données projet'!$E$9+1,1))</f>
        <v>196.72624686715807</v>
      </c>
      <c r="T148" s="59">
        <f t="shared" si="142"/>
        <v>37.315661698104691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86.058111592263359</v>
      </c>
      <c r="AA148" s="21">
        <f>EXP(-LN(2)/25)*AA147+(1-EXP(-LN(2)/25))/(LN(2)/25)*Calculateur!V148*Calculateur!X148*VLOOKUP('Données projet'!$B$9,Paramètres!$A$1:$I$89,3,0)*0.475*44/12</f>
        <v>24.998507370820295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111.05661896308365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-1.0000000000001137</v>
      </c>
      <c r="AJ148" s="13">
        <f>AI148*VLOOKUP('Données projet'!$B$10,Paramètres!$A$1:$I$89,3,0)*VLOOKUP('Données projet'!$B$10,Paramètres!$A$1:$I$89,5,0)</f>
        <v>-0.55900000000006356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325.42940802362739</v>
      </c>
      <c r="AO148" s="59">
        <f t="shared" si="144"/>
        <v>388.87198417542277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43.527448482339075</v>
      </c>
      <c r="AV148" s="21">
        <f>EXP(-LN(2)/25)*AV147+(1-EXP(-LN(2)/25))/(LN(2)/25)*Calculateur!AQ148*Calculateur!AS148*VLOOKUP('Données projet'!$B$10,Paramètres!$A$1:$I$89,3,0)*0.475*44/12</f>
        <v>8.5733084347294497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52.100756917068523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</v>
      </c>
      <c r="BE148" s="13">
        <f>BD148*VLOOKUP('Données projet'!$B$11,Paramètres!$A$1:$I$89,3,0)*VLOOKUP('Données projet'!$B$11,Paramètres!$A$1:$I$89,5,0)</f>
        <v>-0.624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162.87524915738271</v>
      </c>
      <c r="BJ148" s="59">
        <f t="shared" si="146"/>
        <v>249.37880137966658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27.770414127437736</v>
      </c>
      <c r="BQ148" s="21">
        <f>EXP(-LN(2)/25)*BQ147+(1-EXP(-LN(2)/25))/(LN(2)/25)*Calculateur!BL148*Calculateur!BN148*VLOOKUP('Données projet'!$B$11,Paramètres!$A$1:$I$89,3,0)*0.475*44/12</f>
        <v>6.0444452974203253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33.814859424858064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-1.4210854715202004E-13</v>
      </c>
      <c r="BZ148" s="13">
        <f>BY148*VLOOKUP('Données projet'!$B$12,Paramètres!$A$1:$I$89,3,0)*VLOOKUP('Données projet'!$B$12,Paramètres!$A$1:$I$89,5,0)</f>
        <v>-9.3109520094003535E-14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119.88584888779422</v>
      </c>
      <c r="CE148" s="59">
        <f t="shared" si="148"/>
        <v>162.97244314258774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9.3198547750892491</v>
      </c>
      <c r="CL148" s="21">
        <f>EXP(-LN(2)/25)*CL147+(1-EXP(-LN(2)/25))/(LN(2)/25)*Calculateur!CG148*Calculateur!CI148*VLOOKUP('Données projet'!$B$12,Paramètres!$A$1:$I$89,3,0)*0.475*44/12</f>
        <v>2.3332229248752063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11.653077699964456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261.75887764015459</v>
      </c>
      <c r="CZ148" s="59">
        <f t="shared" si="150"/>
        <v>209.74127356028544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46.190999576188226</v>
      </c>
      <c r="DG148" s="21">
        <f>EXP(-LN(2)/25)*DG147+(1-EXP(-LN(2)/25))/(LN(2)/25)*Calculateur!DB148*Calculateur!DD148*VLOOKUP('Données projet'!$B$13,Paramètres!$A$1:$I$89,3,0)*0.475*44/12</f>
        <v>8.7719043953140243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54.96290397150225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-2.2737367544323206E-13</v>
      </c>
      <c r="DP148" s="17">
        <f>DO148*VLOOKUP('Données projet'!$B$14,Paramètres!$A$1:$I$89,3,0)*VLOOKUP('Données projet'!$B$14,Paramètres!$A$1:$I$89,5,0)</f>
        <v>-1.8089849618263545E-13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215.37468832969444</v>
      </c>
      <c r="DU148" s="59">
        <f t="shared" si="152"/>
        <v>208.60212063136419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30.194843294123935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30.194843294123935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-2.2737367544323206E-13</v>
      </c>
      <c r="EK148" s="17">
        <f>EJ148*VLOOKUP('Données projet'!$B$15,Paramètres!$A$1:$I$89,3,0)*VLOOKUP('Données projet'!$B$15,Paramètres!$A$1:$I$89,5,0)</f>
        <v>-1.8089849618263545E-13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215.37468832969444</v>
      </c>
      <c r="EP148" s="59">
        <f t="shared" si="154"/>
        <v>208.60212063136419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30.194843294123935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30.194843294123935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-2.2737367544323206E-13</v>
      </c>
      <c r="FF148" s="17">
        <f>FE148*VLOOKUP('Données projet'!$B$16,Paramètres!$A$1:$I$89,3,0)*VLOOKUP('Données projet'!$B$16,Paramètres!$A$1:$I$89,5,0)</f>
        <v>-1.8444552551954985E-13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220.90439367987847</v>
      </c>
      <c r="FK148" s="59">
        <f t="shared" si="156"/>
        <v>213.66046131354858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30.786899044989134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30.786899044989134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1">
        <f t="shared" si="140"/>
        <v>31.309757056296963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67">
        <f t="shared" si="110"/>
        <v>554.13913353971702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6.8212102632969618E-13</v>
      </c>
      <c r="O149" s="13">
        <f>N149*VLOOKUP('Données projet'!$B$9,Paramètres!$A$1:$I$89,3,0)*VLOOKUP('Données projet'!$B$9,Paramètres!$A$1:$I$89,5,0)</f>
        <v>3.1923264032229784E-13</v>
      </c>
      <c r="P149" s="13">
        <f t="shared" si="141"/>
        <v>4.1896839804541558E-12</v>
      </c>
      <c r="Q149" s="20">
        <f t="shared" si="108"/>
        <v>7.8530297811856558E-12</v>
      </c>
      <c r="R149" s="59">
        <f t="shared" si="109"/>
        <v>293.33333333334116</v>
      </c>
      <c r="S149" s="59">
        <f ca="1">AVERAGE(OFFSET($R$3,0,0,'Données projet'!$E$9+1,1))-AVERAGE(OFFSET($H$3,0,0,'Données projet'!$E$9+1,1))</f>
        <v>196.72624686715807</v>
      </c>
      <c r="T149" s="59">
        <f t="shared" si="142"/>
        <v>37.315661698104691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84.370564514204162</v>
      </c>
      <c r="AA149" s="21">
        <f>EXP(-LN(2)/25)*AA148+(1-EXP(-LN(2)/25))/(LN(2)/25)*Calculateur!V149*Calculateur!X149*VLOOKUP('Données projet'!$B$9,Paramètres!$A$1:$I$89,3,0)*0.475*44/12</f>
        <v>24.314921872150848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108.68548638635501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-1.0000000000001137</v>
      </c>
      <c r="AJ149" s="13">
        <f>AI149*VLOOKUP('Données projet'!$B$10,Paramètres!$A$1:$I$89,3,0)*VLOOKUP('Données projet'!$B$10,Paramètres!$A$1:$I$89,5,0)</f>
        <v>-0.55900000000006356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325.42940802362739</v>
      </c>
      <c r="AO149" s="59">
        <f t="shared" si="144"/>
        <v>388.87198417542277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42.673901766722473</v>
      </c>
      <c r="AV149" s="21">
        <f>EXP(-LN(2)/25)*AV148+(1-EXP(-LN(2)/25))/(LN(2)/25)*Calculateur!AQ149*Calculateur!AS149*VLOOKUP('Données projet'!$B$10,Paramètres!$A$1:$I$89,3,0)*0.475*44/12</f>
        <v>8.3388708647310761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51.012772631453551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</v>
      </c>
      <c r="BE149" s="13">
        <f>BD149*VLOOKUP('Données projet'!$B$11,Paramètres!$A$1:$I$89,3,0)*VLOOKUP('Données projet'!$B$11,Paramètres!$A$1:$I$89,5,0)</f>
        <v>-0.624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162.87524915738271</v>
      </c>
      <c r="BJ149" s="59">
        <f t="shared" si="146"/>
        <v>249.37880137966658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27.225853244678785</v>
      </c>
      <c r="BQ149" s="21">
        <f>EXP(-LN(2)/25)*BQ148+(1-EXP(-LN(2)/25))/(LN(2)/25)*Calculateur!BL149*Calculateur!BN149*VLOOKUP('Données projet'!$B$11,Paramètres!$A$1:$I$89,3,0)*0.475*44/12</f>
        <v>5.8791596228988032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33.105012867577585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-1.4210854715202004E-13</v>
      </c>
      <c r="BZ149" s="13">
        <f>BY149*VLOOKUP('Données projet'!$B$12,Paramètres!$A$1:$I$89,3,0)*VLOOKUP('Données projet'!$B$12,Paramètres!$A$1:$I$89,5,0)</f>
        <v>-9.3109520094003535E-14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119.88584888779422</v>
      </c>
      <c r="CE149" s="59">
        <f t="shared" si="148"/>
        <v>162.97244314258774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9.1370981074998596</v>
      </c>
      <c r="CL149" s="21">
        <f>EXP(-LN(2)/25)*CL148+(1-EXP(-LN(2)/25))/(LN(2)/25)*Calculateur!CG149*Calculateur!CI149*VLOOKUP('Données projet'!$B$12,Paramètres!$A$1:$I$89,3,0)*0.475*44/12</f>
        <v>2.2694208212956331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11.406518928795492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261.75887764015459</v>
      </c>
      <c r="CZ149" s="59">
        <f t="shared" si="150"/>
        <v>209.74127356028544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45.285222248226994</v>
      </c>
      <c r="DG149" s="21">
        <f>EXP(-LN(2)/25)*DG148+(1-EXP(-LN(2)/25))/(LN(2)/25)*Calculateur!DB149*Calculateur!DD149*VLOOKUP('Données projet'!$B$13,Paramètres!$A$1:$I$89,3,0)*0.475*44/12</f>
        <v>8.5320362083297585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53.81725845655675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-2.2737367544323206E-13</v>
      </c>
      <c r="DP149" s="17">
        <f>DO149*VLOOKUP('Données projet'!$B$14,Paramètres!$A$1:$I$89,3,0)*VLOOKUP('Données projet'!$B$14,Paramètres!$A$1:$I$89,5,0)</f>
        <v>-1.8089849618263545E-13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215.37468832969444</v>
      </c>
      <c r="DU149" s="59">
        <f t="shared" si="152"/>
        <v>208.60212063136419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29.602740834162041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29.602740834162041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-2.2737367544323206E-13</v>
      </c>
      <c r="EK149" s="17">
        <f>EJ149*VLOOKUP('Données projet'!$B$15,Paramètres!$A$1:$I$89,3,0)*VLOOKUP('Données projet'!$B$15,Paramètres!$A$1:$I$89,5,0)</f>
        <v>-1.8089849618263545E-13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215.37468832969444</v>
      </c>
      <c r="EP149" s="59">
        <f t="shared" si="154"/>
        <v>208.60212063136419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29.602740834162041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29.602740834162041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-2.2737367544323206E-13</v>
      </c>
      <c r="FF149" s="17">
        <f>FE149*VLOOKUP('Données projet'!$B$16,Paramètres!$A$1:$I$89,3,0)*VLOOKUP('Données projet'!$B$16,Paramètres!$A$1:$I$89,5,0)</f>
        <v>-1.8444552551954985E-13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220.90439367987847</v>
      </c>
      <c r="FK149" s="59">
        <f t="shared" si="156"/>
        <v>213.66046131354858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30.183186732871125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30.183186732871125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1">
        <f t="shared" si="140"/>
        <v>31.499170077667014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67">
        <f t="shared" si="110"/>
        <v>555.88186788526991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6.8212102632969618E-13</v>
      </c>
      <c r="O150" s="13">
        <f>N150*VLOOKUP('Données projet'!$B$9,Paramètres!$A$1:$I$89,3,0)*VLOOKUP('Données projet'!$B$9,Paramètres!$A$1:$I$89,5,0)</f>
        <v>3.1923264032229784E-13</v>
      </c>
      <c r="P150" s="13">
        <f t="shared" si="141"/>
        <v>4.1896839804541558E-12</v>
      </c>
      <c r="Q150" s="20">
        <f t="shared" si="108"/>
        <v>7.8530297811856558E-12</v>
      </c>
      <c r="R150" s="59">
        <f t="shared" si="109"/>
        <v>293.33333333334116</v>
      </c>
      <c r="S150" s="59">
        <f ca="1">AVERAGE(OFFSET($R$3,0,0,'Données projet'!$E$9+1,1))-AVERAGE(OFFSET($H$3,0,0,'Données projet'!$E$9+1,1))</f>
        <v>196.72624686715807</v>
      </c>
      <c r="T150" s="59">
        <f t="shared" si="142"/>
        <v>37.315661698104691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82.716109205043622</v>
      </c>
      <c r="AA150" s="21">
        <f>EXP(-LN(2)/25)*AA149+(1-EXP(-LN(2)/25))/(LN(2)/25)*Calculateur!V150*Calculateur!X150*VLOOKUP('Données projet'!$B$9,Paramètres!$A$1:$I$89,3,0)*0.475*44/12</f>
        <v>23.650029054890712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106.36613825993433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-1.0000000000001137</v>
      </c>
      <c r="AJ150" s="13">
        <f>AI150*VLOOKUP('Données projet'!$B$10,Paramètres!$A$1:$I$89,3,0)*VLOOKUP('Données projet'!$B$10,Paramètres!$A$1:$I$89,5,0)</f>
        <v>-0.55900000000006356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325.42940802362739</v>
      </c>
      <c r="AO150" s="59">
        <f t="shared" si="144"/>
        <v>388.87198417542277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41.837092581587022</v>
      </c>
      <c r="AV150" s="21">
        <f>EXP(-LN(2)/25)*AV149+(1-EXP(-LN(2)/25))/(LN(2)/25)*Calculateur!AQ150*Calculateur!AS150*VLOOKUP('Données projet'!$B$10,Paramètres!$A$1:$I$89,3,0)*0.475*44/12</f>
        <v>8.1108440024128452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49.947936583999869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</v>
      </c>
      <c r="BE150" s="13">
        <f>BD150*VLOOKUP('Données projet'!$B$11,Paramètres!$A$1:$I$89,3,0)*VLOOKUP('Données projet'!$B$11,Paramètres!$A$1:$I$89,5,0)</f>
        <v>-0.624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162.87524915738271</v>
      </c>
      <c r="BJ150" s="59">
        <f t="shared" si="146"/>
        <v>249.37880137966658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26.691970868681395</v>
      </c>
      <c r="BQ150" s="21">
        <f>EXP(-LN(2)/25)*BQ149+(1-EXP(-LN(2)/25))/(LN(2)/25)*Calculateur!BL150*Calculateur!BN150*VLOOKUP('Données projet'!$B$11,Paramètres!$A$1:$I$89,3,0)*0.475*44/12</f>
        <v>5.7183936938390678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32.410364562520463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-1.4210854715202004E-13</v>
      </c>
      <c r="BZ150" s="13">
        <f>BY150*VLOOKUP('Données projet'!$B$12,Paramètres!$A$1:$I$89,3,0)*VLOOKUP('Données projet'!$B$12,Paramètres!$A$1:$I$89,5,0)</f>
        <v>-9.3109520094003535E-14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119.88584888779422</v>
      </c>
      <c r="CE150" s="59">
        <f t="shared" si="148"/>
        <v>162.97244314258774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8.9579251866913374</v>
      </c>
      <c r="CL150" s="21">
        <f>EXP(-LN(2)/25)*CL149+(1-EXP(-LN(2)/25))/(LN(2)/25)*Calculateur!CG150*Calculateur!CI150*VLOOKUP('Données projet'!$B$12,Paramètres!$A$1:$I$89,3,0)*0.475*44/12</f>
        <v>2.2073633895936497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11.165288576284986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261.75887764015459</v>
      </c>
      <c r="CZ150" s="59">
        <f t="shared" si="150"/>
        <v>209.74127356028544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44.397206661197458</v>
      </c>
      <c r="DG150" s="21">
        <f>EXP(-LN(2)/25)*DG149+(1-EXP(-LN(2)/25))/(LN(2)/25)*Calculateur!DB150*Calculateur!DD150*VLOOKUP('Données projet'!$B$13,Paramètres!$A$1:$I$89,3,0)*0.475*44/12</f>
        <v>8.2987272295326981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52.69593389073016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-2.2737367544323206E-13</v>
      </c>
      <c r="DP150" s="17">
        <f>DO150*VLOOKUP('Données projet'!$B$14,Paramètres!$A$1:$I$89,3,0)*VLOOKUP('Données projet'!$B$14,Paramètres!$A$1:$I$89,5,0)</f>
        <v>-1.8089849618263545E-13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215.37468832969444</v>
      </c>
      <c r="DU150" s="59">
        <f t="shared" si="152"/>
        <v>208.60212063136419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29.022249142293163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29.022249142293163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-2.2737367544323206E-13</v>
      </c>
      <c r="EK150" s="17">
        <f>EJ150*VLOOKUP('Données projet'!$B$15,Paramètres!$A$1:$I$89,3,0)*VLOOKUP('Données projet'!$B$15,Paramètres!$A$1:$I$89,5,0)</f>
        <v>-1.8089849618263545E-13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215.37468832969444</v>
      </c>
      <c r="EP150" s="59">
        <f t="shared" si="154"/>
        <v>208.60212063136419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29.022249142293163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29.022249142293163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-2.2737367544323206E-13</v>
      </c>
      <c r="FF150" s="17">
        <f>FE150*VLOOKUP('Données projet'!$B$16,Paramètres!$A$1:$I$89,3,0)*VLOOKUP('Données projet'!$B$16,Paramètres!$A$1:$I$89,5,0)</f>
        <v>-1.8444552551954985E-13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220.90439367987847</v>
      </c>
      <c r="FK150" s="59">
        <f t="shared" si="156"/>
        <v>213.66046131354858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29.5913128509656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29.5913128509656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1">
        <f t="shared" si="140"/>
        <v>31.68843317299136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67">
        <f t="shared" si="110"/>
        <v>557.62434110962647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6.8212102632969618E-13</v>
      </c>
      <c r="O151" s="13">
        <f>N151*VLOOKUP('Données projet'!$B$9,Paramètres!$A$1:$I$89,3,0)*VLOOKUP('Données projet'!$B$9,Paramètres!$A$1:$I$89,5,0)</f>
        <v>3.1923264032229784E-13</v>
      </c>
      <c r="P151" s="13">
        <f t="shared" si="141"/>
        <v>4.1896839804541558E-12</v>
      </c>
      <c r="Q151" s="20">
        <f t="shared" si="108"/>
        <v>7.8530297811856558E-12</v>
      </c>
      <c r="R151" s="59">
        <f t="shared" si="109"/>
        <v>293.33333333334116</v>
      </c>
      <c r="S151" s="59">
        <f ca="1">AVERAGE(OFFSET($R$3,0,0,'Données projet'!$E$9+1,1))-AVERAGE(OFFSET($H$3,0,0,'Données projet'!$E$9+1,1))</f>
        <v>196.72624686715807</v>
      </c>
      <c r="T151" s="59">
        <f t="shared" si="142"/>
        <v>37.315661698104691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81.09409675537762</v>
      </c>
      <c r="AA151" s="21">
        <f>EXP(-LN(2)/25)*AA150+(1-EXP(-LN(2)/25))/(LN(2)/25)*Calculateur!V151*Calculateur!X151*VLOOKUP('Données projet'!$B$9,Paramètres!$A$1:$I$89,3,0)*0.475*44/12</f>
        <v>23.00331776668375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104.09741452206137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-1.0000000000001137</v>
      </c>
      <c r="AJ151" s="13">
        <f>AI151*VLOOKUP('Données projet'!$B$10,Paramètres!$A$1:$I$89,3,0)*VLOOKUP('Données projet'!$B$10,Paramètres!$A$1:$I$89,5,0)</f>
        <v>-0.55900000000006356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325.42940802362739</v>
      </c>
      <c r="AO151" s="59">
        <f t="shared" si="144"/>
        <v>388.87198417542277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41.016692714168869</v>
      </c>
      <c r="AV151" s="21">
        <f>EXP(-LN(2)/25)*AV150+(1-EXP(-LN(2)/25))/(LN(2)/25)*Calculateur!AQ151*Calculateur!AS151*VLOOKUP('Données projet'!$B$10,Paramètres!$A$1:$I$89,3,0)*0.475*44/12</f>
        <v>7.8890525466361172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48.905745260804984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</v>
      </c>
      <c r="BE151" s="13">
        <f>BD151*VLOOKUP('Données projet'!$B$11,Paramètres!$A$1:$I$89,3,0)*VLOOKUP('Données projet'!$B$11,Paramètres!$A$1:$I$89,5,0)</f>
        <v>-0.624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162.87524915738271</v>
      </c>
      <c r="BJ151" s="59">
        <f t="shared" si="146"/>
        <v>249.37880137966658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26.168557600441218</v>
      </c>
      <c r="BQ151" s="21">
        <f>EXP(-LN(2)/25)*BQ150+(1-EXP(-LN(2)/25))/(LN(2)/25)*Calculateur!BL151*Calculateur!BN151*VLOOKUP('Données projet'!$B$11,Paramètres!$A$1:$I$89,3,0)*0.475*44/12</f>
        <v>5.562023917563784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31.730581518005003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-1.4210854715202004E-13</v>
      </c>
      <c r="BZ151" s="13">
        <f>BY151*VLOOKUP('Données projet'!$B$12,Paramètres!$A$1:$I$89,3,0)*VLOOKUP('Données projet'!$B$12,Paramètres!$A$1:$I$89,5,0)</f>
        <v>-9.3109520094003535E-14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119.88584888779422</v>
      </c>
      <c r="CE151" s="59">
        <f t="shared" si="148"/>
        <v>162.97244314258774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8.7822657375751785</v>
      </c>
      <c r="CL151" s="21">
        <f>EXP(-LN(2)/25)*CL150+(1-EXP(-LN(2)/25))/(LN(2)/25)*Calculateur!CG151*Calculateur!CI151*VLOOKUP('Données projet'!$B$12,Paramètres!$A$1:$I$89,3,0)*0.475*44/12</f>
        <v>2.1470029216250159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10.929268659200194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261.75887764015459</v>
      </c>
      <c r="CZ151" s="59">
        <f t="shared" si="150"/>
        <v>209.74127356028544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43.526604518193551</v>
      </c>
      <c r="DG151" s="21">
        <f>EXP(-LN(2)/25)*DG150+(1-EXP(-LN(2)/25))/(LN(2)/25)*Calculateur!DB151*Calculateur!DD151*VLOOKUP('Données projet'!$B$13,Paramètres!$A$1:$I$89,3,0)*0.475*44/12</f>
        <v>8.0717980970300278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51.598402615223577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-2.2737367544323206E-13</v>
      </c>
      <c r="DP151" s="17">
        <f>DO151*VLOOKUP('Données projet'!$B$14,Paramètres!$A$1:$I$89,3,0)*VLOOKUP('Données projet'!$B$14,Paramètres!$A$1:$I$89,5,0)</f>
        <v>-1.8089849618263545E-13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215.37468832969444</v>
      </c>
      <c r="DU151" s="59">
        <f t="shared" si="152"/>
        <v>208.60212063136419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28.453140538436859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28.453140538436859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-2.2737367544323206E-13</v>
      </c>
      <c r="EK151" s="17">
        <f>EJ151*VLOOKUP('Données projet'!$B$15,Paramètres!$A$1:$I$89,3,0)*VLOOKUP('Données projet'!$B$15,Paramètres!$A$1:$I$89,5,0)</f>
        <v>-1.8089849618263545E-13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215.37468832969444</v>
      </c>
      <c r="EP151" s="59">
        <f t="shared" si="154"/>
        <v>208.60212063136419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28.453140538436859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28.453140538436859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-2.2737367544323206E-13</v>
      </c>
      <c r="FF151" s="17">
        <f>FE151*VLOOKUP('Données projet'!$B$16,Paramètres!$A$1:$I$89,3,0)*VLOOKUP('Données projet'!$B$16,Paramètres!$A$1:$I$89,5,0)</f>
        <v>-1.8444552551954985E-13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220.90439367987847</v>
      </c>
      <c r="FK151" s="59">
        <f t="shared" si="156"/>
        <v>213.66046131354858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29.011045254876823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29.011045254876823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1">
        <f t="shared" si="140"/>
        <v>31.877547472771269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67">
        <f t="shared" si="110"/>
        <v>559.36655518174314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6.8212102632969618E-13</v>
      </c>
      <c r="O152" s="13">
        <f>N152*VLOOKUP('Données projet'!$B$9,Paramètres!$A$1:$I$89,3,0)*VLOOKUP('Données projet'!$B$9,Paramètres!$A$1:$I$89,5,0)</f>
        <v>3.1923264032229784E-13</v>
      </c>
      <c r="P152" s="13">
        <f t="shared" si="141"/>
        <v>4.1896839804541558E-12</v>
      </c>
      <c r="Q152" s="20">
        <f t="shared" si="108"/>
        <v>7.8530297811856558E-12</v>
      </c>
      <c r="R152" s="59">
        <f t="shared" si="109"/>
        <v>293.33333333334116</v>
      </c>
      <c r="S152" s="59">
        <f ca="1">AVERAGE(OFFSET($R$3,0,0,'Données projet'!$E$9+1,1))-AVERAGE(OFFSET($H$3,0,0,'Données projet'!$E$9+1,1))</f>
        <v>196.72624686715807</v>
      </c>
      <c r="T152" s="59">
        <f t="shared" si="142"/>
        <v>37.315661698104691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79.503890980519671</v>
      </c>
      <c r="AA152" s="21">
        <f>EXP(-LN(2)/25)*AA151+(1-EXP(-LN(2)/25))/(LN(2)/25)*Calculateur!V152*Calculateur!X152*VLOOKUP('Données projet'!$B$9,Paramètres!$A$1:$I$89,3,0)*0.475*44/12</f>
        <v>22.374290832661877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101.87818181318156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-1.0000000000001137</v>
      </c>
      <c r="AJ152" s="13">
        <f>AI152*VLOOKUP('Données projet'!$B$10,Paramètres!$A$1:$I$89,3,0)*VLOOKUP('Données projet'!$B$10,Paramètres!$A$1:$I$89,5,0)</f>
        <v>-0.55900000000006356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325.42940802362739</v>
      </c>
      <c r="AO152" s="59">
        <f t="shared" si="144"/>
        <v>388.87198417542277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40.212380387756276</v>
      </c>
      <c r="AV152" s="21">
        <f>EXP(-LN(2)/25)*AV151+(1-EXP(-LN(2)/25))/(LN(2)/25)*Calculateur!AQ152*Calculateur!AS152*VLOOKUP('Données projet'!$B$10,Paramètres!$A$1:$I$89,3,0)*0.475*44/12</f>
        <v>7.6733259898811097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47.885706377637383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</v>
      </c>
      <c r="BE152" s="13">
        <f>BD152*VLOOKUP('Données projet'!$B$11,Paramètres!$A$1:$I$89,3,0)*VLOOKUP('Données projet'!$B$11,Paramètres!$A$1:$I$89,5,0)</f>
        <v>-0.624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162.87524915738271</v>
      </c>
      <c r="BJ152" s="59">
        <f t="shared" si="146"/>
        <v>249.37880137966658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25.655408147140662</v>
      </c>
      <c r="BQ152" s="21">
        <f>EXP(-LN(2)/25)*BQ151+(1-EXP(-LN(2)/25))/(LN(2)/25)*Calculateur!BL152*Calculateur!BN152*VLOOKUP('Données projet'!$B$11,Paramètres!$A$1:$I$89,3,0)*0.475*44/12</f>
        <v>5.4099300810438766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31.065338228184537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-1.4210854715202004E-13</v>
      </c>
      <c r="BZ152" s="13">
        <f>BY152*VLOOKUP('Données projet'!$B$12,Paramètres!$A$1:$I$89,3,0)*VLOOKUP('Données projet'!$B$12,Paramètres!$A$1:$I$89,5,0)</f>
        <v>-9.3109520094003535E-14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119.88584888779422</v>
      </c>
      <c r="CE152" s="59">
        <f t="shared" si="148"/>
        <v>162.97244314258774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8.6100508631145036</v>
      </c>
      <c r="CL152" s="21">
        <f>EXP(-LN(2)/25)*CL151+(1-EXP(-LN(2)/25))/(LN(2)/25)*Calculateur!CG152*Calculateur!CI152*VLOOKUP('Données projet'!$B$12,Paramètres!$A$1:$I$89,3,0)*0.475*44/12</f>
        <v>2.0882930138272031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10.698343876941706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261.75887764015459</v>
      </c>
      <c r="CZ152" s="59">
        <f t="shared" si="150"/>
        <v>209.74127356028544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42.673074352199073</v>
      </c>
      <c r="DG152" s="21">
        <f>EXP(-LN(2)/25)*DG151+(1-EXP(-LN(2)/25))/(LN(2)/25)*Calculateur!DB152*Calculateur!DD152*VLOOKUP('Données projet'!$B$13,Paramètres!$A$1:$I$89,3,0)*0.475*44/12</f>
        <v>7.8510743535893281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50.524148705788399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-2.2737367544323206E-13</v>
      </c>
      <c r="DP152" s="17">
        <f>DO152*VLOOKUP('Données projet'!$B$14,Paramètres!$A$1:$I$89,3,0)*VLOOKUP('Données projet'!$B$14,Paramètres!$A$1:$I$89,5,0)</f>
        <v>-1.8089849618263545E-13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215.37468832969444</v>
      </c>
      <c r="DU152" s="59">
        <f t="shared" si="152"/>
        <v>208.60212063136419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27.895191807180208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27.895191807180208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-2.2737367544323206E-13</v>
      </c>
      <c r="EK152" s="17">
        <f>EJ152*VLOOKUP('Données projet'!$B$15,Paramètres!$A$1:$I$89,3,0)*VLOOKUP('Données projet'!$B$15,Paramètres!$A$1:$I$89,5,0)</f>
        <v>-1.8089849618263545E-13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215.37468832969444</v>
      </c>
      <c r="EP152" s="59">
        <f t="shared" si="154"/>
        <v>208.60212063136419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27.895191807180208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27.895191807180208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-2.2737367544323206E-13</v>
      </c>
      <c r="FF152" s="17">
        <f>FE152*VLOOKUP('Données projet'!$B$16,Paramètres!$A$1:$I$89,3,0)*VLOOKUP('Données projet'!$B$16,Paramètres!$A$1:$I$89,5,0)</f>
        <v>-1.8444552551954985E-13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220.90439367987847</v>
      </c>
      <c r="FK152" s="59">
        <f t="shared" si="156"/>
        <v>213.66046131354858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28.442156352419058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28.442156352419058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1">
        <f t="shared" si="140"/>
        <v>32.066514091456256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67">
        <f t="shared" si="110"/>
        <v>561.10851204261951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6.8212102632969618E-13</v>
      </c>
      <c r="O153" s="13">
        <f>N153*VLOOKUP('Données projet'!$B$9,Paramètres!$A$1:$I$89,3,0)*VLOOKUP('Données projet'!$B$9,Paramètres!$A$1:$I$89,5,0)</f>
        <v>3.1923264032229784E-13</v>
      </c>
      <c r="P153" s="13">
        <f t="shared" si="141"/>
        <v>4.1896839804541558E-12</v>
      </c>
      <c r="Q153" s="20">
        <f t="shared" si="108"/>
        <v>7.8530297811856558E-12</v>
      </c>
      <c r="R153" s="59">
        <f t="shared" si="109"/>
        <v>293.33333333334116</v>
      </c>
      <c r="S153" s="59">
        <f ca="1">AVERAGE(OFFSET($R$3,0,0,'Données projet'!$E$9+1,1))-AVERAGE(OFFSET($H$3,0,0,'Données projet'!$E$9+1,1))</f>
        <v>196.72624686715807</v>
      </c>
      <c r="T153" s="59">
        <f t="shared" si="142"/>
        <v>37.315661698104691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77.944868170976932</v>
      </c>
      <c r="AA153" s="21">
        <f>EXP(-LN(2)/25)*AA152+(1-EXP(-LN(2)/25))/(LN(2)/25)*Calculateur!V153*Calculateur!X153*VLOOKUP('Données projet'!$B$9,Paramètres!$A$1:$I$89,3,0)*0.475*44/12</f>
        <v>21.762464673229921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99.70733284420686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-1.0000000000001137</v>
      </c>
      <c r="AJ153" s="13">
        <f>AI153*VLOOKUP('Données projet'!$B$10,Paramètres!$A$1:$I$89,3,0)*VLOOKUP('Données projet'!$B$10,Paramètres!$A$1:$I$89,5,0)</f>
        <v>-0.55900000000006356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325.42940802362739</v>
      </c>
      <c r="AO153" s="59">
        <f t="shared" si="144"/>
        <v>388.87198417542277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39.423840135482557</v>
      </c>
      <c r="AV153" s="21">
        <f>EXP(-LN(2)/25)*AV152+(1-EXP(-LN(2)/25))/(LN(2)/25)*Calculateur!AQ153*Calculateur!AS153*VLOOKUP('Données projet'!$B$10,Paramètres!$A$1:$I$89,3,0)*0.475*44/12</f>
        <v>7.4634984871651344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46.88733862264769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</v>
      </c>
      <c r="BE153" s="13">
        <f>BD153*VLOOKUP('Données projet'!$B$11,Paramètres!$A$1:$I$89,3,0)*VLOOKUP('Données projet'!$B$11,Paramètres!$A$1:$I$89,5,0)</f>
        <v>-0.624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162.87524915738271</v>
      </c>
      <c r="BJ153" s="59">
        <f t="shared" si="146"/>
        <v>249.37880137966658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25.152321241629068</v>
      </c>
      <c r="BQ153" s="21">
        <f>EXP(-LN(2)/25)*BQ152+(1-EXP(-LN(2)/25))/(LN(2)/25)*Calculateur!BL153*Calculateur!BN153*VLOOKUP('Données projet'!$B$11,Paramètres!$A$1:$I$89,3,0)*0.475*44/12</f>
        <v>5.261995258481873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30.414316500110942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-1.4210854715202004E-13</v>
      </c>
      <c r="BZ153" s="13">
        <f>BY153*VLOOKUP('Données projet'!$B$12,Paramètres!$A$1:$I$89,3,0)*VLOOKUP('Données projet'!$B$12,Paramètres!$A$1:$I$89,5,0)</f>
        <v>-9.3109520094003535E-14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119.88584888779422</v>
      </c>
      <c r="CE153" s="59">
        <f t="shared" si="148"/>
        <v>162.97244314258774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8.4412130173013011</v>
      </c>
      <c r="CL153" s="21">
        <f>EXP(-LN(2)/25)*CL152+(1-EXP(-LN(2)/25))/(LN(2)/25)*Calculateur!CG153*Calculateur!CI153*VLOOKUP('Données projet'!$B$12,Paramètres!$A$1:$I$89,3,0)*0.475*44/12</f>
        <v>2.0311885315455416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10.472401548846843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261.75887764015459</v>
      </c>
      <c r="CZ153" s="59">
        <f t="shared" si="150"/>
        <v>209.74127356028544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41.836281392157751</v>
      </c>
      <c r="DG153" s="21">
        <f>EXP(-LN(2)/25)*DG152+(1-EXP(-LN(2)/25))/(LN(2)/25)*Calculateur!DB153*Calculateur!DD153*VLOOKUP('Données projet'!$B$13,Paramètres!$A$1:$I$89,3,0)*0.475*44/12</f>
        <v>7.6363863125203713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49.472667704678123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-2.2737367544323206E-13</v>
      </c>
      <c r="DP153" s="17">
        <f>DO153*VLOOKUP('Données projet'!$B$14,Paramètres!$A$1:$I$89,3,0)*VLOOKUP('Données projet'!$B$14,Paramètres!$A$1:$I$89,5,0)</f>
        <v>-1.8089849618263545E-13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215.37468832969444</v>
      </c>
      <c r="DU153" s="59">
        <f t="shared" si="152"/>
        <v>208.60212063136419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27.348184110228374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27.348184110228374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-2.2737367544323206E-13</v>
      </c>
      <c r="EK153" s="17">
        <f>EJ153*VLOOKUP('Données projet'!$B$15,Paramètres!$A$1:$I$89,3,0)*VLOOKUP('Données projet'!$B$15,Paramètres!$A$1:$I$89,5,0)</f>
        <v>-1.8089849618263545E-13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215.37468832969444</v>
      </c>
      <c r="EP153" s="59">
        <f t="shared" si="154"/>
        <v>208.60212063136419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27.348184110228374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27.348184110228374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-2.2737367544323206E-13</v>
      </c>
      <c r="FF153" s="17">
        <f>FE153*VLOOKUP('Données projet'!$B$16,Paramètres!$A$1:$I$89,3,0)*VLOOKUP('Données projet'!$B$16,Paramètres!$A$1:$I$89,5,0)</f>
        <v>-1.8444552551954985E-13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220.90439367987847</v>
      </c>
      <c r="FK153" s="59">
        <f t="shared" si="156"/>
        <v>213.66046131354858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27.884423014350521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27.884423014350521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1">
        <f t="shared" si="140"/>
        <v>32.255334127777445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67">
        <f t="shared" si="110"/>
        <v>562.85021360587893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6.8212102632969618E-13</v>
      </c>
      <c r="O154" s="13">
        <f>N154*VLOOKUP('Données projet'!$B$9,Paramètres!$A$1:$I$89,3,0)*VLOOKUP('Données projet'!$B$9,Paramètres!$A$1:$I$89,5,0)</f>
        <v>3.1923264032229784E-13</v>
      </c>
      <c r="P154" s="13">
        <f t="shared" si="141"/>
        <v>4.1896839804541558E-12</v>
      </c>
      <c r="Q154" s="20">
        <f t="shared" ref="Q154:Q203" si="162">(O154+P154)*0.475*44/12</f>
        <v>7.8530297811856558E-12</v>
      </c>
      <c r="R154" s="59">
        <f t="shared" si="109"/>
        <v>293.33333333334116</v>
      </c>
      <c r="S154" s="59">
        <f ca="1">AVERAGE(OFFSET($R$3,0,0,'Données projet'!$E$9+1,1))-AVERAGE(OFFSET($H$3,0,0,'Données projet'!$E$9+1,1))</f>
        <v>196.72624686715807</v>
      </c>
      <c r="T154" s="59">
        <f t="shared" si="142"/>
        <v>37.315661698104691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76.416416847819306</v>
      </c>
      <c r="AA154" s="21">
        <f>EXP(-LN(2)/25)*AA153+(1-EXP(-LN(2)/25))/(LN(2)/25)*Calculateur!V154*Calculateur!X154*VLOOKUP('Données projet'!$B$9,Paramètres!$A$1:$I$89,3,0)*0.475*44/12</f>
        <v>21.167368932302171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97.583785780121474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-1.0000000000001137</v>
      </c>
      <c r="AJ154" s="13">
        <f>AI154*VLOOKUP('Données projet'!$B$10,Paramètres!$A$1:$I$89,3,0)*VLOOKUP('Données projet'!$B$10,Paramètres!$A$1:$I$89,5,0)</f>
        <v>-0.55900000000006356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325.42940802362739</v>
      </c>
      <c r="AO154" s="59">
        <f t="shared" si="144"/>
        <v>388.87198417542277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38.650762676593864</v>
      </c>
      <c r="AV154" s="21">
        <f>EXP(-LN(2)/25)*AV153+(1-EXP(-LN(2)/25))/(LN(2)/25)*Calculateur!AQ154*Calculateur!AS154*VLOOKUP('Données projet'!$B$10,Paramètres!$A$1:$I$89,3,0)*0.475*44/12</f>
        <v>7.2594087285452762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45.910171405139138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</v>
      </c>
      <c r="BE154" s="13">
        <f>BD154*VLOOKUP('Données projet'!$B$11,Paramètres!$A$1:$I$89,3,0)*VLOOKUP('Données projet'!$B$11,Paramètres!$A$1:$I$89,5,0)</f>
        <v>-0.624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162.87524915738271</v>
      </c>
      <c r="BJ154" s="59">
        <f t="shared" si="146"/>
        <v>249.37880137966658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24.659099563481842</v>
      </c>
      <c r="BQ154" s="21">
        <f>EXP(-LN(2)/25)*BQ153+(1-EXP(-LN(2)/25))/(LN(2)/25)*Calculateur!BL154*Calculateur!BN154*VLOOKUP('Données projet'!$B$11,Paramètres!$A$1:$I$89,3,0)*0.475*44/12</f>
        <v>5.1181057214223822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29.777205284904223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-1.4210854715202004E-13</v>
      </c>
      <c r="BZ154" s="13">
        <f>BY154*VLOOKUP('Données projet'!$B$12,Paramètres!$A$1:$I$89,3,0)*VLOOKUP('Données projet'!$B$12,Paramètres!$A$1:$I$89,5,0)</f>
        <v>-9.3109520094003535E-14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119.88584888779422</v>
      </c>
      <c r="CE154" s="59">
        <f t="shared" si="148"/>
        <v>162.97244314258774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8.2756859786635779</v>
      </c>
      <c r="CL154" s="21">
        <f>EXP(-LN(2)/25)*CL153+(1-EXP(-LN(2)/25))/(LN(2)/25)*Calculateur!CG154*Calculateur!CI154*VLOOKUP('Données projet'!$B$12,Paramètres!$A$1:$I$89,3,0)*0.475*44/12</f>
        <v>1.9756455743348662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10.251331552998444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261.75887764015459</v>
      </c>
      <c r="CZ154" s="59">
        <f t="shared" si="150"/>
        <v>209.74127356028544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41.015897431669529</v>
      </c>
      <c r="DG154" s="21">
        <f>EXP(-LN(2)/25)*DG153+(1-EXP(-LN(2)/25))/(LN(2)/25)*Calculateur!DB154*Calculateur!DD154*VLOOKUP('Données projet'!$B$13,Paramètres!$A$1:$I$89,3,0)*0.475*44/12</f>
        <v>7.4275689272243985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48.443466358893929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-2.2737367544323206E-13</v>
      </c>
      <c r="DP154" s="17">
        <f>DO154*VLOOKUP('Données projet'!$B$14,Paramètres!$A$1:$I$89,3,0)*VLOOKUP('Données projet'!$B$14,Paramètres!$A$1:$I$89,5,0)</f>
        <v>-1.8089849618263545E-13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215.37468832969444</v>
      </c>
      <c r="DU154" s="59">
        <f t="shared" si="152"/>
        <v>208.60212063136419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26.811902900572015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26.811902900572015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-2.2737367544323206E-13</v>
      </c>
      <c r="EK154" s="17">
        <f>EJ154*VLOOKUP('Données projet'!$B$15,Paramètres!$A$1:$I$89,3,0)*VLOOKUP('Données projet'!$B$15,Paramètres!$A$1:$I$89,5,0)</f>
        <v>-1.8089849618263545E-13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215.37468832969444</v>
      </c>
      <c r="EP154" s="59">
        <f t="shared" si="154"/>
        <v>208.60212063136419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26.811902900572015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26.811902900572015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-2.2737367544323206E-13</v>
      </c>
      <c r="FF154" s="17">
        <f>FE154*VLOOKUP('Données projet'!$B$16,Paramètres!$A$1:$I$89,3,0)*VLOOKUP('Données projet'!$B$16,Paramètres!$A$1:$I$89,5,0)</f>
        <v>-1.8444552551954985E-13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220.90439367987847</v>
      </c>
      <c r="FK154" s="59">
        <f t="shared" si="156"/>
        <v>213.66046131354858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27.337626486857761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27.337626486857761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1">
        <f t="shared" si="140"/>
        <v>32.444008665071891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67">
        <f t="shared" si="110"/>
        <v>564.59166175833343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6.8212102632969618E-13</v>
      </c>
      <c r="O155" s="13">
        <f>N155*VLOOKUP('Données projet'!$B$9,Paramètres!$A$1:$I$89,3,0)*VLOOKUP('Données projet'!$B$9,Paramètres!$A$1:$I$89,5,0)</f>
        <v>3.1923264032229784E-13</v>
      </c>
      <c r="P155" s="13">
        <f t="shared" si="141"/>
        <v>4.1896839804541558E-12</v>
      </c>
      <c r="Q155" s="20">
        <f t="shared" si="162"/>
        <v>7.8530297811856558E-12</v>
      </c>
      <c r="R155" s="59">
        <f t="shared" si="109"/>
        <v>293.33333333334116</v>
      </c>
      <c r="S155" s="59">
        <f ca="1">AVERAGE(OFFSET($R$3,0,0,'Données projet'!$E$9+1,1))-AVERAGE(OFFSET($H$3,0,0,'Données projet'!$E$9+1,1))</f>
        <v>196.72624686715807</v>
      </c>
      <c r="T155" s="59">
        <f t="shared" si="142"/>
        <v>37.315661698104691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74.917937522845548</v>
      </c>
      <c r="AA155" s="21">
        <f>EXP(-LN(2)/25)*AA154+(1-EXP(-LN(2)/25))/(LN(2)/25)*Calculateur!V155*Calculateur!X155*VLOOKUP('Données projet'!$B$9,Paramètres!$A$1:$I$89,3,0)*0.475*44/12</f>
        <v>20.588546115704816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95.506483638550364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-1.0000000000001137</v>
      </c>
      <c r="AJ155" s="13">
        <f>AI155*VLOOKUP('Données projet'!$B$10,Paramètres!$A$1:$I$89,3,0)*VLOOKUP('Données projet'!$B$10,Paramètres!$A$1:$I$89,5,0)</f>
        <v>-0.55900000000006356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325.42940802362739</v>
      </c>
      <c r="AO155" s="59">
        <f t="shared" si="144"/>
        <v>388.87198417542277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37.89284479514329</v>
      </c>
      <c r="AV155" s="21">
        <f>EXP(-LN(2)/25)*AV154+(1-EXP(-LN(2)/25))/(LN(2)/25)*Calculateur!AQ155*Calculateur!AS155*VLOOKUP('Données projet'!$B$10,Paramètres!$A$1:$I$89,3,0)*0.475*44/12</f>
        <v>7.0608998151074918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44.95374461025078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</v>
      </c>
      <c r="BE155" s="13">
        <f>BD155*VLOOKUP('Données projet'!$B$11,Paramètres!$A$1:$I$89,3,0)*VLOOKUP('Données projet'!$B$11,Paramètres!$A$1:$I$89,5,0)</f>
        <v>-0.624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162.87524915738271</v>
      </c>
      <c r="BJ155" s="59">
        <f t="shared" si="146"/>
        <v>249.37880137966658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24.175549661607565</v>
      </c>
      <c r="BQ155" s="21">
        <f>EXP(-LN(2)/25)*BQ154+(1-EXP(-LN(2)/25))/(LN(2)/25)*Calculateur!BL155*Calculateur!BN155*VLOOKUP('Données projet'!$B$11,Paramètres!$A$1:$I$89,3,0)*0.475*44/12</f>
        <v>4.9781508513206045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29.153700512928168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-1.4210854715202004E-13</v>
      </c>
      <c r="BZ155" s="13">
        <f>BY155*VLOOKUP('Données projet'!$B$12,Paramètres!$A$1:$I$89,3,0)*VLOOKUP('Données projet'!$B$12,Paramètres!$A$1:$I$89,5,0)</f>
        <v>-9.3109520094003535E-14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119.88584888779422</v>
      </c>
      <c r="CE155" s="59">
        <f t="shared" si="148"/>
        <v>162.97244314258774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8.1134048242920169</v>
      </c>
      <c r="CL155" s="21">
        <f>EXP(-LN(2)/25)*CL154+(1-EXP(-LN(2)/25))/(LN(2)/25)*Calculateur!CG155*Calculateur!CI155*VLOOKUP('Données projet'!$B$12,Paramètres!$A$1:$I$89,3,0)*0.475*44/12</f>
        <v>1.921621442209994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10.035026266502012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261.75887764015459</v>
      </c>
      <c r="CZ155" s="59">
        <f t="shared" si="150"/>
        <v>209.74127356028544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40.211600700261677</v>
      </c>
      <c r="DG155" s="21">
        <f>EXP(-LN(2)/25)*DG154+(1-EXP(-LN(2)/25))/(LN(2)/25)*Calculateur!DB155*Calculateur!DD155*VLOOKUP('Données projet'!$B$13,Paramètres!$A$1:$I$89,3,0)*0.475*44/12</f>
        <v>7.2244616643105735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47.436062364572251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-2.2737367544323206E-13</v>
      </c>
      <c r="DP155" s="17">
        <f>DO155*VLOOKUP('Données projet'!$B$14,Paramètres!$A$1:$I$89,3,0)*VLOOKUP('Données projet'!$B$14,Paramètres!$A$1:$I$89,5,0)</f>
        <v>-1.8089849618263545E-13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215.37468832969444</v>
      </c>
      <c r="DU155" s="59">
        <f t="shared" si="152"/>
        <v>208.60212063136419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26.28613783833778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26.28613783833778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-2.2737367544323206E-13</v>
      </c>
      <c r="EK155" s="17">
        <f>EJ155*VLOOKUP('Données projet'!$B$15,Paramètres!$A$1:$I$89,3,0)*VLOOKUP('Données projet'!$B$15,Paramètres!$A$1:$I$89,5,0)</f>
        <v>-1.8089849618263545E-13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215.37468832969444</v>
      </c>
      <c r="EP155" s="59">
        <f t="shared" si="154"/>
        <v>208.60212063136419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26.28613783833778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26.28613783833778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-2.2737367544323206E-13</v>
      </c>
      <c r="FF155" s="17">
        <f>FE155*VLOOKUP('Données projet'!$B$16,Paramètres!$A$1:$I$89,3,0)*VLOOKUP('Données projet'!$B$16,Paramètres!$A$1:$I$89,5,0)</f>
        <v>-1.8444552551954985E-13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220.90439367987847</v>
      </c>
      <c r="FK155" s="59">
        <f t="shared" si="156"/>
        <v>213.66046131354858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26.801552305756186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26.801552305756186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1">
        <f t="shared" si="140"/>
        <v>32.632538771598028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67">
        <f t="shared" si="110"/>
        <v>566.33285836053312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6.8212102632969618E-13</v>
      </c>
      <c r="O156" s="13">
        <f>N156*VLOOKUP('Données projet'!$B$9,Paramètres!$A$1:$I$89,3,0)*VLOOKUP('Données projet'!$B$9,Paramètres!$A$1:$I$89,5,0)</f>
        <v>3.1923264032229784E-13</v>
      </c>
      <c r="P156" s="13">
        <f t="shared" si="141"/>
        <v>4.1896839804541558E-12</v>
      </c>
      <c r="Q156" s="20">
        <f t="shared" si="162"/>
        <v>7.8530297811856558E-12</v>
      </c>
      <c r="R156" s="59">
        <f t="shared" si="109"/>
        <v>293.33333333334116</v>
      </c>
      <c r="S156" s="59">
        <f ca="1">AVERAGE(OFFSET($R$3,0,0,'Données projet'!$E$9+1,1))-AVERAGE(OFFSET($H$3,0,0,'Données projet'!$E$9+1,1))</f>
        <v>196.72624686715807</v>
      </c>
      <c r="T156" s="59">
        <f t="shared" si="142"/>
        <v>37.315661698104691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73.448842463452394</v>
      </c>
      <c r="AA156" s="21">
        <f>EXP(-LN(2)/25)*AA155+(1-EXP(-LN(2)/25))/(LN(2)/25)*Calculateur!V156*Calculateur!X156*VLOOKUP('Données projet'!$B$9,Paramètres!$A$1:$I$89,3,0)*0.475*44/12</f>
        <v>20.025551239466282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93.474393702918675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-1.0000000000001137</v>
      </c>
      <c r="AJ156" s="13">
        <f>AI156*VLOOKUP('Données projet'!$B$10,Paramètres!$A$1:$I$89,3,0)*VLOOKUP('Données projet'!$B$10,Paramètres!$A$1:$I$89,5,0)</f>
        <v>-0.55900000000006356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325.42940802362739</v>
      </c>
      <c r="AO156" s="59">
        <f t="shared" si="144"/>
        <v>388.87198417542277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37.149789221063699</v>
      </c>
      <c r="AV156" s="21">
        <f>EXP(-LN(2)/25)*AV155+(1-EXP(-LN(2)/25))/(LN(2)/25)*Calculateur!AQ156*Calculateur!AS156*VLOOKUP('Données projet'!$B$10,Paramètres!$A$1:$I$89,3,0)*0.475*44/12</f>
        <v>6.8678191383467944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44.017608359410495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</v>
      </c>
      <c r="BE156" s="13">
        <f>BD156*VLOOKUP('Données projet'!$B$11,Paramètres!$A$1:$I$89,3,0)*VLOOKUP('Données projet'!$B$11,Paramètres!$A$1:$I$89,5,0)</f>
        <v>-0.624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162.87524915738271</v>
      </c>
      <c r="BJ156" s="59">
        <f t="shared" si="146"/>
        <v>249.37880137966658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23.701481878372725</v>
      </c>
      <c r="BQ156" s="21">
        <f>EXP(-LN(2)/25)*BQ155+(1-EXP(-LN(2)/25))/(LN(2)/25)*Calculateur!BL156*Calculateur!BN156*VLOOKUP('Données projet'!$B$11,Paramètres!$A$1:$I$89,3,0)*0.475*44/12</f>
        <v>4.8420230545016674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28.543504932874391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-1.4210854715202004E-13</v>
      </c>
      <c r="BZ156" s="13">
        <f>BY156*VLOOKUP('Données projet'!$B$12,Paramètres!$A$1:$I$89,3,0)*VLOOKUP('Données projet'!$B$12,Paramètres!$A$1:$I$89,5,0)</f>
        <v>-9.3109520094003535E-14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119.88584888779422</v>
      </c>
      <c r="CE156" s="59">
        <f t="shared" si="148"/>
        <v>162.97244314258774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7.9543059043759508</v>
      </c>
      <c r="CL156" s="21">
        <f>EXP(-LN(2)/25)*CL155+(1-EXP(-LN(2)/25))/(LN(2)/25)*Calculateur!CG156*Calculateur!CI156*VLOOKUP('Données projet'!$B$12,Paramètres!$A$1:$I$89,3,0)*0.475*44/12</f>
        <v>1.8690746028190819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9.8233805071950329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261.75887764015459</v>
      </c>
      <c r="CZ156" s="59">
        <f t="shared" si="150"/>
        <v>209.74127356028544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39.423075737184163</v>
      </c>
      <c r="DG156" s="21">
        <f>EXP(-LN(2)/25)*DG155+(1-EXP(-LN(2)/25))/(LN(2)/25)*Calculateur!DB156*Calculateur!DD156*VLOOKUP('Données projet'!$B$13,Paramètres!$A$1:$I$89,3,0)*0.475*44/12</f>
        <v>7.026908380182074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46.449984117366235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-2.2737367544323206E-13</v>
      </c>
      <c r="DP156" s="17">
        <f>DO156*VLOOKUP('Données projet'!$B$14,Paramètres!$A$1:$I$89,3,0)*VLOOKUP('Données projet'!$B$14,Paramètres!$A$1:$I$89,5,0)</f>
        <v>-1.8089849618263545E-13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215.37468832969444</v>
      </c>
      <c r="DU156" s="59">
        <f t="shared" si="152"/>
        <v>208.60212063136419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25.770682708288934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25.770682708288934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-2.2737367544323206E-13</v>
      </c>
      <c r="EK156" s="17">
        <f>EJ156*VLOOKUP('Données projet'!$B$15,Paramètres!$A$1:$I$89,3,0)*VLOOKUP('Données projet'!$B$15,Paramètres!$A$1:$I$89,5,0)</f>
        <v>-1.8089849618263545E-13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215.37468832969444</v>
      </c>
      <c r="EP156" s="59">
        <f t="shared" si="154"/>
        <v>208.60212063136419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25.770682708288934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25.770682708288934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-2.2737367544323206E-13</v>
      </c>
      <c r="FF156" s="17">
        <f>FE156*VLOOKUP('Données projet'!$B$16,Paramètres!$A$1:$I$89,3,0)*VLOOKUP('Données projet'!$B$16,Paramètres!$A$1:$I$89,5,0)</f>
        <v>-1.8444552551954985E-13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220.90439367987847</v>
      </c>
      <c r="FK156" s="59">
        <f t="shared" si="156"/>
        <v>213.66046131354858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26.275990212373049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26.275990212373049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1">
        <f t="shared" si="140"/>
        <v>32.820925500842712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67">
        <f t="shared" si="110"/>
        <v>568.07380524730092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6.8212102632969618E-13</v>
      </c>
      <c r="O157" s="13">
        <f>N157*VLOOKUP('Données projet'!$B$9,Paramètres!$A$1:$I$89,3,0)*VLOOKUP('Données projet'!$B$9,Paramètres!$A$1:$I$89,5,0)</f>
        <v>3.1923264032229784E-13</v>
      </c>
      <c r="P157" s="13">
        <f t="shared" si="141"/>
        <v>4.1896839804541558E-12</v>
      </c>
      <c r="Q157" s="20">
        <f t="shared" si="162"/>
        <v>7.8530297811856558E-12</v>
      </c>
      <c r="R157" s="59">
        <f t="shared" si="109"/>
        <v>293.33333333334116</v>
      </c>
      <c r="S157" s="59">
        <f ca="1">AVERAGE(OFFSET($R$3,0,0,'Données projet'!$E$9+1,1))-AVERAGE(OFFSET($H$3,0,0,'Données projet'!$E$9+1,1))</f>
        <v>196.72624686715807</v>
      </c>
      <c r="T157" s="59">
        <f t="shared" si="142"/>
        <v>37.315661698104691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72.00855546211443</v>
      </c>
      <c r="AA157" s="21">
        <f>EXP(-LN(2)/25)*AA156+(1-EXP(-LN(2)/25))/(LN(2)/25)*Calculateur!V157*Calculateur!X157*VLOOKUP('Données projet'!$B$9,Paramètres!$A$1:$I$89,3,0)*0.475*44/12</f>
        <v>19.477951487725104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91.486506949839537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-1.0000000000001137</v>
      </c>
      <c r="AJ157" s="13">
        <f>AI157*VLOOKUP('Données projet'!$B$10,Paramètres!$A$1:$I$89,3,0)*VLOOKUP('Données projet'!$B$10,Paramètres!$A$1:$I$89,5,0)</f>
        <v>-0.55900000000006356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325.42940802362739</v>
      </c>
      <c r="AO157" s="59">
        <f t="shared" si="144"/>
        <v>388.87198417542277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36.421304513572665</v>
      </c>
      <c r="AV157" s="21">
        <f>EXP(-LN(2)/25)*AV156+(1-EXP(-LN(2)/25))/(LN(2)/25)*Calculateur!AQ157*Calculateur!AS157*VLOOKUP('Données projet'!$B$10,Paramètres!$A$1:$I$89,3,0)*0.475*44/12</f>
        <v>6.6800182628457891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43.101322776418456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</v>
      </c>
      <c r="BE157" s="13">
        <f>BD157*VLOOKUP('Données projet'!$B$11,Paramètres!$A$1:$I$89,3,0)*VLOOKUP('Données projet'!$B$11,Paramètres!$A$1:$I$89,5,0)</f>
        <v>-0.624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162.87524915738271</v>
      </c>
      <c r="BJ157" s="59">
        <f t="shared" si="146"/>
        <v>249.37880137966658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23.236710275214325</v>
      </c>
      <c r="BQ157" s="21">
        <f>EXP(-LN(2)/25)*BQ156+(1-EXP(-LN(2)/25))/(LN(2)/25)*Calculateur!BL157*Calculateur!BN157*VLOOKUP('Données projet'!$B$11,Paramètres!$A$1:$I$89,3,0)*0.475*44/12</f>
        <v>4.709617679445393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27.946327954659719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-1.4210854715202004E-13</v>
      </c>
      <c r="BZ157" s="13">
        <f>BY157*VLOOKUP('Données projet'!$B$12,Paramètres!$A$1:$I$89,3,0)*VLOOKUP('Données projet'!$B$12,Paramètres!$A$1:$I$89,5,0)</f>
        <v>-9.3109520094003535E-14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119.88584888779422</v>
      </c>
      <c r="CE157" s="59">
        <f t="shared" si="148"/>
        <v>162.97244314258774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7.7983268172386797</v>
      </c>
      <c r="CL157" s="21">
        <f>EXP(-LN(2)/25)*CL156+(1-EXP(-LN(2)/25))/(LN(2)/25)*Calculateur!CG157*Calculateur!CI157*VLOOKUP('Données projet'!$B$12,Paramètres!$A$1:$I$89,3,0)*0.475*44/12</f>
        <v>1.8179646595146326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9.6162914767533128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261.75887764015459</v>
      </c>
      <c r="CZ157" s="59">
        <f t="shared" si="150"/>
        <v>209.74127356028544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38.650013267679867</v>
      </c>
      <c r="DG157" s="21">
        <f>EXP(-LN(2)/25)*DG156+(1-EXP(-LN(2)/25))/(LN(2)/25)*Calculateur!DB157*Calculateur!DD157*VLOOKUP('Données projet'!$B$13,Paramètres!$A$1:$I$89,3,0)*0.475*44/12</f>
        <v>6.8347572009969433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45.484770468676814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-2.2737367544323206E-13</v>
      </c>
      <c r="DP157" s="17">
        <f>DO157*VLOOKUP('Données projet'!$B$14,Paramètres!$A$1:$I$89,3,0)*VLOOKUP('Données projet'!$B$14,Paramètres!$A$1:$I$89,5,0)</f>
        <v>-1.8089849618263545E-13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215.37468832969444</v>
      </c>
      <c r="DU157" s="59">
        <f t="shared" si="152"/>
        <v>208.60212063136419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25.26533533894376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25.26533533894376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-2.2737367544323206E-13</v>
      </c>
      <c r="EK157" s="17">
        <f>EJ157*VLOOKUP('Données projet'!$B$15,Paramètres!$A$1:$I$89,3,0)*VLOOKUP('Données projet'!$B$15,Paramètres!$A$1:$I$89,5,0)</f>
        <v>-1.8089849618263545E-13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215.37468832969444</v>
      </c>
      <c r="EP157" s="59">
        <f t="shared" si="154"/>
        <v>208.60212063136419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25.26533533894376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25.26533533894376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-2.2737367544323206E-13</v>
      </c>
      <c r="FF157" s="17">
        <f>FE157*VLOOKUP('Données projet'!$B$16,Paramètres!$A$1:$I$89,3,0)*VLOOKUP('Données projet'!$B$16,Paramètres!$A$1:$I$89,5,0)</f>
        <v>-1.8444552551954985E-13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220.90439367987847</v>
      </c>
      <c r="FK157" s="59">
        <f t="shared" si="156"/>
        <v>213.66046131354858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25.760734071079931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25.760734071079931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1">
        <f t="shared" si="140"/>
        <v>33.009169891820072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67">
        <f t="shared" si="110"/>
        <v>569.8145042282531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6.8212102632969618E-13</v>
      </c>
      <c r="O158" s="13">
        <f>N158*VLOOKUP('Données projet'!$B$9,Paramètres!$A$1:$I$89,3,0)*VLOOKUP('Données projet'!$B$9,Paramètres!$A$1:$I$89,5,0)</f>
        <v>3.1923264032229784E-13</v>
      </c>
      <c r="P158" s="13">
        <f t="shared" si="141"/>
        <v>4.1896839804541558E-12</v>
      </c>
      <c r="Q158" s="20">
        <f t="shared" si="162"/>
        <v>7.8530297811856558E-12</v>
      </c>
      <c r="R158" s="59">
        <f t="shared" si="109"/>
        <v>293.33333333334116</v>
      </c>
      <c r="S158" s="59">
        <f ca="1">AVERAGE(OFFSET($R$3,0,0,'Données projet'!$E$9+1,1))-AVERAGE(OFFSET($H$3,0,0,'Données projet'!$E$9+1,1))</f>
        <v>196.72624686715807</v>
      </c>
      <c r="T158" s="59">
        <f t="shared" si="142"/>
        <v>37.315661698104691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70.596511610384368</v>
      </c>
      <c r="AA158" s="21">
        <f>EXP(-LN(2)/25)*AA157+(1-EXP(-LN(2)/25))/(LN(2)/25)*Calculateur!V158*Calculateur!X158*VLOOKUP('Données projet'!$B$9,Paramètres!$A$1:$I$89,3,0)*0.475*44/12</f>
        <v>18.945325879992311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89.541837490376679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-1.0000000000001137</v>
      </c>
      <c r="AJ158" s="13">
        <f>AI158*VLOOKUP('Données projet'!$B$10,Paramètres!$A$1:$I$89,3,0)*VLOOKUP('Données projet'!$B$10,Paramètres!$A$1:$I$89,5,0)</f>
        <v>-0.55900000000006356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325.42940802362739</v>
      </c>
      <c r="AO158" s="59">
        <f t="shared" si="144"/>
        <v>388.87198417542277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35.70710494686373</v>
      </c>
      <c r="AV158" s="21">
        <f>EXP(-LN(2)/25)*AV157+(1-EXP(-LN(2)/25))/(LN(2)/25)*Calculateur!AQ158*Calculateur!AS158*VLOOKUP('Données projet'!$B$10,Paramètres!$A$1:$I$89,3,0)*0.475*44/12</f>
        <v>6.4973528121613784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42.204457759025111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</v>
      </c>
      <c r="BE158" s="13">
        <f>BD158*VLOOKUP('Données projet'!$B$11,Paramètres!$A$1:$I$89,3,0)*VLOOKUP('Données projet'!$B$11,Paramètres!$A$1:$I$89,5,0)</f>
        <v>-0.624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162.87524915738271</v>
      </c>
      <c r="BJ158" s="59">
        <f t="shared" si="146"/>
        <v>249.37880137966658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22.781052559711174</v>
      </c>
      <c r="BQ158" s="21">
        <f>EXP(-LN(2)/25)*BQ157+(1-EXP(-LN(2)/25))/(LN(2)/25)*Calculateur!BL158*Calculateur!BN158*VLOOKUP('Données projet'!$B$11,Paramètres!$A$1:$I$89,3,0)*0.475*44/12</f>
        <v>4.5808329363329285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27.361885496044103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-1.4210854715202004E-13</v>
      </c>
      <c r="BZ158" s="13">
        <f>BY158*VLOOKUP('Données projet'!$B$12,Paramètres!$A$1:$I$89,3,0)*VLOOKUP('Données projet'!$B$12,Paramètres!$A$1:$I$89,5,0)</f>
        <v>-9.3109520094003535E-14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119.88584888779422</v>
      </c>
      <c r="CE158" s="59">
        <f t="shared" si="148"/>
        <v>162.97244314258774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7.645406384862321</v>
      </c>
      <c r="CL158" s="21">
        <f>EXP(-LN(2)/25)*CL157+(1-EXP(-LN(2)/25))/(LN(2)/25)*Calculateur!CG158*Calculateur!CI158*VLOOKUP('Données projet'!$B$12,Paramètres!$A$1:$I$89,3,0)*0.475*44/12</f>
        <v>1.7682523202975986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9.4136587051599196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261.75887764015459</v>
      </c>
      <c r="CZ158" s="59">
        <f t="shared" si="150"/>
        <v>209.74127356028544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37.892110081681004</v>
      </c>
      <c r="DG158" s="21">
        <f>EXP(-LN(2)/25)*DG157+(1-EXP(-LN(2)/25))/(LN(2)/25)*Calculateur!DB158*Calculateur!DD158*VLOOKUP('Données projet'!$B$13,Paramètres!$A$1:$I$89,3,0)*0.475*44/12</f>
        <v>6.6478604059114215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44.539970487592427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-2.2737367544323206E-13</v>
      </c>
      <c r="DP158" s="17">
        <f>DO158*VLOOKUP('Données projet'!$B$14,Paramètres!$A$1:$I$89,3,0)*VLOOKUP('Données projet'!$B$14,Paramètres!$A$1:$I$89,5,0)</f>
        <v>-1.8089849618263545E-13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215.37468832969444</v>
      </c>
      <c r="DU158" s="59">
        <f t="shared" si="152"/>
        <v>208.60212063136419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24.769897523279987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24.769897523279987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-2.2737367544323206E-13</v>
      </c>
      <c r="EK158" s="17">
        <f>EJ158*VLOOKUP('Données projet'!$B$15,Paramètres!$A$1:$I$89,3,0)*VLOOKUP('Données projet'!$B$15,Paramètres!$A$1:$I$89,5,0)</f>
        <v>-1.8089849618263545E-13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215.37468832969444</v>
      </c>
      <c r="EP158" s="59">
        <f t="shared" si="154"/>
        <v>208.60212063136419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24.769897523279987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24.769897523279987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-2.2737367544323206E-13</v>
      </c>
      <c r="FF158" s="17">
        <f>FE158*VLOOKUP('Données projet'!$B$16,Paramètres!$A$1:$I$89,3,0)*VLOOKUP('Données projet'!$B$16,Paramètres!$A$1:$I$89,5,0)</f>
        <v>-1.8444552551954985E-13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220.90439367987847</v>
      </c>
      <c r="FK158" s="59">
        <f t="shared" si="156"/>
        <v>213.66046131354858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25.255581788442356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25.255581788442356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1">
        <f t="shared" si="140"/>
        <v>33.19727296936243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67">
        <f t="shared" si="110"/>
        <v>571.55495708830608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6.8212102632969618E-13</v>
      </c>
      <c r="O159" s="13">
        <f>N159*VLOOKUP('Données projet'!$B$9,Paramètres!$A$1:$I$89,3,0)*VLOOKUP('Données projet'!$B$9,Paramètres!$A$1:$I$89,5,0)</f>
        <v>3.1923264032229784E-13</v>
      </c>
      <c r="P159" s="13">
        <f t="shared" si="141"/>
        <v>4.1896839804541558E-12</v>
      </c>
      <c r="Q159" s="20">
        <f t="shared" si="162"/>
        <v>7.8530297811856558E-12</v>
      </c>
      <c r="R159" s="59">
        <f t="shared" si="109"/>
        <v>293.33333333334116</v>
      </c>
      <c r="S159" s="59">
        <f ca="1">AVERAGE(OFFSET($R$3,0,0,'Données projet'!$E$9+1,1))-AVERAGE(OFFSET($H$3,0,0,'Données projet'!$E$9+1,1))</f>
        <v>196.72624686715807</v>
      </c>
      <c r="T159" s="59">
        <f t="shared" si="142"/>
        <v>37.315661698104691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69.212157077325031</v>
      </c>
      <c r="AA159" s="21">
        <f>EXP(-LN(2)/25)*AA158+(1-EXP(-LN(2)/25))/(LN(2)/25)*Calculateur!V159*Calculateur!X159*VLOOKUP('Données projet'!$B$9,Paramètres!$A$1:$I$89,3,0)*0.475*44/12</f>
        <v>18.427264947512533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87.639422024837558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-1.0000000000001137</v>
      </c>
      <c r="AJ159" s="13">
        <f>AI159*VLOOKUP('Données projet'!$B$10,Paramètres!$A$1:$I$89,3,0)*VLOOKUP('Données projet'!$B$10,Paramètres!$A$1:$I$89,5,0)</f>
        <v>-0.55900000000006356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325.42940802362739</v>
      </c>
      <c r="AO159" s="59">
        <f t="shared" si="144"/>
        <v>388.87198417542277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35.006910398039231</v>
      </c>
      <c r="AV159" s="21">
        <f>EXP(-LN(2)/25)*AV158+(1-EXP(-LN(2)/25))/(LN(2)/25)*Calculateur!AQ159*Calculateur!AS159*VLOOKUP('Données projet'!$B$10,Paramètres!$A$1:$I$89,3,0)*0.475*44/12</f>
        <v>6.3196823578318906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41.326592755871118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</v>
      </c>
      <c r="BE159" s="13">
        <f>BD159*VLOOKUP('Données projet'!$B$11,Paramètres!$A$1:$I$89,3,0)*VLOOKUP('Données projet'!$B$11,Paramètres!$A$1:$I$89,5,0)</f>
        <v>-0.624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162.87524915738271</v>
      </c>
      <c r="BJ159" s="59">
        <f t="shared" si="146"/>
        <v>249.37880137966658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22.334330014085275</v>
      </c>
      <c r="BQ159" s="21">
        <f>EXP(-LN(2)/25)*BQ158+(1-EXP(-LN(2)/25))/(LN(2)/25)*Calculateur!BL159*Calculateur!BN159*VLOOKUP('Données projet'!$B$11,Paramètres!$A$1:$I$89,3,0)*0.475*44/12</f>
        <v>4.4555698187933706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26.789899832878646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-1.4210854715202004E-13</v>
      </c>
      <c r="BZ159" s="13">
        <f>BY159*VLOOKUP('Données projet'!$B$12,Paramètres!$A$1:$I$89,3,0)*VLOOKUP('Données projet'!$B$12,Paramètres!$A$1:$I$89,5,0)</f>
        <v>-9.3109520094003535E-14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119.88584888779422</v>
      </c>
      <c r="CE159" s="59">
        <f t="shared" si="148"/>
        <v>162.97244314258774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7.4954846288926094</v>
      </c>
      <c r="CL159" s="21">
        <f>EXP(-LN(2)/25)*CL158+(1-EXP(-LN(2)/25))/(LN(2)/25)*Calculateur!CG159*Calculateur!CI159*VLOOKUP('Données projet'!$B$12,Paramètres!$A$1:$I$89,3,0)*0.475*44/12</f>
        <v>1.7198993676107126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9.2153839965033217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261.75887764015459</v>
      </c>
      <c r="CZ159" s="59">
        <f t="shared" si="150"/>
        <v>209.74127356028544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37.149068914884275</v>
      </c>
      <c r="DG159" s="21">
        <f>EXP(-LN(2)/25)*DG158+(1-EXP(-LN(2)/25))/(LN(2)/25)*Calculateur!DB159*Calculateur!DD159*VLOOKUP('Données projet'!$B$13,Paramètres!$A$1:$I$89,3,0)*0.475*44/12</f>
        <v>6.466074313515989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43.615143228400264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-2.2737367544323206E-13</v>
      </c>
      <c r="DP159" s="17">
        <f>DO159*VLOOKUP('Données projet'!$B$14,Paramètres!$A$1:$I$89,3,0)*VLOOKUP('Données projet'!$B$14,Paramètres!$A$1:$I$89,5,0)</f>
        <v>-1.8089849618263545E-13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215.37468832969444</v>
      </c>
      <c r="DU159" s="59">
        <f t="shared" si="152"/>
        <v>208.60212063136419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24.284174940994149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24.284174940994149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-2.2737367544323206E-13</v>
      </c>
      <c r="EK159" s="17">
        <f>EJ159*VLOOKUP('Données projet'!$B$15,Paramètres!$A$1:$I$89,3,0)*VLOOKUP('Données projet'!$B$15,Paramètres!$A$1:$I$89,5,0)</f>
        <v>-1.8089849618263545E-13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215.37468832969444</v>
      </c>
      <c r="EP159" s="59">
        <f t="shared" si="154"/>
        <v>208.60212063136419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24.284174940994149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24.284174940994149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-2.2737367544323206E-13</v>
      </c>
      <c r="FF159" s="17">
        <f>FE159*VLOOKUP('Données projet'!$B$16,Paramètres!$A$1:$I$89,3,0)*VLOOKUP('Données projet'!$B$16,Paramètres!$A$1:$I$89,5,0)</f>
        <v>-1.8444552551954985E-13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220.90439367987847</v>
      </c>
      <c r="FK159" s="59">
        <f t="shared" si="156"/>
        <v>213.66046131354858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24.760335233954837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24.760335233954837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1">
        <f t="shared" si="140"/>
        <v>33.385235744403289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67">
        <f t="shared" si="110"/>
        <v>573.29516558816886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6.8212102632969618E-13</v>
      </c>
      <c r="O160" s="13">
        <f>N160*VLOOKUP('Données projet'!$B$9,Paramètres!$A$1:$I$89,3,0)*VLOOKUP('Données projet'!$B$9,Paramètres!$A$1:$I$89,5,0)</f>
        <v>3.1923264032229784E-13</v>
      </c>
      <c r="P160" s="13">
        <f t="shared" si="141"/>
        <v>4.1896839804541558E-12</v>
      </c>
      <c r="Q160" s="20">
        <f t="shared" si="162"/>
        <v>7.8530297811856558E-12</v>
      </c>
      <c r="R160" s="59">
        <f t="shared" si="109"/>
        <v>293.33333333334116</v>
      </c>
      <c r="S160" s="59">
        <f ca="1">AVERAGE(OFFSET($R$3,0,0,'Données projet'!$E$9+1,1))-AVERAGE(OFFSET($H$3,0,0,'Données projet'!$E$9+1,1))</f>
        <v>196.72624686715807</v>
      </c>
      <c r="T160" s="59">
        <f t="shared" si="142"/>
        <v>37.315661698104691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67.854948892286089</v>
      </c>
      <c r="AA160" s="21">
        <f>EXP(-LN(2)/25)*AA159+(1-EXP(-LN(2)/25))/(LN(2)/25)*Calculateur!V160*Calculateur!X160*VLOOKUP('Données projet'!$B$9,Paramètres!$A$1:$I$89,3,0)*0.475*44/12</f>
        <v>17.923370418475056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85.778319310761148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-1.0000000000001137</v>
      </c>
      <c r="AJ160" s="13">
        <f>AI160*VLOOKUP('Données projet'!$B$10,Paramètres!$A$1:$I$89,3,0)*VLOOKUP('Données projet'!$B$10,Paramètres!$A$1:$I$89,5,0)</f>
        <v>-0.55900000000006356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325.42940802362739</v>
      </c>
      <c r="AO160" s="59">
        <f t="shared" si="144"/>
        <v>388.87198417542277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34.320446237240681</v>
      </c>
      <c r="AV160" s="21">
        <f>EXP(-LN(2)/25)*AV159+(1-EXP(-LN(2)/25))/(LN(2)/25)*Calculateur!AQ160*Calculateur!AS160*VLOOKUP('Données projet'!$B$10,Paramètres!$A$1:$I$89,3,0)*0.475*44/12</f>
        <v>6.1468703114193266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40.467316548660008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</v>
      </c>
      <c r="BE160" s="13">
        <f>BD160*VLOOKUP('Données projet'!$B$11,Paramètres!$A$1:$I$89,3,0)*VLOOKUP('Données projet'!$B$11,Paramètres!$A$1:$I$89,5,0)</f>
        <v>-0.624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162.87524915738271</v>
      </c>
      <c r="BJ160" s="59">
        <f t="shared" si="146"/>
        <v>249.37880137966658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21.89636742510525</v>
      </c>
      <c r="BQ160" s="21">
        <f>EXP(-LN(2)/25)*BQ159+(1-EXP(-LN(2)/25))/(LN(2)/25)*Calculateur!BL160*Calculateur!BN160*VLOOKUP('Données projet'!$B$11,Paramètres!$A$1:$I$89,3,0)*0.475*44/12</f>
        <v>4.3337320277902327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26.230099452895484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-1.4210854715202004E-13</v>
      </c>
      <c r="BZ160" s="13">
        <f>BY160*VLOOKUP('Données projet'!$B$12,Paramètres!$A$1:$I$89,3,0)*VLOOKUP('Données projet'!$B$12,Paramètres!$A$1:$I$89,5,0)</f>
        <v>-9.3109520094003535E-14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119.88584888779422</v>
      </c>
      <c r="CE160" s="59">
        <f t="shared" si="148"/>
        <v>162.97244314258774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7.3485027471142219</v>
      </c>
      <c r="CL160" s="21">
        <f>EXP(-LN(2)/25)*CL159+(1-EXP(-LN(2)/25))/(LN(2)/25)*Calculateur!CG160*Calculateur!CI160*VLOOKUP('Données projet'!$B$12,Paramètres!$A$1:$I$89,3,0)*0.475*44/12</f>
        <v>1.6728686289578207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9.0213713760720431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261.75887764015459</v>
      </c>
      <c r="CZ160" s="59">
        <f t="shared" si="150"/>
        <v>209.74127356028544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36.420598332158072</v>
      </c>
      <c r="DG160" s="21">
        <f>EXP(-LN(2)/25)*DG159+(1-EXP(-LN(2)/25))/(LN(2)/25)*Calculateur!DB160*Calculateur!DD160*VLOOKUP('Données projet'!$B$13,Paramètres!$A$1:$I$89,3,0)*0.475*44/12</f>
        <v>6.2892591713768242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42.709857503534899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-2.2737367544323206E-13</v>
      </c>
      <c r="DP160" s="17">
        <f>DO160*VLOOKUP('Données projet'!$B$14,Paramètres!$A$1:$I$89,3,0)*VLOOKUP('Données projet'!$B$14,Paramètres!$A$1:$I$89,5,0)</f>
        <v>-1.8089849618263545E-13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215.37468832969444</v>
      </c>
      <c r="DU160" s="59">
        <f t="shared" si="152"/>
        <v>208.60212063136419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23.807977082285415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23.807977082285415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-2.2737367544323206E-13</v>
      </c>
      <c r="EK160" s="17">
        <f>EJ160*VLOOKUP('Données projet'!$B$15,Paramètres!$A$1:$I$89,3,0)*VLOOKUP('Données projet'!$B$15,Paramètres!$A$1:$I$89,5,0)</f>
        <v>-1.8089849618263545E-13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215.37468832969444</v>
      </c>
      <c r="EP160" s="59">
        <f t="shared" si="154"/>
        <v>208.60212063136419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23.807977082285415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23.807977082285415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-2.2737367544323206E-13</v>
      </c>
      <c r="FF160" s="17">
        <f>FE160*VLOOKUP('Données projet'!$B$16,Paramètres!$A$1:$I$89,3,0)*VLOOKUP('Données projet'!$B$16,Paramètres!$A$1:$I$89,5,0)</f>
        <v>-1.8444552551954985E-13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220.90439367987847</v>
      </c>
      <c r="FK160" s="59">
        <f t="shared" si="156"/>
        <v>213.66046131354858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24.274800162330244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24.274800162330244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1">
        <f t="shared" si="140"/>
        <v>33.573059214253476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67">
        <f t="shared" si="110"/>
        <v>575.03513146482464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6.8212102632969618E-13</v>
      </c>
      <c r="O161" s="13">
        <f>N161*VLOOKUP('Données projet'!$B$9,Paramètres!$A$1:$I$89,3,0)*VLOOKUP('Données projet'!$B$9,Paramètres!$A$1:$I$89,5,0)</f>
        <v>3.1923264032229784E-13</v>
      </c>
      <c r="P161" s="13">
        <f t="shared" si="141"/>
        <v>4.1896839804541558E-12</v>
      </c>
      <c r="Q161" s="20">
        <f t="shared" si="162"/>
        <v>7.8530297811856558E-12</v>
      </c>
      <c r="R161" s="59">
        <f t="shared" si="109"/>
        <v>293.33333333334116</v>
      </c>
      <c r="S161" s="59">
        <f ca="1">AVERAGE(OFFSET($R$3,0,0,'Données projet'!$E$9+1,1))-AVERAGE(OFFSET($H$3,0,0,'Données projet'!$E$9+1,1))</f>
        <v>196.72624686715807</v>
      </c>
      <c r="T161" s="59">
        <f t="shared" si="142"/>
        <v>37.315661698104691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66.52435473194052</v>
      </c>
      <c r="AA161" s="21">
        <f>EXP(-LN(2)/25)*AA160+(1-EXP(-LN(2)/25))/(LN(2)/25)*Calculateur!V161*Calculateur!X161*VLOOKUP('Données projet'!$B$9,Paramètres!$A$1:$I$89,3,0)*0.475*44/12</f>
        <v>17.433254911832769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83.957609643773282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-1.0000000000001137</v>
      </c>
      <c r="AJ161" s="13">
        <f>AI161*VLOOKUP('Données projet'!$B$10,Paramètres!$A$1:$I$89,3,0)*VLOOKUP('Données projet'!$B$10,Paramètres!$A$1:$I$89,5,0)</f>
        <v>-0.55900000000006356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325.42940802362739</v>
      </c>
      <c r="AO161" s="59">
        <f t="shared" si="144"/>
        <v>388.87198417542277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33.647443219933592</v>
      </c>
      <c r="AV161" s="21">
        <f>EXP(-LN(2)/25)*AV160+(1-EXP(-LN(2)/25))/(LN(2)/25)*Calculateur!AQ161*Calculateur!AS161*VLOOKUP('Données projet'!$B$10,Paramètres!$A$1:$I$89,3,0)*0.475*44/12</f>
        <v>5.978783819503704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39.626227039437296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</v>
      </c>
      <c r="BE161" s="13">
        <f>BD161*VLOOKUP('Données projet'!$B$11,Paramètres!$A$1:$I$89,3,0)*VLOOKUP('Données projet'!$B$11,Paramètres!$A$1:$I$89,5,0)</f>
        <v>-0.624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162.87524915738271</v>
      </c>
      <c r="BJ161" s="59">
        <f t="shared" si="146"/>
        <v>249.37880137966658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21.466993015364324</v>
      </c>
      <c r="BQ161" s="21">
        <f>EXP(-LN(2)/25)*BQ160+(1-EXP(-LN(2)/25))/(LN(2)/25)*Calculateur!BL161*Calculateur!BN161*VLOOKUP('Données projet'!$B$11,Paramètres!$A$1:$I$89,3,0)*0.475*44/12</f>
        <v>4.2152258975892467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25.682218912953569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-1.4210854715202004E-13</v>
      </c>
      <c r="BZ161" s="13">
        <f>BY161*VLOOKUP('Données projet'!$B$12,Paramètres!$A$1:$I$89,3,0)*VLOOKUP('Données projet'!$B$12,Paramètres!$A$1:$I$89,5,0)</f>
        <v>-9.3109520094003535E-14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119.88584888779422</v>
      </c>
      <c r="CE161" s="59">
        <f t="shared" si="148"/>
        <v>162.97244314258774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7.2044030903874132</v>
      </c>
      <c r="CL161" s="21">
        <f>EXP(-LN(2)/25)*CL160+(1-EXP(-LN(2)/25))/(LN(2)/25)*Calculateur!CG161*Calculateur!CI161*VLOOKUP('Données projet'!$B$12,Paramètres!$A$1:$I$89,3,0)*0.475*44/12</f>
        <v>1.6271239483266313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8.8315270387140448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261.75887764015459</v>
      </c>
      <c r="CZ161" s="59">
        <f t="shared" si="150"/>
        <v>209.74127356028544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35.706412613235948</v>
      </c>
      <c r="DG161" s="21">
        <f>EXP(-LN(2)/25)*DG160+(1-EXP(-LN(2)/25))/(LN(2)/25)*Calculateur!DB161*Calculateur!DD161*VLOOKUP('Données projet'!$B$13,Paramètres!$A$1:$I$89,3,0)*0.475*44/12</f>
        <v>6.1172790485977595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41.823691661833706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-2.2737367544323206E-13</v>
      </c>
      <c r="DP161" s="17">
        <f>DO161*VLOOKUP('Données projet'!$B$14,Paramètres!$A$1:$I$89,3,0)*VLOOKUP('Données projet'!$B$14,Paramètres!$A$1:$I$89,5,0)</f>
        <v>-1.8089849618263545E-13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215.37468832969444</v>
      </c>
      <c r="DU161" s="59">
        <f t="shared" si="152"/>
        <v>208.60212063136419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23.341117173133945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23.341117173133945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-2.2737367544323206E-13</v>
      </c>
      <c r="EK161" s="17">
        <f>EJ161*VLOOKUP('Données projet'!$B$15,Paramètres!$A$1:$I$89,3,0)*VLOOKUP('Données projet'!$B$15,Paramètres!$A$1:$I$89,5,0)</f>
        <v>-1.8089849618263545E-13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215.37468832969444</v>
      </c>
      <c r="EP161" s="59">
        <f t="shared" si="154"/>
        <v>208.60212063136419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23.341117173133945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23.341117173133945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-2.2737367544323206E-13</v>
      </c>
      <c r="FF161" s="17">
        <f>FE161*VLOOKUP('Données projet'!$B$16,Paramètres!$A$1:$I$89,3,0)*VLOOKUP('Données projet'!$B$16,Paramètres!$A$1:$I$89,5,0)</f>
        <v>-1.8444552551954985E-13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220.90439367987847</v>
      </c>
      <c r="FK161" s="59">
        <f t="shared" si="156"/>
        <v>213.66046131354858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23.798786137313058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23.798786137313058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1">
        <f t="shared" si="140"/>
        <v>33.76074436286941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67">
        <f t="shared" si="110"/>
        <v>576.77485643199748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6.8212102632969618E-13</v>
      </c>
      <c r="O162" s="13">
        <f>N162*VLOOKUP('Données projet'!$B$9,Paramètres!$A$1:$I$89,3,0)*VLOOKUP('Données projet'!$B$9,Paramètres!$A$1:$I$89,5,0)</f>
        <v>3.1923264032229784E-13</v>
      </c>
      <c r="P162" s="13">
        <f t="shared" si="141"/>
        <v>4.1896839804541558E-12</v>
      </c>
      <c r="Q162" s="20">
        <f t="shared" si="162"/>
        <v>7.8530297811856558E-12</v>
      </c>
      <c r="R162" s="59">
        <f t="shared" si="109"/>
        <v>293.33333333334116</v>
      </c>
      <c r="S162" s="59">
        <f ca="1">AVERAGE(OFFSET($R$3,0,0,'Données projet'!$E$9+1,1))-AVERAGE(OFFSET($H$3,0,0,'Données projet'!$E$9+1,1))</f>
        <v>196.72624686715807</v>
      </c>
      <c r="T162" s="59">
        <f t="shared" si="142"/>
        <v>37.315661698104691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65.219852711497026</v>
      </c>
      <c r="AA162" s="21">
        <f>EXP(-LN(2)/25)*AA161+(1-EXP(-LN(2)/25))/(LN(2)/25)*Calculateur!V162*Calculateur!X162*VLOOKUP('Données projet'!$B$9,Paramètres!$A$1:$I$89,3,0)*0.475*44/12</f>
        <v>16.956541639493672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82.176394350990705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-1.0000000000001137</v>
      </c>
      <c r="AJ162" s="13">
        <f>AI162*VLOOKUP('Données projet'!$B$10,Paramètres!$A$1:$I$89,3,0)*VLOOKUP('Données projet'!$B$10,Paramètres!$A$1:$I$89,5,0)</f>
        <v>-0.55900000000006356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325.42940802362739</v>
      </c>
      <c r="AO162" s="59">
        <f t="shared" si="144"/>
        <v>388.87198417542277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32.987637381304587</v>
      </c>
      <c r="AV162" s="21">
        <f>EXP(-LN(2)/25)*AV161+(1-EXP(-LN(2)/25))/(LN(2)/25)*Calculateur!AQ162*Calculateur!AS162*VLOOKUP('Données projet'!$B$10,Paramètres!$A$1:$I$89,3,0)*0.475*44/12</f>
        <v>5.8152936615487985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38.802931042853388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</v>
      </c>
      <c r="BE162" s="13">
        <f>BD162*VLOOKUP('Données projet'!$B$11,Paramètres!$A$1:$I$89,3,0)*VLOOKUP('Données projet'!$B$11,Paramètres!$A$1:$I$89,5,0)</f>
        <v>-0.624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162.87524915738271</v>
      </c>
      <c r="BJ162" s="59">
        <f t="shared" si="146"/>
        <v>249.37880137966658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21.046038375905887</v>
      </c>
      <c r="BQ162" s="21">
        <f>EXP(-LN(2)/25)*BQ161+(1-EXP(-LN(2)/25))/(LN(2)/25)*Calculateur!BL162*Calculateur!BN162*VLOOKUP('Données projet'!$B$11,Paramètres!$A$1:$I$89,3,0)*0.475*44/12</f>
        <v>4.0999603237505724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25.14599869965646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-1.4210854715202004E-13</v>
      </c>
      <c r="BZ162" s="13">
        <f>BY162*VLOOKUP('Données projet'!$B$12,Paramètres!$A$1:$I$89,3,0)*VLOOKUP('Données projet'!$B$12,Paramètres!$A$1:$I$89,5,0)</f>
        <v>-9.3109520094003535E-14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119.88584888779422</v>
      </c>
      <c r="CE162" s="59">
        <f t="shared" si="148"/>
        <v>162.97244314258774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7.0631291400369047</v>
      </c>
      <c r="CL162" s="21">
        <f>EXP(-LN(2)/25)*CL161+(1-EXP(-LN(2)/25))/(LN(2)/25)*Calculateur!CG162*Calculateur!CI162*VLOOKUP('Données projet'!$B$12,Paramètres!$A$1:$I$89,3,0)*0.475*44/12</f>
        <v>1.5826301583929099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8.6457592984298142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261.75887764015459</v>
      </c>
      <c r="CZ162" s="59">
        <f t="shared" si="150"/>
        <v>209.74127356028544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35.006231640651613</v>
      </c>
      <c r="DG162" s="21">
        <f>EXP(-LN(2)/25)*DG161+(1-EXP(-LN(2)/25))/(LN(2)/25)*Calculateur!DB162*Calculateur!DD162*VLOOKUP('Données projet'!$B$13,Paramètres!$A$1:$I$89,3,0)*0.475*44/12</f>
        <v>5.9500017313201301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40.956233371971742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-2.2737367544323206E-13</v>
      </c>
      <c r="DP162" s="17">
        <f>DO162*VLOOKUP('Données projet'!$B$14,Paramètres!$A$1:$I$89,3,0)*VLOOKUP('Données projet'!$B$14,Paramètres!$A$1:$I$89,5,0)</f>
        <v>-1.8089849618263545E-13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215.37468832969444</v>
      </c>
      <c r="DU162" s="59">
        <f t="shared" si="152"/>
        <v>208.60212063136419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22.88341210204451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22.88341210204451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-2.2737367544323206E-13</v>
      </c>
      <c r="EK162" s="17">
        <f>EJ162*VLOOKUP('Données projet'!$B$15,Paramètres!$A$1:$I$89,3,0)*VLOOKUP('Données projet'!$B$15,Paramètres!$A$1:$I$89,5,0)</f>
        <v>-1.8089849618263545E-13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215.37468832969444</v>
      </c>
      <c r="EP162" s="59">
        <f t="shared" si="154"/>
        <v>208.60212063136419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22.88341210204451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22.88341210204451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-2.2737367544323206E-13</v>
      </c>
      <c r="FF162" s="17">
        <f>FE162*VLOOKUP('Données projet'!$B$16,Paramètres!$A$1:$I$89,3,0)*VLOOKUP('Données projet'!$B$16,Paramètres!$A$1:$I$89,5,0)</f>
        <v>-1.8444552551954985E-13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220.90439367987847</v>
      </c>
      <c r="FK162" s="59">
        <f t="shared" si="156"/>
        <v>213.66046131354858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23.332106456986573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23.332106456986573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1">
        <f t="shared" si="140"/>
        <v>33.948292161114985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67">
        <f t="shared" si="110"/>
        <v>578.51434218060854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6.8212102632969618E-13</v>
      </c>
      <c r="O163" s="13">
        <f>N163*VLOOKUP('Données projet'!$B$9,Paramètres!$A$1:$I$89,3,0)*VLOOKUP('Données projet'!$B$9,Paramètres!$A$1:$I$89,5,0)</f>
        <v>3.1923264032229784E-13</v>
      </c>
      <c r="P163" s="13">
        <f t="shared" si="141"/>
        <v>4.1896839804541558E-12</v>
      </c>
      <c r="Q163" s="20">
        <f t="shared" si="162"/>
        <v>7.8530297811856558E-12</v>
      </c>
      <c r="R163" s="59">
        <f t="shared" si="109"/>
        <v>293.33333333334116</v>
      </c>
      <c r="S163" s="59">
        <f ca="1">AVERAGE(OFFSET($R$3,0,0,'Données projet'!$E$9+1,1))-AVERAGE(OFFSET($H$3,0,0,'Données projet'!$E$9+1,1))</f>
        <v>196.72624686715807</v>
      </c>
      <c r="T163" s="59">
        <f t="shared" si="142"/>
        <v>37.315661698104691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63.940931180006757</v>
      </c>
      <c r="AA163" s="21">
        <f>EXP(-LN(2)/25)*AA162+(1-EXP(-LN(2)/25))/(LN(2)/25)*Calculateur!V163*Calculateur!X163*VLOOKUP('Données projet'!$B$9,Paramètres!$A$1:$I$89,3,0)*0.475*44/12</f>
        <v>16.492864116655948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80.433795296662709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-1.0000000000001137</v>
      </c>
      <c r="AJ163" s="13">
        <f>AI163*VLOOKUP('Données projet'!$B$10,Paramètres!$A$1:$I$89,3,0)*VLOOKUP('Données projet'!$B$10,Paramètres!$A$1:$I$89,5,0)</f>
        <v>-0.55900000000006356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325.42940802362739</v>
      </c>
      <c r="AO163" s="59">
        <f t="shared" si="144"/>
        <v>388.87198417542277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32.340769932729273</v>
      </c>
      <c r="AV163" s="21">
        <f>EXP(-LN(2)/25)*AV162+(1-EXP(-LN(2)/25))/(LN(2)/25)*Calculateur!AQ163*Calculateur!AS163*VLOOKUP('Données projet'!$B$10,Paramètres!$A$1:$I$89,3,0)*0.475*44/12</f>
        <v>5.6562741505607441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37.997044083290021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</v>
      </c>
      <c r="BE163" s="13">
        <f>BD163*VLOOKUP('Données projet'!$B$11,Paramètres!$A$1:$I$89,3,0)*VLOOKUP('Données projet'!$B$11,Paramètres!$A$1:$I$89,5,0)</f>
        <v>-0.624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162.87524915738271</v>
      </c>
      <c r="BJ163" s="59">
        <f t="shared" si="146"/>
        <v>249.37880137966658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20.633338400170253</v>
      </c>
      <c r="BQ163" s="21">
        <f>EXP(-LN(2)/25)*BQ162+(1-EXP(-LN(2)/25))/(LN(2)/25)*Calculateur!BL163*Calculateur!BN163*VLOOKUP('Données projet'!$B$11,Paramètres!$A$1:$I$89,3,0)*0.475*44/12</f>
        <v>3.98784669309007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24.621185093260323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-1.4210854715202004E-13</v>
      </c>
      <c r="BZ163" s="13">
        <f>BY163*VLOOKUP('Données projet'!$B$12,Paramètres!$A$1:$I$89,3,0)*VLOOKUP('Données projet'!$B$12,Paramètres!$A$1:$I$89,5,0)</f>
        <v>-9.3109520094003535E-14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119.88584888779422</v>
      </c>
      <c r="CE163" s="59">
        <f t="shared" si="148"/>
        <v>162.97244314258774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6.9246254856841682</v>
      </c>
      <c r="CL163" s="21">
        <f>EXP(-LN(2)/25)*CL162+(1-EXP(-LN(2)/25))/(LN(2)/25)*Calculateur!CG163*Calculateur!CI163*VLOOKUP('Données projet'!$B$12,Paramètres!$A$1:$I$89,3,0)*0.475*44/12</f>
        <v>1.5393530534847528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8.4639785391689202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261.75887764015459</v>
      </c>
      <c r="CZ163" s="59">
        <f t="shared" si="150"/>
        <v>209.74127356028544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34.31978078987143</v>
      </c>
      <c r="DG163" s="21">
        <f>EXP(-LN(2)/25)*DG162+(1-EXP(-LN(2)/25))/(LN(2)/25)*Calculateur!DB163*Calculateur!DD163*VLOOKUP('Données projet'!$B$13,Paramètres!$A$1:$I$89,3,0)*0.475*44/12</f>
        <v>5.7872986210801889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40.10707941095162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-2.2737367544323206E-13</v>
      </c>
      <c r="DP163" s="17">
        <f>DO163*VLOOKUP('Données projet'!$B$14,Paramètres!$A$1:$I$89,3,0)*VLOOKUP('Données projet'!$B$14,Paramètres!$A$1:$I$89,5,0)</f>
        <v>-1.8089849618263545E-13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215.37468832969444</v>
      </c>
      <c r="DU163" s="59">
        <f t="shared" si="152"/>
        <v>208.60212063136419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22.434682348226609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22.434682348226609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-2.2737367544323206E-13</v>
      </c>
      <c r="EK163" s="17">
        <f>EJ163*VLOOKUP('Données projet'!$B$15,Paramètres!$A$1:$I$89,3,0)*VLOOKUP('Données projet'!$B$15,Paramètres!$A$1:$I$89,5,0)</f>
        <v>-1.8089849618263545E-13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215.37468832969444</v>
      </c>
      <c r="EP163" s="59">
        <f t="shared" si="154"/>
        <v>208.60212063136419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22.434682348226609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22.434682348226609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-2.2737367544323206E-13</v>
      </c>
      <c r="FF163" s="17">
        <f>FE163*VLOOKUP('Données projet'!$B$16,Paramètres!$A$1:$I$89,3,0)*VLOOKUP('Données projet'!$B$16,Paramètres!$A$1:$I$89,5,0)</f>
        <v>-1.8444552551954985E-13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220.90439367987847</v>
      </c>
      <c r="FK163" s="59">
        <f t="shared" si="156"/>
        <v>213.66046131354858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22.874578080544794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22.874578080544794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1">
        <f t="shared" si="140"/>
        <v>34.135703567016428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67">
        <f t="shared" si="110"/>
        <v>580.25359037922021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6.8212102632969618E-13</v>
      </c>
      <c r="O164" s="13">
        <f>N164*VLOOKUP('Données projet'!$B$9,Paramètres!$A$1:$I$89,3,0)*VLOOKUP('Données projet'!$B$9,Paramètres!$A$1:$I$89,5,0)</f>
        <v>3.1923264032229784E-13</v>
      </c>
      <c r="P164" s="13">
        <f t="shared" si="141"/>
        <v>4.1896839804541558E-12</v>
      </c>
      <c r="Q164" s="20">
        <f t="shared" si="162"/>
        <v>7.8530297811856558E-12</v>
      </c>
      <c r="R164" s="59">
        <f t="shared" si="109"/>
        <v>293.33333333334116</v>
      </c>
      <c r="S164" s="59">
        <f ca="1">AVERAGE(OFFSET($R$3,0,0,'Données projet'!$E$9+1,1))-AVERAGE(OFFSET($H$3,0,0,'Données projet'!$E$9+1,1))</f>
        <v>196.72624686715807</v>
      </c>
      <c r="T164" s="59">
        <f t="shared" si="142"/>
        <v>37.315661698104691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62.687088519683904</v>
      </c>
      <c r="AA164" s="21">
        <f>EXP(-LN(2)/25)*AA163+(1-EXP(-LN(2)/25))/(LN(2)/25)*Calculateur!V164*Calculateur!X164*VLOOKUP('Données projet'!$B$9,Paramètres!$A$1:$I$89,3,0)*0.475*44/12</f>
        <v>16.041865880063963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78.728954399747863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-1.0000000000001137</v>
      </c>
      <c r="AJ164" s="13">
        <f>AI164*VLOOKUP('Données projet'!$B$10,Paramètres!$A$1:$I$89,3,0)*VLOOKUP('Données projet'!$B$10,Paramètres!$A$1:$I$89,5,0)</f>
        <v>-0.55900000000006356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325.42940802362739</v>
      </c>
      <c r="AO164" s="59">
        <f t="shared" si="144"/>
        <v>388.87198417542277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31.706587160270338</v>
      </c>
      <c r="AV164" s="21">
        <f>EXP(-LN(2)/25)*AV163+(1-EXP(-LN(2)/25))/(LN(2)/25)*Calculateur!AQ164*Calculateur!AS164*VLOOKUP('Données projet'!$B$10,Paramètres!$A$1:$I$89,3,0)*0.475*44/12</f>
        <v>5.5016030364631305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37.208190196733469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</v>
      </c>
      <c r="BE164" s="13">
        <f>BD164*VLOOKUP('Données projet'!$B$11,Paramètres!$A$1:$I$89,3,0)*VLOOKUP('Données projet'!$B$11,Paramètres!$A$1:$I$89,5,0)</f>
        <v>-0.624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162.87524915738271</v>
      </c>
      <c r="BJ164" s="59">
        <f t="shared" si="146"/>
        <v>249.37880137966658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20.228731219236664</v>
      </c>
      <c r="BQ164" s="21">
        <f>EXP(-LN(2)/25)*BQ163+(1-EXP(-LN(2)/25))/(LN(2)/25)*Calculateur!BL164*Calculateur!BN164*VLOOKUP('Données projet'!$B$11,Paramètres!$A$1:$I$89,3,0)*0.475*44/12</f>
        <v>3.8787988155557787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24.107530034792443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-1.4210854715202004E-13</v>
      </c>
      <c r="BZ164" s="13">
        <f>BY164*VLOOKUP('Données projet'!$B$12,Paramètres!$A$1:$I$89,3,0)*VLOOKUP('Données projet'!$B$12,Paramètres!$A$1:$I$89,5,0)</f>
        <v>-9.3109520094003535E-14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119.88584888779422</v>
      </c>
      <c r="CE164" s="59">
        <f t="shared" si="148"/>
        <v>162.97244314258774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6.7888378035144017</v>
      </c>
      <c r="CL164" s="21">
        <f>EXP(-LN(2)/25)*CL163+(1-EXP(-LN(2)/25))/(LN(2)/25)*Calculateur!CG164*Calculateur!CI164*VLOOKUP('Données projet'!$B$12,Paramètres!$A$1:$I$89,3,0)*0.475*44/12</f>
        <v>1.4972593632861535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8.2860971668005554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261.75887764015459</v>
      </c>
      <c r="CZ164" s="59">
        <f t="shared" si="150"/>
        <v>209.74127356028544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33.646790821581369</v>
      </c>
      <c r="DG164" s="21">
        <f>EXP(-LN(2)/25)*DG163+(1-EXP(-LN(2)/25))/(LN(2)/25)*Calculateur!DB164*Calculateur!DD164*VLOOKUP('Données projet'!$B$13,Paramètres!$A$1:$I$89,3,0)*0.475*44/12</f>
        <v>5.6290446359459434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39.275835457527315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-2.2737367544323206E-13</v>
      </c>
      <c r="DP164" s="17">
        <f>DO164*VLOOKUP('Données projet'!$B$14,Paramètres!$A$1:$I$89,3,0)*VLOOKUP('Données projet'!$B$14,Paramètres!$A$1:$I$89,5,0)</f>
        <v>-1.8089849618263545E-13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215.37468832969444</v>
      </c>
      <c r="DU164" s="59">
        <f t="shared" si="152"/>
        <v>208.60212063136419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21.994751911182956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21.994751911182956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-2.2737367544323206E-13</v>
      </c>
      <c r="EK164" s="17">
        <f>EJ164*VLOOKUP('Données projet'!$B$15,Paramètres!$A$1:$I$89,3,0)*VLOOKUP('Données projet'!$B$15,Paramètres!$A$1:$I$89,5,0)</f>
        <v>-1.8089849618263545E-13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215.37468832969444</v>
      </c>
      <c r="EP164" s="59">
        <f t="shared" si="154"/>
        <v>208.60212063136419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21.994751911182956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21.994751911182956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-2.2737367544323206E-13</v>
      </c>
      <c r="FF164" s="17">
        <f>FE164*VLOOKUP('Données projet'!$B$16,Paramètres!$A$1:$I$89,3,0)*VLOOKUP('Données projet'!$B$16,Paramètres!$A$1:$I$89,5,0)</f>
        <v>-1.8444552551954985E-13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220.90439367987847</v>
      </c>
      <c r="FK164" s="59">
        <f t="shared" si="156"/>
        <v>213.66046131354858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22.426021556500281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22.426021556500281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1">
        <f t="shared" si="140"/>
        <v>34.32297952601067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67">
        <f t="shared" si="110"/>
        <v>581.99260267446857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6.8212102632969618E-13</v>
      </c>
      <c r="O165" s="13">
        <f>N165*VLOOKUP('Données projet'!$B$9,Paramètres!$A$1:$I$89,3,0)*VLOOKUP('Données projet'!$B$9,Paramètres!$A$1:$I$89,5,0)</f>
        <v>3.1923264032229784E-13</v>
      </c>
      <c r="P165" s="13">
        <f t="shared" si="141"/>
        <v>4.1896839804541558E-12</v>
      </c>
      <c r="Q165" s="20">
        <f t="shared" si="162"/>
        <v>7.8530297811856558E-12</v>
      </c>
      <c r="R165" s="59">
        <f t="shared" si="109"/>
        <v>293.33333333334116</v>
      </c>
      <c r="S165" s="59">
        <f ca="1">AVERAGE(OFFSET($R$3,0,0,'Données projet'!$E$9+1,1))-AVERAGE(OFFSET($H$3,0,0,'Données projet'!$E$9+1,1))</f>
        <v>196.72624686715807</v>
      </c>
      <c r="T165" s="59">
        <f t="shared" si="142"/>
        <v>37.315661698104691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61.457832949161471</v>
      </c>
      <c r="AA165" s="21">
        <f>EXP(-LN(2)/25)*AA164+(1-EXP(-LN(2)/25))/(LN(2)/25)*Calculateur!V165*Calculateur!X165*VLOOKUP('Données projet'!$B$9,Paramètres!$A$1:$I$89,3,0)*0.475*44/12</f>
        <v>15.603200213968551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77.06103316313002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-1.0000000000001137</v>
      </c>
      <c r="AJ165" s="13">
        <f>AI165*VLOOKUP('Données projet'!$B$10,Paramètres!$A$1:$I$89,3,0)*VLOOKUP('Données projet'!$B$10,Paramètres!$A$1:$I$89,5,0)</f>
        <v>-0.55900000000006356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325.42940802362739</v>
      </c>
      <c r="AO165" s="59">
        <f t="shared" si="144"/>
        <v>388.87198417542277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31.084840325166027</v>
      </c>
      <c r="AV165" s="21">
        <f>EXP(-LN(2)/25)*AV164+(1-EXP(-LN(2)/25))/(LN(2)/25)*Calculateur!AQ165*Calculateur!AS165*VLOOKUP('Données projet'!$B$10,Paramètres!$A$1:$I$89,3,0)*0.475*44/12</f>
        <v>5.3511614121143163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36.436001737280343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</v>
      </c>
      <c r="BE165" s="13">
        <f>BD165*VLOOKUP('Données projet'!$B$11,Paramètres!$A$1:$I$89,3,0)*VLOOKUP('Données projet'!$B$11,Paramètres!$A$1:$I$89,5,0)</f>
        <v>-0.624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162.87524915738271</v>
      </c>
      <c r="BJ165" s="59">
        <f t="shared" si="146"/>
        <v>249.37880137966658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19.832058138335171</v>
      </c>
      <c r="BQ165" s="21">
        <f>EXP(-LN(2)/25)*BQ164+(1-EXP(-LN(2)/25))/(LN(2)/25)*Calculateur!BL165*Calculateur!BN165*VLOOKUP('Données projet'!$B$11,Paramètres!$A$1:$I$89,3,0)*0.475*44/12</f>
        <v>3.7727328579672412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23.604790996302413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-1.4210854715202004E-13</v>
      </c>
      <c r="BZ165" s="13">
        <f>BY165*VLOOKUP('Données projet'!$B$12,Paramètres!$A$1:$I$89,3,0)*VLOOKUP('Données projet'!$B$12,Paramètres!$A$1:$I$89,5,0)</f>
        <v>-9.3109520094003535E-14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119.88584888779422</v>
      </c>
      <c r="CE165" s="59">
        <f t="shared" si="148"/>
        <v>162.97244314258774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6.6557128349696759</v>
      </c>
      <c r="CL165" s="21">
        <f>EXP(-LN(2)/25)*CL164+(1-EXP(-LN(2)/25))/(LN(2)/25)*Calculateur!CG165*Calculateur!CI165*VLOOKUP('Données projet'!$B$12,Paramètres!$A$1:$I$89,3,0)*0.475*44/12</f>
        <v>1.4563167272596458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8.1120295622293224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261.75887764015459</v>
      </c>
      <c r="CZ165" s="59">
        <f t="shared" si="150"/>
        <v>209.74127356028544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32.986997776086127</v>
      </c>
      <c r="DG165" s="21">
        <f>EXP(-LN(2)/25)*DG164+(1-EXP(-LN(2)/25))/(LN(2)/25)*Calculateur!DB165*Calculateur!DD165*VLOOKUP('Données projet'!$B$13,Paramètres!$A$1:$I$89,3,0)*0.475*44/12</f>
        <v>5.4751181143574099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38.462115890443535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-2.2737367544323206E-13</v>
      </c>
      <c r="DP165" s="17">
        <f>DO165*VLOOKUP('Données projet'!$B$14,Paramètres!$A$1:$I$89,3,0)*VLOOKUP('Données projet'!$B$14,Paramètres!$A$1:$I$89,5,0)</f>
        <v>-1.8089849618263545E-13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215.37468832969444</v>
      </c>
      <c r="DU165" s="59">
        <f t="shared" si="152"/>
        <v>208.60212063136419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21.563448241678657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21.563448241678657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-2.2737367544323206E-13</v>
      </c>
      <c r="EK165" s="17">
        <f>EJ165*VLOOKUP('Données projet'!$B$15,Paramètres!$A$1:$I$89,3,0)*VLOOKUP('Données projet'!$B$15,Paramètres!$A$1:$I$89,5,0)</f>
        <v>-1.8089849618263545E-13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215.37468832969444</v>
      </c>
      <c r="EP165" s="59">
        <f t="shared" si="154"/>
        <v>208.60212063136419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21.563448241678657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21.563448241678657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-2.2737367544323206E-13</v>
      </c>
      <c r="FF165" s="17">
        <f>FE165*VLOOKUP('Données projet'!$B$16,Paramètres!$A$1:$I$89,3,0)*VLOOKUP('Données projet'!$B$16,Paramètres!$A$1:$I$89,5,0)</f>
        <v>-1.8444552551954985E-13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220.90439367987847</v>
      </c>
      <c r="FK165" s="59">
        <f t="shared" si="156"/>
        <v>213.66046131354858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21.986260952299819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21.986260952299819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1">
        <f t="shared" si="140"/>
        <v>34.510120971187391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67">
        <f t="shared" si="110"/>
        <v>583.73138069148467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6.8212102632969618E-13</v>
      </c>
      <c r="O166" s="13">
        <f>N166*VLOOKUP('Données projet'!$B$9,Paramètres!$A$1:$I$89,3,0)*VLOOKUP('Données projet'!$B$9,Paramètres!$A$1:$I$89,5,0)</f>
        <v>3.1923264032229784E-13</v>
      </c>
      <c r="P166" s="13">
        <f t="shared" si="141"/>
        <v>4.1896839804541558E-12</v>
      </c>
      <c r="Q166" s="20">
        <f t="shared" si="162"/>
        <v>7.8530297811856558E-12</v>
      </c>
      <c r="R166" s="59">
        <f t="shared" si="109"/>
        <v>293.33333333334116</v>
      </c>
      <c r="S166" s="59">
        <f ca="1">AVERAGE(OFFSET($R$3,0,0,'Données projet'!$E$9+1,1))-AVERAGE(OFFSET($H$3,0,0,'Données projet'!$E$9+1,1))</f>
        <v>196.72624686715807</v>
      </c>
      <c r="T166" s="59">
        <f t="shared" si="142"/>
        <v>37.315661698104691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60.252682330605118</v>
      </c>
      <c r="AA166" s="21">
        <f>EXP(-LN(2)/25)*AA165+(1-EXP(-LN(2)/25))/(LN(2)/25)*Calculateur!V166*Calculateur!X166*VLOOKUP('Données projet'!$B$9,Paramètres!$A$1:$I$89,3,0)*0.475*44/12</f>
        <v>15.176529883580942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75.429212214186066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-1.0000000000001137</v>
      </c>
      <c r="AJ166" s="13">
        <f>AI166*VLOOKUP('Données projet'!$B$10,Paramètres!$A$1:$I$89,3,0)*VLOOKUP('Données projet'!$B$10,Paramètres!$A$1:$I$89,5,0)</f>
        <v>-0.55900000000006356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325.42940802362739</v>
      </c>
      <c r="AO166" s="59">
        <f t="shared" si="144"/>
        <v>388.87198417542277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30.475285566269989</v>
      </c>
      <c r="AV166" s="21">
        <f>EXP(-LN(2)/25)*AV165+(1-EXP(-LN(2)/25))/(LN(2)/25)*Calculateur!AQ166*Calculateur!AS166*VLOOKUP('Données projet'!$B$10,Paramètres!$A$1:$I$89,3,0)*0.475*44/12</f>
        <v>5.2048336218947018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35.680119188164689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</v>
      </c>
      <c r="BE166" s="13">
        <f>BD166*VLOOKUP('Données projet'!$B$11,Paramètres!$A$1:$I$89,3,0)*VLOOKUP('Données projet'!$B$11,Paramètres!$A$1:$I$89,5,0)</f>
        <v>-0.624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162.87524915738271</v>
      </c>
      <c r="BJ166" s="59">
        <f t="shared" si="146"/>
        <v>249.37880137966658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19.443163574603467</v>
      </c>
      <c r="BQ166" s="21">
        <f>EXP(-LN(2)/25)*BQ165+(1-EXP(-LN(2)/25))/(LN(2)/25)*Calculateur!BL166*Calculateur!BN166*VLOOKUP('Données projet'!$B$11,Paramètres!$A$1:$I$89,3,0)*0.475*44/12</f>
        <v>3.6695672795667287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23.112730854170195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-1.4210854715202004E-13</v>
      </c>
      <c r="BZ166" s="13">
        <f>BY166*VLOOKUP('Données projet'!$B$12,Paramètres!$A$1:$I$89,3,0)*VLOOKUP('Données projet'!$B$12,Paramètres!$A$1:$I$89,5,0)</f>
        <v>-9.3109520094003535E-14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119.88584888779422</v>
      </c>
      <c r="CE166" s="59">
        <f t="shared" si="148"/>
        <v>162.97244314258774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6.5251983658598993</v>
      </c>
      <c r="CL166" s="21">
        <f>EXP(-LN(2)/25)*CL165+(1-EXP(-LN(2)/25))/(LN(2)/25)*Calculateur!CG166*Calculateur!CI166*VLOOKUP('Données projet'!$B$12,Paramètres!$A$1:$I$89,3,0)*0.475*44/12</f>
        <v>1.4164936697683626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7.9416920356282619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261.75887764015459</v>
      </c>
      <c r="CZ166" s="59">
        <f t="shared" si="150"/>
        <v>209.74127356028544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32.340142869779029</v>
      </c>
      <c r="DG166" s="21">
        <f>EXP(-LN(2)/25)*DG165+(1-EXP(-LN(2)/25))/(LN(2)/25)*Calculateur!DB166*Calculateur!DD166*VLOOKUP('Données projet'!$B$13,Paramètres!$A$1:$I$89,3,0)*0.475*44/12</f>
        <v>5.3254007215963588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37.665543591375389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-2.2737367544323206E-13</v>
      </c>
      <c r="DP166" s="17">
        <f>DO166*VLOOKUP('Données projet'!$B$14,Paramètres!$A$1:$I$89,3,0)*VLOOKUP('Données projet'!$B$14,Paramètres!$A$1:$I$89,5,0)</f>
        <v>-1.8089849618263545E-13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215.37468832969444</v>
      </c>
      <c r="DU166" s="59">
        <f t="shared" si="152"/>
        <v>208.60212063136419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21.140602174064075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21.140602174064075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-2.2737367544323206E-13</v>
      </c>
      <c r="EK166" s="17">
        <f>EJ166*VLOOKUP('Données projet'!$B$15,Paramètres!$A$1:$I$89,3,0)*VLOOKUP('Données projet'!$B$15,Paramètres!$A$1:$I$89,5,0)</f>
        <v>-1.8089849618263545E-13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215.37468832969444</v>
      </c>
      <c r="EP166" s="59">
        <f t="shared" si="154"/>
        <v>208.60212063136419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21.140602174064075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21.140602174064075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-2.2737367544323206E-13</v>
      </c>
      <c r="FF166" s="17">
        <f>FE166*VLOOKUP('Données projet'!$B$16,Paramètres!$A$1:$I$89,3,0)*VLOOKUP('Données projet'!$B$16,Paramètres!$A$1:$I$89,5,0)</f>
        <v>-1.8444552551954985E-13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220.90439367987847</v>
      </c>
      <c r="FK166" s="59">
        <f t="shared" si="156"/>
        <v>213.66046131354858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21.555123785320244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21.555123785320244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1">
        <f t="shared" si="140"/>
        <v>34.697128823525262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67">
        <f t="shared" si="110"/>
        <v>585.46992603430647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6.8212102632969618E-13</v>
      </c>
      <c r="O167" s="13">
        <f>N167*VLOOKUP('Données projet'!$B$9,Paramètres!$A$1:$I$89,3,0)*VLOOKUP('Données projet'!$B$9,Paramètres!$A$1:$I$89,5,0)</f>
        <v>3.1923264032229784E-13</v>
      </c>
      <c r="P167" s="13">
        <f t="shared" si="141"/>
        <v>4.1896839804541558E-12</v>
      </c>
      <c r="Q167" s="20">
        <f t="shared" si="162"/>
        <v>7.8530297811856558E-12</v>
      </c>
      <c r="R167" s="59">
        <f t="shared" si="109"/>
        <v>293.33333333334116</v>
      </c>
      <c r="S167" s="59">
        <f ca="1">AVERAGE(OFFSET($R$3,0,0,'Données projet'!$E$9+1,1))-AVERAGE(OFFSET($H$3,0,0,'Données projet'!$E$9+1,1))</f>
        <v>196.72624686715807</v>
      </c>
      <c r="T167" s="59">
        <f t="shared" si="142"/>
        <v>37.315661698104691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59.071163980609363</v>
      </c>
      <c r="AA167" s="21">
        <f>EXP(-LN(2)/25)*AA166+(1-EXP(-LN(2)/25))/(LN(2)/25)*Calculateur!V167*Calculateur!X167*VLOOKUP('Données projet'!$B$9,Paramètres!$A$1:$I$89,3,0)*0.475*44/12</f>
        <v>14.761526875815401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73.832690856424762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-1.0000000000001137</v>
      </c>
      <c r="AJ167" s="13">
        <f>AI167*VLOOKUP('Données projet'!$B$10,Paramètres!$A$1:$I$89,3,0)*VLOOKUP('Données projet'!$B$10,Paramètres!$A$1:$I$89,5,0)</f>
        <v>-0.55900000000006356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325.42940802362739</v>
      </c>
      <c r="AO167" s="59">
        <f t="shared" si="144"/>
        <v>388.87198417542277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29.877683804404207</v>
      </c>
      <c r="AV167" s="21">
        <f>EXP(-LN(2)/25)*AV166+(1-EXP(-LN(2)/25))/(LN(2)/25)*Calculateur!AQ167*Calculateur!AS167*VLOOKUP('Données projet'!$B$10,Paramètres!$A$1:$I$89,3,0)*0.475*44/12</f>
        <v>5.062507172793687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34.940190977197894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</v>
      </c>
      <c r="BE167" s="13">
        <f>BD167*VLOOKUP('Données projet'!$B$11,Paramètres!$A$1:$I$89,3,0)*VLOOKUP('Données projet'!$B$11,Paramètres!$A$1:$I$89,5,0)</f>
        <v>-0.624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162.87524915738271</v>
      </c>
      <c r="BJ167" s="59">
        <f t="shared" si="146"/>
        <v>249.37880137966658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19.061894996064279</v>
      </c>
      <c r="BQ167" s="21">
        <f>EXP(-LN(2)/25)*BQ166+(1-EXP(-LN(2)/25))/(LN(2)/25)*Calculateur!BL167*Calculateur!BN167*VLOOKUP('Données projet'!$B$11,Paramètres!$A$1:$I$89,3,0)*0.475*44/12</f>
        <v>3.56922276933282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22.6311177653971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-1.4210854715202004E-13</v>
      </c>
      <c r="BZ167" s="13">
        <f>BY167*VLOOKUP('Données projet'!$B$12,Paramètres!$A$1:$I$89,3,0)*VLOOKUP('Données projet'!$B$12,Paramètres!$A$1:$I$89,5,0)</f>
        <v>-9.3109520094003535E-14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119.88584888779422</v>
      </c>
      <c r="CE167" s="59">
        <f t="shared" si="148"/>
        <v>162.97244314258774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6.3972432058833997</v>
      </c>
      <c r="CL167" s="21">
        <f>EXP(-LN(2)/25)*CL166+(1-EXP(-LN(2)/25))/(LN(2)/25)*Calculateur!CG167*Calculateur!CI167*VLOOKUP('Données projet'!$B$12,Paramètres!$A$1:$I$89,3,0)*0.475*44/12</f>
        <v>1.377759575878382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7.7750027817617813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261.75887764015459</v>
      </c>
      <c r="CZ167" s="59">
        <f t="shared" si="150"/>
        <v>209.74127356028544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31.705972393642078</v>
      </c>
      <c r="DG167" s="21">
        <f>EXP(-LN(2)/25)*DG166+(1-EXP(-LN(2)/25))/(LN(2)/25)*Calculateur!DB167*Calculateur!DD167*VLOOKUP('Données projet'!$B$13,Paramètres!$A$1:$I$89,3,0)*0.475*44/12</f>
        <v>5.179777358813654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36.88574975245573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-2.2737367544323206E-13</v>
      </c>
      <c r="DP167" s="17">
        <f>DO167*VLOOKUP('Données projet'!$B$14,Paramètres!$A$1:$I$89,3,0)*VLOOKUP('Données projet'!$B$14,Paramètres!$A$1:$I$89,5,0)</f>
        <v>-1.8089849618263545E-13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215.37468832969444</v>
      </c>
      <c r="DU167" s="59">
        <f t="shared" si="152"/>
        <v>208.60212063136419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20.72604785992478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20.72604785992478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-2.2737367544323206E-13</v>
      </c>
      <c r="EK167" s="17">
        <f>EJ167*VLOOKUP('Données projet'!$B$15,Paramètres!$A$1:$I$89,3,0)*VLOOKUP('Données projet'!$B$15,Paramètres!$A$1:$I$89,5,0)</f>
        <v>-1.8089849618263545E-13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215.37468832969444</v>
      </c>
      <c r="EP167" s="59">
        <f t="shared" si="154"/>
        <v>208.60212063136419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20.72604785992478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20.72604785992478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-2.2737367544323206E-13</v>
      </c>
      <c r="FF167" s="17">
        <f>FE167*VLOOKUP('Données projet'!$B$16,Paramètres!$A$1:$I$89,3,0)*VLOOKUP('Données projet'!$B$16,Paramètres!$A$1:$I$89,5,0)</f>
        <v>-1.8444552551954985E-13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220.90439367987847</v>
      </c>
      <c r="FK167" s="59">
        <f t="shared" si="156"/>
        <v>213.66046131354858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21.132440955217433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21.132440955217433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1">
        <f t="shared" si="140"/>
        <v>34.884003992121691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67">
        <f t="shared" si="110"/>
        <v>587.20824028627862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6.8212102632969618E-13</v>
      </c>
      <c r="O168" s="13">
        <f>N168*VLOOKUP('Données projet'!$B$9,Paramètres!$A$1:$I$89,3,0)*VLOOKUP('Données projet'!$B$9,Paramètres!$A$1:$I$89,5,0)</f>
        <v>3.1923264032229784E-13</v>
      </c>
      <c r="P168" s="13">
        <f t="shared" si="141"/>
        <v>4.1896839804541558E-12</v>
      </c>
      <c r="Q168" s="20">
        <f t="shared" si="162"/>
        <v>7.8530297811856558E-12</v>
      </c>
      <c r="R168" s="59">
        <f t="shared" si="109"/>
        <v>293.33333333334116</v>
      </c>
      <c r="S168" s="59">
        <f ca="1">AVERAGE(OFFSET($R$3,0,0,'Données projet'!$E$9+1,1))-AVERAGE(OFFSET($H$3,0,0,'Données projet'!$E$9+1,1))</f>
        <v>196.72624686715807</v>
      </c>
      <c r="T168" s="59">
        <f t="shared" si="142"/>
        <v>37.315661698104691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57.912814484801991</v>
      </c>
      <c r="AA168" s="21">
        <f>EXP(-LN(2)/25)*AA167+(1-EXP(-LN(2)/25))/(LN(2)/25)*Calculateur!V168*Calculateur!X168*VLOOKUP('Données projet'!$B$9,Paramètres!$A$1:$I$89,3,0)*0.475*44/12</f>
        <v>14.357872147121268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72.270686631923255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-1.0000000000001137</v>
      </c>
      <c r="AJ168" s="13">
        <f>AI168*VLOOKUP('Données projet'!$B$10,Paramètres!$A$1:$I$89,3,0)*VLOOKUP('Données projet'!$B$10,Paramètres!$A$1:$I$89,5,0)</f>
        <v>-0.55900000000006356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325.42940802362739</v>
      </c>
      <c r="AO168" s="59">
        <f t="shared" si="144"/>
        <v>388.87198417542277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29.291800648587532</v>
      </c>
      <c r="AV168" s="21">
        <f>EXP(-LN(2)/25)*AV167+(1-EXP(-LN(2)/25))/(LN(2)/25)*Calculateur!AQ168*Calculateur!AS168*VLOOKUP('Données projet'!$B$10,Paramètres!$A$1:$I$89,3,0)*0.475*44/12</f>
        <v>4.9240726479279617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34.215873296515497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</v>
      </c>
      <c r="BE168" s="13">
        <f>BD168*VLOOKUP('Données projet'!$B$11,Paramètres!$A$1:$I$89,3,0)*VLOOKUP('Données projet'!$B$11,Paramètres!$A$1:$I$89,5,0)</f>
        <v>-0.624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162.87524915738271</v>
      </c>
      <c r="BJ168" s="59">
        <f t="shared" si="146"/>
        <v>249.37880137966658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18.688102861799372</v>
      </c>
      <c r="BQ168" s="21">
        <f>EXP(-LN(2)/25)*BQ167+(1-EXP(-LN(2)/25))/(LN(2)/25)*Calculateur!BL168*Calculateur!BN168*VLOOKUP('Données projet'!$B$11,Paramètres!$A$1:$I$89,3,0)*0.475*44/12</f>
        <v>3.4716221850081461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22.15972504680752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-1.4210854715202004E-13</v>
      </c>
      <c r="BZ168" s="13">
        <f>BY168*VLOOKUP('Données projet'!$B$12,Paramètres!$A$1:$I$89,3,0)*VLOOKUP('Données projet'!$B$12,Paramètres!$A$1:$I$89,5,0)</f>
        <v>-9.3109520094003535E-14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119.88584888779422</v>
      </c>
      <c r="CE168" s="59">
        <f t="shared" si="148"/>
        <v>162.97244314258774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6.2717971685490976</v>
      </c>
      <c r="CL168" s="21">
        <f>EXP(-LN(2)/25)*CL167+(1-EXP(-LN(2)/25))/(LN(2)/25)*Calculateur!CG168*Calculateur!CI168*VLOOKUP('Données projet'!$B$12,Paramètres!$A$1:$I$89,3,0)*0.475*44/12</f>
        <v>1.3400846678227605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7.6118818363718583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261.75887764015459</v>
      </c>
      <c r="CZ168" s="59">
        <f t="shared" si="150"/>
        <v>209.74127356028544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31.084237613736377</v>
      </c>
      <c r="DG168" s="21">
        <f>EXP(-LN(2)/25)*DG167+(1-EXP(-LN(2)/25))/(LN(2)/25)*Calculateur!DB168*Calculateur!DD168*VLOOKUP('Données projet'!$B$13,Paramètres!$A$1:$I$89,3,0)*0.475*44/12</f>
        <v>5.0381360745442416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36.122373688280618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-2.2737367544323206E-13</v>
      </c>
      <c r="DP168" s="17">
        <f>DO168*VLOOKUP('Données projet'!$B$14,Paramètres!$A$1:$I$89,3,0)*VLOOKUP('Données projet'!$B$14,Paramètres!$A$1:$I$89,5,0)</f>
        <v>-1.8089849618263545E-13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215.37468832969444</v>
      </c>
      <c r="DU168" s="59">
        <f t="shared" si="152"/>
        <v>208.60212063136419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20.319622703032589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20.319622703032589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-2.2737367544323206E-13</v>
      </c>
      <c r="EK168" s="17">
        <f>EJ168*VLOOKUP('Données projet'!$B$15,Paramètres!$A$1:$I$89,3,0)*VLOOKUP('Données projet'!$B$15,Paramètres!$A$1:$I$89,5,0)</f>
        <v>-1.8089849618263545E-13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215.37468832969444</v>
      </c>
      <c r="EP168" s="59">
        <f t="shared" si="154"/>
        <v>208.60212063136419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20.319622703032589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20.319622703032589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-2.2737367544323206E-13</v>
      </c>
      <c r="FF168" s="17">
        <f>FE168*VLOOKUP('Données projet'!$B$16,Paramètres!$A$1:$I$89,3,0)*VLOOKUP('Données projet'!$B$16,Paramètres!$A$1:$I$89,5,0)</f>
        <v>-1.8444552551954985E-13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220.90439367987847</v>
      </c>
      <c r="FK168" s="59">
        <f t="shared" si="156"/>
        <v>213.66046131354858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20.718046677601869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20.718046677601869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1">
        <f t="shared" si="140"/>
        <v>35.07074737441733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67">
        <f t="shared" si="110"/>
        <v>588.94632501044362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6.8212102632969618E-13</v>
      </c>
      <c r="O169" s="13">
        <f>N169*VLOOKUP('Données projet'!$B$9,Paramètres!$A$1:$I$89,3,0)*VLOOKUP('Données projet'!$B$9,Paramètres!$A$1:$I$89,5,0)</f>
        <v>3.1923264032229784E-13</v>
      </c>
      <c r="P169" s="13">
        <f t="shared" si="141"/>
        <v>4.1896839804541558E-12</v>
      </c>
      <c r="Q169" s="20">
        <f t="shared" si="162"/>
        <v>7.8530297811856558E-12</v>
      </c>
      <c r="R169" s="59">
        <f t="shared" si="109"/>
        <v>293.33333333334116</v>
      </c>
      <c r="S169" s="59">
        <f ca="1">AVERAGE(OFFSET($R$3,0,0,'Données projet'!$E$9+1,1))-AVERAGE(OFFSET($H$3,0,0,'Données projet'!$E$9+1,1))</f>
        <v>196.72624686715807</v>
      </c>
      <c r="T169" s="59">
        <f t="shared" si="142"/>
        <v>37.315661698104691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56.777179516083969</v>
      </c>
      <c r="AA169" s="21">
        <f>EXP(-LN(2)/25)*AA168+(1-EXP(-LN(2)/25))/(LN(2)/25)*Calculateur!V169*Calculateur!X169*VLOOKUP('Données projet'!$B$9,Paramètres!$A$1:$I$89,3,0)*0.475*44/12</f>
        <v>13.965255378210557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70.742434894294519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-1.0000000000001137</v>
      </c>
      <c r="AJ169" s="13">
        <f>AI169*VLOOKUP('Données projet'!$B$10,Paramètres!$A$1:$I$89,3,0)*VLOOKUP('Données projet'!$B$10,Paramètres!$A$1:$I$89,5,0)</f>
        <v>-0.55900000000006356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325.42940802362739</v>
      </c>
      <c r="AO169" s="59">
        <f t="shared" si="144"/>
        <v>388.87198417542277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28.717406304102983</v>
      </c>
      <c r="AV169" s="21">
        <f>EXP(-LN(2)/25)*AV168+(1-EXP(-LN(2)/25))/(LN(2)/25)*Calculateur!AQ169*Calculateur!AS169*VLOOKUP('Données projet'!$B$10,Paramètres!$A$1:$I$89,3,0)*0.475*44/12</f>
        <v>4.7894236224246454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33.506829926527629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</v>
      </c>
      <c r="BE169" s="13">
        <f>BD169*VLOOKUP('Données projet'!$B$11,Paramètres!$A$1:$I$89,3,0)*VLOOKUP('Données projet'!$B$11,Paramètres!$A$1:$I$89,5,0)</f>
        <v>-0.624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162.87524915738271</v>
      </c>
      <c r="BJ169" s="59">
        <f t="shared" si="146"/>
        <v>249.37880137966658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18.321640563296711</v>
      </c>
      <c r="BQ169" s="21">
        <f>EXP(-LN(2)/25)*BQ168+(1-EXP(-LN(2)/25))/(LN(2)/25)*Calculateur!BL169*Calculateur!BN169*VLOOKUP('Données projet'!$B$11,Paramètres!$A$1:$I$89,3,0)*0.475*44/12</f>
        <v>3.3766904937944222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21.698331057091131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-1.4210854715202004E-13</v>
      </c>
      <c r="BZ169" s="13">
        <f>BY169*VLOOKUP('Données projet'!$B$12,Paramètres!$A$1:$I$89,3,0)*VLOOKUP('Données projet'!$B$12,Paramètres!$A$1:$I$89,5,0)</f>
        <v>-9.3109520094003535E-14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119.88584888779422</v>
      </c>
      <c r="CE169" s="59">
        <f t="shared" si="148"/>
        <v>162.97244314258774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6.1488110514923937</v>
      </c>
      <c r="CL169" s="21">
        <f>EXP(-LN(2)/25)*CL168+(1-EXP(-LN(2)/25))/(LN(2)/25)*Calculateur!CG169*Calculateur!CI169*VLOOKUP('Données projet'!$B$12,Paramètres!$A$1:$I$89,3,0)*0.475*44/12</f>
        <v>1.3034399821091571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7.4522510336015504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261.75887764015459</v>
      </c>
      <c r="CZ169" s="59">
        <f t="shared" si="150"/>
        <v>209.74127356028544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30.474694673643853</v>
      </c>
      <c r="DG169" s="21">
        <f>EXP(-LN(2)/25)*DG168+(1-EXP(-LN(2)/25))/(LN(2)/25)*Calculateur!DB169*Calculateur!DD169*VLOOKUP('Données projet'!$B$13,Paramètres!$A$1:$I$89,3,0)*0.475*44/12</f>
        <v>4.9003679786417678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35.375062652285621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-2.2737367544323206E-13</v>
      </c>
      <c r="DP169" s="17">
        <f>DO169*VLOOKUP('Données projet'!$B$14,Paramètres!$A$1:$I$89,3,0)*VLOOKUP('Données projet'!$B$14,Paramètres!$A$1:$I$89,5,0)</f>
        <v>-1.8089849618263545E-13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215.37468832969444</v>
      </c>
      <c r="DU169" s="59">
        <f t="shared" si="152"/>
        <v>208.60212063136419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19.921167295572189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19.921167295572189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-2.2737367544323206E-13</v>
      </c>
      <c r="EK169" s="17">
        <f>EJ169*VLOOKUP('Données projet'!$B$15,Paramètres!$A$1:$I$89,3,0)*VLOOKUP('Données projet'!$B$15,Paramètres!$A$1:$I$89,5,0)</f>
        <v>-1.8089849618263545E-13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215.37468832969444</v>
      </c>
      <c r="EP169" s="59">
        <f t="shared" si="154"/>
        <v>208.60212063136419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19.921167295572189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19.921167295572189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-2.2737367544323206E-13</v>
      </c>
      <c r="FF169" s="17">
        <f>FE169*VLOOKUP('Données projet'!$B$16,Paramètres!$A$1:$I$89,3,0)*VLOOKUP('Données projet'!$B$16,Paramètres!$A$1:$I$89,5,0)</f>
        <v>-1.8444552551954985E-13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220.90439367987847</v>
      </c>
      <c r="FK169" s="59">
        <f t="shared" si="156"/>
        <v>213.66046131354858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20.311778419014793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20.311778419014793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1">
        <f t="shared" si="140"/>
        <v>35.257359856414858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67">
        <f t="shared" si="110"/>
        <v>590.68418174992269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6.8212102632969618E-13</v>
      </c>
      <c r="O170" s="13">
        <f>N170*VLOOKUP('Données projet'!$B$9,Paramètres!$A$1:$I$89,3,0)*VLOOKUP('Données projet'!$B$9,Paramètres!$A$1:$I$89,5,0)</f>
        <v>3.1923264032229784E-13</v>
      </c>
      <c r="P170" s="13">
        <f t="shared" si="141"/>
        <v>4.1896839804541558E-12</v>
      </c>
      <c r="Q170" s="20">
        <f t="shared" si="162"/>
        <v>7.8530297811856558E-12</v>
      </c>
      <c r="R170" s="59">
        <f t="shared" si="109"/>
        <v>293.33333333334116</v>
      </c>
      <c r="S170" s="59">
        <f ca="1">AVERAGE(OFFSET($R$3,0,0,'Données projet'!$E$9+1,1))-AVERAGE(OFFSET($H$3,0,0,'Données projet'!$E$9+1,1))</f>
        <v>196.72624686715807</v>
      </c>
      <c r="T170" s="59">
        <f t="shared" si="142"/>
        <v>37.315661698104691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55.663813656433575</v>
      </c>
      <c r="AA170" s="21">
        <f>EXP(-LN(2)/25)*AA169+(1-EXP(-LN(2)/25))/(LN(2)/25)*Calculateur!V170*Calculateur!X170*VLOOKUP('Données projet'!$B$9,Paramètres!$A$1:$I$89,3,0)*0.475*44/12</f>
        <v>13.583374735492526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69.247188391926102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-1.0000000000001137</v>
      </c>
      <c r="AJ170" s="13">
        <f>AI170*VLOOKUP('Données projet'!$B$10,Paramètres!$A$1:$I$89,3,0)*VLOOKUP('Données projet'!$B$10,Paramètres!$A$1:$I$89,5,0)</f>
        <v>-0.55900000000006356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325.42940802362739</v>
      </c>
      <c r="AO170" s="59">
        <f t="shared" si="144"/>
        <v>388.87198417542277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28.154275482367819</v>
      </c>
      <c r="AV170" s="21">
        <f>EXP(-LN(2)/25)*AV169+(1-EXP(-LN(2)/25))/(LN(2)/25)*Calculateur!AQ170*Calculateur!AS170*VLOOKUP('Données projet'!$B$10,Paramètres!$A$1:$I$89,3,0)*0.475*44/12</f>
        <v>4.6584565816046011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32.812732063972419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</v>
      </c>
      <c r="BE170" s="13">
        <f>BD170*VLOOKUP('Données projet'!$B$11,Paramètres!$A$1:$I$89,3,0)*VLOOKUP('Données projet'!$B$11,Paramètres!$A$1:$I$89,5,0)</f>
        <v>-0.624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162.87524915738271</v>
      </c>
      <c r="BJ170" s="59">
        <f t="shared" si="146"/>
        <v>249.37880137966658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17.962364366947757</v>
      </c>
      <c r="BQ170" s="21">
        <f>EXP(-LN(2)/25)*BQ169+(1-EXP(-LN(2)/25))/(LN(2)/25)*Calculateur!BL170*Calculateur!BN170*VLOOKUP('Données projet'!$B$11,Paramètres!$A$1:$I$89,3,0)*0.475*44/12</f>
        <v>3.2843547146691781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21.246719081616934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-1.4210854715202004E-13</v>
      </c>
      <c r="BZ170" s="13">
        <f>BY170*VLOOKUP('Données projet'!$B$12,Paramètres!$A$1:$I$89,3,0)*VLOOKUP('Données projet'!$B$12,Paramètres!$A$1:$I$89,5,0)</f>
        <v>-9.3109520094003535E-14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119.88584888779422</v>
      </c>
      <c r="CE170" s="59">
        <f t="shared" si="148"/>
        <v>162.97244314258774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6.0282366171770478</v>
      </c>
      <c r="CL170" s="21">
        <f>EXP(-LN(2)/25)*CL169+(1-EXP(-LN(2)/25))/(LN(2)/25)*Calculateur!CG170*Calculateur!CI170*VLOOKUP('Données projet'!$B$12,Paramètres!$A$1:$I$89,3,0)*0.475*44/12</f>
        <v>1.2677973472534527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7.2960339644305003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261.75887764015459</v>
      </c>
      <c r="CZ170" s="59">
        <f t="shared" si="150"/>
        <v>209.74127356028544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29.877104498822064</v>
      </c>
      <c r="DG170" s="21">
        <f>EXP(-LN(2)/25)*DG169+(1-EXP(-LN(2)/25))/(LN(2)/25)*Calculateur!DB170*Calculateur!DD170*VLOOKUP('Données projet'!$B$13,Paramètres!$A$1:$I$89,3,0)*0.475*44/12</f>
        <v>4.7663671585666565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34.643471657388723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-2.2737367544323206E-13</v>
      </c>
      <c r="DP170" s="17">
        <f>DO170*VLOOKUP('Données projet'!$B$14,Paramètres!$A$1:$I$89,3,0)*VLOOKUP('Données projet'!$B$14,Paramètres!$A$1:$I$89,5,0)</f>
        <v>-1.8089849618263545E-13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215.37468832969444</v>
      </c>
      <c r="DU170" s="59">
        <f t="shared" si="152"/>
        <v>208.60212063136419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19.530525355618288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19.530525355618288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-2.2737367544323206E-13</v>
      </c>
      <c r="EK170" s="17">
        <f>EJ170*VLOOKUP('Données projet'!$B$15,Paramètres!$A$1:$I$89,3,0)*VLOOKUP('Données projet'!$B$15,Paramètres!$A$1:$I$89,5,0)</f>
        <v>-1.8089849618263545E-13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215.37468832969444</v>
      </c>
      <c r="EP170" s="59">
        <f t="shared" si="154"/>
        <v>208.60212063136419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19.530525355618288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19.530525355618288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-2.2737367544323206E-13</v>
      </c>
      <c r="FF170" s="17">
        <f>FE170*VLOOKUP('Données projet'!$B$16,Paramètres!$A$1:$I$89,3,0)*VLOOKUP('Données projet'!$B$16,Paramètres!$A$1:$I$89,5,0)</f>
        <v>-1.8444552551954985E-13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220.90439367987847</v>
      </c>
      <c r="FK170" s="59">
        <f t="shared" si="156"/>
        <v>213.66046131354858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19.913476833179441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19.913476833179441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1">
        <f t="shared" si="140"/>
        <v>35.443842312892279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67">
        <f t="shared" si="110"/>
        <v>592.42181202828749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6.8212102632969618E-13</v>
      </c>
      <c r="O171" s="13">
        <f>N171*VLOOKUP('Données projet'!$B$9,Paramètres!$A$1:$I$89,3,0)*VLOOKUP('Données projet'!$B$9,Paramètres!$A$1:$I$89,5,0)</f>
        <v>3.1923264032229784E-13</v>
      </c>
      <c r="P171" s="13">
        <f t="shared" si="141"/>
        <v>4.1896839804541558E-12</v>
      </c>
      <c r="Q171" s="20">
        <f t="shared" si="162"/>
        <v>7.8530297811856558E-12</v>
      </c>
      <c r="R171" s="59">
        <f t="shared" si="109"/>
        <v>293.33333333334116</v>
      </c>
      <c r="S171" s="59">
        <f ca="1">AVERAGE(OFFSET($R$3,0,0,'Données projet'!$E$9+1,1))-AVERAGE(OFFSET($H$3,0,0,'Données projet'!$E$9+1,1))</f>
        <v>196.72624686715807</v>
      </c>
      <c r="T171" s="59">
        <f t="shared" si="142"/>
        <v>37.315661698104691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54.572280222204803</v>
      </c>
      <c r="AA171" s="21">
        <f>EXP(-LN(2)/25)*AA170+(1-EXP(-LN(2)/25))/(LN(2)/25)*Calculateur!V171*Calculateur!X171*VLOOKUP('Données projet'!$B$9,Paramètres!$A$1:$I$89,3,0)*0.475*44/12</f>
        <v>13.211936639031851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67.784216861236658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-1.0000000000001137</v>
      </c>
      <c r="AJ171" s="13">
        <f>AI171*VLOOKUP('Données projet'!$B$10,Paramètres!$A$1:$I$89,3,0)*VLOOKUP('Données projet'!$B$10,Paramètres!$A$1:$I$89,5,0)</f>
        <v>-0.55900000000006356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325.42940802362739</v>
      </c>
      <c r="AO171" s="59">
        <f t="shared" si="144"/>
        <v>388.87198417542277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27.602187312570994</v>
      </c>
      <c r="AV171" s="21">
        <f>EXP(-LN(2)/25)*AV170+(1-EXP(-LN(2)/25))/(LN(2)/25)*Calculateur!AQ171*Calculateur!AS171*VLOOKUP('Données projet'!$B$10,Paramètres!$A$1:$I$89,3,0)*0.475*44/12</f>
        <v>4.5310708414030385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32.133258153974033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</v>
      </c>
      <c r="BE171" s="13">
        <f>BD171*VLOOKUP('Données projet'!$B$11,Paramètres!$A$1:$I$89,3,0)*VLOOKUP('Données projet'!$B$11,Paramètres!$A$1:$I$89,5,0)</f>
        <v>-0.624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162.87524915738271</v>
      </c>
      <c r="BJ171" s="59">
        <f t="shared" si="146"/>
        <v>249.37880137966658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17.610133357672364</v>
      </c>
      <c r="BQ171" s="21">
        <f>EXP(-LN(2)/25)*BQ170+(1-EXP(-LN(2)/25))/(LN(2)/25)*Calculateur!BL171*Calculateur!BN171*VLOOKUP('Données projet'!$B$11,Paramètres!$A$1:$I$89,3,0)*0.475*44/12</f>
        <v>3.1945438622798412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20.804677219952204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-1.4210854715202004E-13</v>
      </c>
      <c r="BZ171" s="13">
        <f>BY171*VLOOKUP('Données projet'!$B$12,Paramètres!$A$1:$I$89,3,0)*VLOOKUP('Données projet'!$B$12,Paramètres!$A$1:$I$89,5,0)</f>
        <v>-9.3109520094003535E-14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119.88584888779422</v>
      </c>
      <c r="CE171" s="59">
        <f t="shared" si="148"/>
        <v>162.97244314258774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5.9100265739754825</v>
      </c>
      <c r="CL171" s="21">
        <f>EXP(-LN(2)/25)*CL170+(1-EXP(-LN(2)/25))/(LN(2)/25)*Calculateur!CG171*Calculateur!CI171*VLOOKUP('Données projet'!$B$12,Paramètres!$A$1:$I$89,3,0)*0.475*44/12</f>
        <v>1.2331293621222421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7.1431559360977248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261.75887764015459</v>
      </c>
      <c r="CZ171" s="59">
        <f t="shared" si="150"/>
        <v>209.74127356028544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29.291232702834513</v>
      </c>
      <c r="DG171" s="21">
        <f>EXP(-LN(2)/25)*DG170+(1-EXP(-LN(2)/25))/(LN(2)/25)*Calculateur!DB171*Calculateur!DD171*VLOOKUP('Données projet'!$B$13,Paramètres!$A$1:$I$89,3,0)*0.475*44/12</f>
        <v>4.6360305979632956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33.927263300797811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-2.2737367544323206E-13</v>
      </c>
      <c r="DP171" s="17">
        <f>DO171*VLOOKUP('Données projet'!$B$14,Paramètres!$A$1:$I$89,3,0)*VLOOKUP('Données projet'!$B$14,Paramètres!$A$1:$I$89,5,0)</f>
        <v>-1.8089849618263545E-13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215.37468832969444</v>
      </c>
      <c r="DU171" s="59">
        <f t="shared" si="152"/>
        <v>208.60212063136419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19.147543665838825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19.147543665838825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-2.2737367544323206E-13</v>
      </c>
      <c r="EK171" s="17">
        <f>EJ171*VLOOKUP('Données projet'!$B$15,Paramètres!$A$1:$I$89,3,0)*VLOOKUP('Données projet'!$B$15,Paramètres!$A$1:$I$89,5,0)</f>
        <v>-1.8089849618263545E-13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215.37468832969444</v>
      </c>
      <c r="EP171" s="59">
        <f t="shared" si="154"/>
        <v>208.60212063136419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19.147543665838825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19.147543665838825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-2.2737367544323206E-13</v>
      </c>
      <c r="FF171" s="17">
        <f>FE171*VLOOKUP('Données projet'!$B$16,Paramètres!$A$1:$I$89,3,0)*VLOOKUP('Données projet'!$B$16,Paramètres!$A$1:$I$89,5,0)</f>
        <v>-1.8444552551954985E-13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220.90439367987847</v>
      </c>
      <c r="FK171" s="59">
        <f t="shared" si="156"/>
        <v>213.66046131354858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19.522985698502339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19.522985698502339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1">
        <f t="shared" si="140"/>
        <v>35.6301956076111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67">
        <f t="shared" si="110"/>
        <v>594.15921734992276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6.8212102632969618E-13</v>
      </c>
      <c r="O172" s="13">
        <f>N172*VLOOKUP('Données projet'!$B$9,Paramètres!$A$1:$I$89,3,0)*VLOOKUP('Données projet'!$B$9,Paramètres!$A$1:$I$89,5,0)</f>
        <v>3.1923264032229784E-13</v>
      </c>
      <c r="P172" s="13">
        <f t="shared" si="141"/>
        <v>4.1896839804541558E-12</v>
      </c>
      <c r="Q172" s="20">
        <f t="shared" si="162"/>
        <v>7.8530297811856558E-12</v>
      </c>
      <c r="R172" s="59">
        <f t="shared" si="109"/>
        <v>293.33333333334116</v>
      </c>
      <c r="S172" s="59">
        <f ca="1">AVERAGE(OFFSET($R$3,0,0,'Données projet'!$E$9+1,1))-AVERAGE(OFFSET($H$3,0,0,'Données projet'!$E$9+1,1))</f>
        <v>196.72624686715807</v>
      </c>
      <c r="T172" s="59">
        <f t="shared" si="142"/>
        <v>37.315661698104691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53.502151092851605</v>
      </c>
      <c r="AA172" s="21">
        <f>EXP(-LN(2)/25)*AA171+(1-EXP(-LN(2)/25))/(LN(2)/25)*Calculateur!V172*Calculateur!X172*VLOOKUP('Données projet'!$B$9,Paramètres!$A$1:$I$89,3,0)*0.475*44/12</f>
        <v>12.850655536851974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66.352806629703579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-1.0000000000001137</v>
      </c>
      <c r="AJ172" s="13">
        <f>AI172*VLOOKUP('Données projet'!$B$10,Paramètres!$A$1:$I$89,3,0)*VLOOKUP('Données projet'!$B$10,Paramètres!$A$1:$I$89,5,0)</f>
        <v>-0.55900000000006356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325.42940802362739</v>
      </c>
      <c r="AO172" s="59">
        <f t="shared" si="144"/>
        <v>388.87198417542277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27.060925255043351</v>
      </c>
      <c r="AV172" s="21">
        <f>EXP(-LN(2)/25)*AV171+(1-EXP(-LN(2)/25))/(LN(2)/25)*Calculateur!AQ172*Calculateur!AS172*VLOOKUP('Données projet'!$B$10,Paramètres!$A$1:$I$89,3,0)*0.475*44/12</f>
        <v>4.4071684709662131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31.468093726009563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</v>
      </c>
      <c r="BE172" s="13">
        <f>BD172*VLOOKUP('Données projet'!$B$11,Paramètres!$A$1:$I$89,3,0)*VLOOKUP('Données projet'!$B$11,Paramètres!$A$1:$I$89,5,0)</f>
        <v>-0.624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162.87524915738271</v>
      </c>
      <c r="BJ172" s="59">
        <f t="shared" si="146"/>
        <v>249.37880137966658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17.264809383649158</v>
      </c>
      <c r="BQ172" s="21">
        <f>EXP(-LN(2)/25)*BQ171+(1-EXP(-LN(2)/25))/(LN(2)/25)*Calculateur!BL172*Calculateur!BN172*VLOOKUP('Données projet'!$B$11,Paramètres!$A$1:$I$89,3,0)*0.475*44/12</f>
        <v>3.1071888923720383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20.371998276021195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-1.4210854715202004E-13</v>
      </c>
      <c r="BZ172" s="13">
        <f>BY172*VLOOKUP('Données projet'!$B$12,Paramètres!$A$1:$I$89,3,0)*VLOOKUP('Données projet'!$B$12,Paramètres!$A$1:$I$89,5,0)</f>
        <v>-9.3109520094003535E-14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119.88584888779422</v>
      </c>
      <c r="CE172" s="59">
        <f t="shared" si="148"/>
        <v>162.97244314258774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5.7941345576200929</v>
      </c>
      <c r="CL172" s="21">
        <f>EXP(-LN(2)/25)*CL171+(1-EXP(-LN(2)/25))/(LN(2)/25)*Calculateur!CG172*Calculateur!CI172*VLOOKUP('Données projet'!$B$12,Paramètres!$A$1:$I$89,3,0)*0.475*44/12</f>
        <v>1.1994093748675545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6.9935439324876469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261.75887764015459</v>
      </c>
      <c r="CZ172" s="59">
        <f t="shared" si="150"/>
        <v>209.74127356028544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28.716849495419766</v>
      </c>
      <c r="DG172" s="21">
        <f>EXP(-LN(2)/25)*DG171+(1-EXP(-LN(2)/25))/(LN(2)/25)*Calculateur!DB172*Calculateur!DD172*VLOOKUP('Données projet'!$B$13,Paramètres!$A$1:$I$89,3,0)*0.475*44/12</f>
        <v>4.5092580974637357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33.226107592883501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-2.2737367544323206E-13</v>
      </c>
      <c r="DP172" s="17">
        <f>DO172*VLOOKUP('Données projet'!$B$14,Paramètres!$A$1:$I$89,3,0)*VLOOKUP('Données projet'!$B$14,Paramètres!$A$1:$I$89,5,0)</f>
        <v>-1.8089849618263545E-13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215.37468832969444</v>
      </c>
      <c r="DU172" s="59">
        <f t="shared" si="152"/>
        <v>208.60212063136419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18.77207201340017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18.77207201340017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-2.2737367544323206E-13</v>
      </c>
      <c r="EK172" s="17">
        <f>EJ172*VLOOKUP('Données projet'!$B$15,Paramètres!$A$1:$I$89,3,0)*VLOOKUP('Données projet'!$B$15,Paramètres!$A$1:$I$89,5,0)</f>
        <v>-1.8089849618263545E-13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215.37468832969444</v>
      </c>
      <c r="EP172" s="59">
        <f t="shared" si="154"/>
        <v>208.60212063136419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18.77207201340017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18.77207201340017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-2.2737367544323206E-13</v>
      </c>
      <c r="FF172" s="17">
        <f>FE172*VLOOKUP('Données projet'!$B$16,Paramètres!$A$1:$I$89,3,0)*VLOOKUP('Données projet'!$B$16,Paramètres!$A$1:$I$89,5,0)</f>
        <v>-1.8444552551954985E-13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220.90439367987847</v>
      </c>
      <c r="FK172" s="59">
        <f t="shared" si="156"/>
        <v>213.66046131354858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19.14015185680018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19.14015185680018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1">
        <f t="shared" si="140"/>
        <v>35.816420593519382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67">
        <f t="shared" si="110"/>
        <v>595.89639920037973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6.8212102632969618E-13</v>
      </c>
      <c r="O173" s="13">
        <f>N173*VLOOKUP('Données projet'!$B$9,Paramètres!$A$1:$I$89,3,0)*VLOOKUP('Données projet'!$B$9,Paramètres!$A$1:$I$89,5,0)</f>
        <v>3.1923264032229784E-13</v>
      </c>
      <c r="P173" s="13">
        <f t="shared" si="141"/>
        <v>4.1896839804541558E-12</v>
      </c>
      <c r="Q173" s="20">
        <f t="shared" si="162"/>
        <v>7.8530297811856558E-12</v>
      </c>
      <c r="R173" s="59">
        <f t="shared" si="109"/>
        <v>293.33333333334116</v>
      </c>
      <c r="S173" s="59">
        <f ca="1">AVERAGE(OFFSET($R$3,0,0,'Données projet'!$E$9+1,1))-AVERAGE(OFFSET($H$3,0,0,'Données projet'!$E$9+1,1))</f>
        <v>196.72624686715807</v>
      </c>
      <c r="T173" s="59">
        <f t="shared" si="142"/>
        <v>37.315661698104691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52.453006543010702</v>
      </c>
      <c r="AA173" s="21">
        <f>EXP(-LN(2)/25)*AA172+(1-EXP(-LN(2)/25))/(LN(2)/25)*Calculateur!V173*Calculateur!X173*VLOOKUP('Données projet'!$B$9,Paramètres!$A$1:$I$89,3,0)*0.475*44/12</f>
        <v>12.499253685410153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64.952260228420855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-1.0000000000001137</v>
      </c>
      <c r="AJ173" s="13">
        <f>AI173*VLOOKUP('Données projet'!$B$10,Paramètres!$A$1:$I$89,3,0)*VLOOKUP('Données projet'!$B$10,Paramètres!$A$1:$I$89,5,0)</f>
        <v>-0.55900000000006356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325.42940802362739</v>
      </c>
      <c r="AO173" s="59">
        <f t="shared" si="144"/>
        <v>388.87198417542277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26.530277016326572</v>
      </c>
      <c r="AV173" s="21">
        <f>EXP(-LN(2)/25)*AV172+(1-EXP(-LN(2)/25))/(LN(2)/25)*Calculateur!AQ173*Calculateur!AS173*VLOOKUP('Données projet'!$B$10,Paramètres!$A$1:$I$89,3,0)*0.475*44/12</f>
        <v>4.2866542173647249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30.816931233691296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</v>
      </c>
      <c r="BE173" s="13">
        <f>BD173*VLOOKUP('Données projet'!$B$11,Paramètres!$A$1:$I$89,3,0)*VLOOKUP('Données projet'!$B$11,Paramètres!$A$1:$I$89,5,0)</f>
        <v>-0.624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162.87524915738271</v>
      </c>
      <c r="BJ173" s="59">
        <f t="shared" si="146"/>
        <v>249.37880137966658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16.926257002129724</v>
      </c>
      <c r="BQ173" s="21">
        <f>EXP(-LN(2)/25)*BQ172+(1-EXP(-LN(2)/25))/(LN(2)/25)*Calculateur!BL173*Calculateur!BN173*VLOOKUP('Données projet'!$B$11,Paramètres!$A$1:$I$89,3,0)*0.475*44/12</f>
        <v>3.0222226487101627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19.948479650839886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-1.4210854715202004E-13</v>
      </c>
      <c r="BZ173" s="13">
        <f>BY173*VLOOKUP('Données projet'!$B$12,Paramètres!$A$1:$I$89,3,0)*VLOOKUP('Données projet'!$B$12,Paramètres!$A$1:$I$89,5,0)</f>
        <v>-9.3109520094003535E-14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119.88584888779422</v>
      </c>
      <c r="CE173" s="59">
        <f t="shared" si="148"/>
        <v>162.97244314258774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5.6805151130182825</v>
      </c>
      <c r="CL173" s="21">
        <f>EXP(-LN(2)/25)*CL172+(1-EXP(-LN(2)/25))/(LN(2)/25)*Calculateur!CG173*Calculateur!CI173*VLOOKUP('Données projet'!$B$12,Paramètres!$A$1:$I$89,3,0)*0.475*44/12</f>
        <v>1.1666114624376034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6.8471265754558859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261.75887764015459</v>
      </c>
      <c r="CZ173" s="59">
        <f t="shared" si="150"/>
        <v>209.74127356028544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28.153729592363259</v>
      </c>
      <c r="DG173" s="21">
        <f>EXP(-LN(2)/25)*DG172+(1-EXP(-LN(2)/25))/(LN(2)/25)*Calculateur!DB173*Calculateur!DD173*VLOOKUP('Données projet'!$B$13,Paramètres!$A$1:$I$89,3,0)*0.475*44/12</f>
        <v>4.3859521976570122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32.539681790020268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-2.2737367544323206E-13</v>
      </c>
      <c r="DP173" s="17">
        <f>DO173*VLOOKUP('Données projet'!$B$14,Paramètres!$A$1:$I$89,3,0)*VLOOKUP('Données projet'!$B$14,Paramètres!$A$1:$I$89,5,0)</f>
        <v>-1.8089849618263545E-13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215.37468832969444</v>
      </c>
      <c r="DU173" s="59">
        <f t="shared" si="152"/>
        <v>208.60212063136419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18.403963131050745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18.403963131050745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-2.2737367544323206E-13</v>
      </c>
      <c r="EK173" s="17">
        <f>EJ173*VLOOKUP('Données projet'!$B$15,Paramètres!$A$1:$I$89,3,0)*VLOOKUP('Données projet'!$B$15,Paramètres!$A$1:$I$89,5,0)</f>
        <v>-1.8089849618263545E-13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215.37468832969444</v>
      </c>
      <c r="EP173" s="59">
        <f t="shared" si="154"/>
        <v>208.60212063136419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18.403963131050745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18.403963131050745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-2.2737367544323206E-13</v>
      </c>
      <c r="FF173" s="17">
        <f>FE173*VLOOKUP('Données projet'!$B$16,Paramètres!$A$1:$I$89,3,0)*VLOOKUP('Données projet'!$B$16,Paramètres!$A$1:$I$89,5,0)</f>
        <v>-1.8444552551954985E-13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220.90439367987847</v>
      </c>
      <c r="FK173" s="59">
        <f t="shared" si="156"/>
        <v>213.66046131354858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18.764825153228216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18.764825153228216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1">
        <f t="shared" si="140"/>
        <v>36.002518112950014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67">
        <f t="shared" si="110"/>
        <v>597.63335904672147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6.8212102632969618E-13</v>
      </c>
      <c r="O174" s="13">
        <f>N174*VLOOKUP('Données projet'!$B$9,Paramètres!$A$1:$I$89,3,0)*VLOOKUP('Données projet'!$B$9,Paramètres!$A$1:$I$89,5,0)</f>
        <v>3.1923264032229784E-13</v>
      </c>
      <c r="P174" s="13">
        <f t="shared" si="141"/>
        <v>4.1896839804541558E-12</v>
      </c>
      <c r="Q174" s="20">
        <f t="shared" si="162"/>
        <v>7.8530297811856558E-12</v>
      </c>
      <c r="R174" s="59">
        <f t="shared" si="109"/>
        <v>293.33333333334116</v>
      </c>
      <c r="S174" s="59">
        <f ca="1">AVERAGE(OFFSET($R$3,0,0,'Données projet'!$E$9+1,1))-AVERAGE(OFFSET($H$3,0,0,'Données projet'!$E$9+1,1))</f>
        <v>196.72624686715807</v>
      </c>
      <c r="T174" s="59">
        <f t="shared" si="142"/>
        <v>37.315661698104691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51.424435077877192</v>
      </c>
      <c r="AA174" s="21">
        <f>EXP(-LN(2)/25)*AA173+(1-EXP(-LN(2)/25))/(LN(2)/25)*Calculateur!V174*Calculateur!X174*VLOOKUP('Données projet'!$B$9,Paramètres!$A$1:$I$89,3,0)*0.475*44/12</f>
        <v>12.157460936075429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63.581896013952623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-1.0000000000001137</v>
      </c>
      <c r="AJ174" s="13">
        <f>AI174*VLOOKUP('Données projet'!$B$10,Paramètres!$A$1:$I$89,3,0)*VLOOKUP('Données projet'!$B$10,Paramètres!$A$1:$I$89,5,0)</f>
        <v>-0.55900000000006356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325.42940802362739</v>
      </c>
      <c r="AO174" s="59">
        <f t="shared" si="144"/>
        <v>388.87198417542277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26.010034465907562</v>
      </c>
      <c r="AV174" s="21">
        <f>EXP(-LN(2)/25)*AV173+(1-EXP(-LN(2)/25))/(LN(2)/25)*Calculateur!AQ174*Calculateur!AS174*VLOOKUP('Données projet'!$B$10,Paramètres!$A$1:$I$89,3,0)*0.475*44/12</f>
        <v>4.169435432365538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30.179469898273101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</v>
      </c>
      <c r="BE174" s="13">
        <f>BD174*VLOOKUP('Données projet'!$B$11,Paramètres!$A$1:$I$89,3,0)*VLOOKUP('Données projet'!$B$11,Paramètres!$A$1:$I$89,5,0)</f>
        <v>-0.624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162.87524915738271</v>
      </c>
      <c r="BJ174" s="59">
        <f t="shared" si="146"/>
        <v>249.37880137966658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16.594343426315319</v>
      </c>
      <c r="BQ174" s="21">
        <f>EXP(-LN(2)/25)*BQ173+(1-EXP(-LN(2)/25))/(LN(2)/25)*Calculateur!BL174*Calculateur!BN174*VLOOKUP('Données projet'!$B$11,Paramètres!$A$1:$I$89,3,0)*0.475*44/12</f>
        <v>2.9395798114494016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19.533923237764721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-1.4210854715202004E-13</v>
      </c>
      <c r="BZ174" s="13">
        <f>BY174*VLOOKUP('Données projet'!$B$12,Paramètres!$A$1:$I$89,3,0)*VLOOKUP('Données projet'!$B$12,Paramètres!$A$1:$I$89,5,0)</f>
        <v>-9.3109520094003535E-14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119.88584888779422</v>
      </c>
      <c r="CE174" s="59">
        <f t="shared" si="148"/>
        <v>162.97244314258774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5.5691236764240948</v>
      </c>
      <c r="CL174" s="21">
        <f>EXP(-LN(2)/25)*CL173+(1-EXP(-LN(2)/25))/(LN(2)/25)*Calculateur!CG174*Calculateur!CI174*VLOOKUP('Données projet'!$B$12,Paramètres!$A$1:$I$89,3,0)*0.475*44/12</f>
        <v>1.1347104106478167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6.7038340870719111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261.75887764015459</v>
      </c>
      <c r="CZ174" s="59">
        <f t="shared" si="150"/>
        <v>209.74127356028544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27.601652127136465</v>
      </c>
      <c r="DG174" s="21">
        <f>EXP(-LN(2)/25)*DG173+(1-EXP(-LN(2)/25))/(LN(2)/25)*Calculateur!DB174*Calculateur!DD174*VLOOKUP('Données projet'!$B$13,Paramètres!$A$1:$I$89,3,0)*0.475*44/12</f>
        <v>4.2660181041648793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31.867670231301343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-2.2737367544323206E-13</v>
      </c>
      <c r="DP174" s="17">
        <f>DO174*VLOOKUP('Données projet'!$B$14,Paramètres!$A$1:$I$89,3,0)*VLOOKUP('Données projet'!$B$14,Paramètres!$A$1:$I$89,5,0)</f>
        <v>-1.8089849618263545E-13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215.37468832969444</v>
      </c>
      <c r="DU174" s="59">
        <f t="shared" si="152"/>
        <v>208.60212063136419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18.043072639359941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18.043072639359941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-2.2737367544323206E-13</v>
      </c>
      <c r="EK174" s="17">
        <f>EJ174*VLOOKUP('Données projet'!$B$15,Paramètres!$A$1:$I$89,3,0)*VLOOKUP('Données projet'!$B$15,Paramètres!$A$1:$I$89,5,0)</f>
        <v>-1.8089849618263545E-13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215.37468832969444</v>
      </c>
      <c r="EP174" s="59">
        <f t="shared" si="154"/>
        <v>208.60212063136419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18.043072639359941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18.043072639359941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-2.2737367544323206E-13</v>
      </c>
      <c r="FF174" s="17">
        <f>FE174*VLOOKUP('Données projet'!$B$16,Paramètres!$A$1:$I$89,3,0)*VLOOKUP('Données projet'!$B$16,Paramètres!$A$1:$I$89,5,0)</f>
        <v>-1.8444552551954985E-13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220.90439367987847</v>
      </c>
      <c r="FK174" s="59">
        <f t="shared" si="156"/>
        <v>213.66046131354858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18.396858377386614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18.396858377386614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1">
        <f t="shared" si="140"/>
        <v>36.18848899781392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67">
        <f t="shared" si="110"/>
        <v>599.37009833785942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6.8212102632969618E-13</v>
      </c>
      <c r="O175" s="13">
        <f>N175*VLOOKUP('Données projet'!$B$9,Paramètres!$A$1:$I$89,3,0)*VLOOKUP('Données projet'!$B$9,Paramètres!$A$1:$I$89,5,0)</f>
        <v>3.1923264032229784E-13</v>
      </c>
      <c r="P175" s="13">
        <f t="shared" si="141"/>
        <v>4.1896839804541558E-12</v>
      </c>
      <c r="Q175" s="20">
        <f t="shared" si="162"/>
        <v>7.8530297811856558E-12</v>
      </c>
      <c r="R175" s="59">
        <f t="shared" si="109"/>
        <v>293.33333333334116</v>
      </c>
      <c r="S175" s="59">
        <f ca="1">AVERAGE(OFFSET($R$3,0,0,'Données projet'!$E$9+1,1))-AVERAGE(OFFSET($H$3,0,0,'Données projet'!$E$9+1,1))</f>
        <v>196.72624686715807</v>
      </c>
      <c r="T175" s="59">
        <f t="shared" si="142"/>
        <v>37.315661698104691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50.416033271808303</v>
      </c>
      <c r="AA175" s="21">
        <f>EXP(-LN(2)/25)*AA174+(1-EXP(-LN(2)/25))/(LN(2)/25)*Calculateur!V175*Calculateur!X175*VLOOKUP('Données projet'!$B$9,Paramètres!$A$1:$I$89,3,0)*0.475*44/12</f>
        <v>11.825014527445362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62.241047799253664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-1.0000000000001137</v>
      </c>
      <c r="AJ175" s="13">
        <f>AI175*VLOOKUP('Données projet'!$B$10,Paramètres!$A$1:$I$89,3,0)*VLOOKUP('Données projet'!$B$10,Paramètres!$A$1:$I$89,5,0)</f>
        <v>-0.55900000000006356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325.42940802362739</v>
      </c>
      <c r="AO175" s="59">
        <f t="shared" si="144"/>
        <v>388.87198417542277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25.499993554585643</v>
      </c>
      <c r="AV175" s="21">
        <f>EXP(-LN(2)/25)*AV174+(1-EXP(-LN(2)/25))/(LN(2)/25)*Calculateur!AQ175*Calculateur!AS175*VLOOKUP('Données projet'!$B$10,Paramètres!$A$1:$I$89,3,0)*0.475*44/12</f>
        <v>4.0554220012064226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29.555415555792067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</v>
      </c>
      <c r="BE175" s="13">
        <f>BD175*VLOOKUP('Données projet'!$B$11,Paramètres!$A$1:$I$89,3,0)*VLOOKUP('Données projet'!$B$11,Paramètres!$A$1:$I$89,5,0)</f>
        <v>-0.624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162.87524915738271</v>
      </c>
      <c r="BJ175" s="59">
        <f t="shared" si="146"/>
        <v>249.37880137966658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16.268938473275345</v>
      </c>
      <c r="BQ175" s="21">
        <f>EXP(-LN(2)/25)*BQ174+(1-EXP(-LN(2)/25))/(LN(2)/25)*Calculateur!BL175*Calculateur!BN175*VLOOKUP('Données projet'!$B$11,Paramètres!$A$1:$I$89,3,0)*0.475*44/12</f>
        <v>2.8591968469195339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19.128135320194879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-1.4210854715202004E-13</v>
      </c>
      <c r="BZ175" s="13">
        <f>BY175*VLOOKUP('Données projet'!$B$12,Paramètres!$A$1:$I$89,3,0)*VLOOKUP('Données projet'!$B$12,Paramètres!$A$1:$I$89,5,0)</f>
        <v>-9.3109520094003535E-14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119.88584888779422</v>
      </c>
      <c r="CE175" s="59">
        <f t="shared" si="148"/>
        <v>162.97244314258774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5.4599165579594517</v>
      </c>
      <c r="CL175" s="21">
        <f>EXP(-LN(2)/25)*CL174+(1-EXP(-LN(2)/25))/(LN(2)/25)*Calculateur!CG175*Calculateur!CI175*VLOOKUP('Données projet'!$B$12,Paramètres!$A$1:$I$89,3,0)*0.475*44/12</f>
        <v>1.1036816947968251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6.5635982527562771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261.75887764015459</v>
      </c>
      <c r="CZ175" s="59">
        <f t="shared" si="150"/>
        <v>209.74127356028544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27.060400564268765</v>
      </c>
      <c r="DG175" s="21">
        <f>EXP(-LN(2)/25)*DG174+(1-EXP(-LN(2)/25))/(LN(2)/25)*Calculateur!DB175*Calculateur!DD175*VLOOKUP('Données projet'!$B$13,Paramètres!$A$1:$I$89,3,0)*0.475*44/12</f>
        <v>4.1493636147663491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31.209764179035112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-2.2737367544323206E-13</v>
      </c>
      <c r="DP175" s="17">
        <f>DO175*VLOOKUP('Données projet'!$B$14,Paramètres!$A$1:$I$89,3,0)*VLOOKUP('Données projet'!$B$14,Paramètres!$A$1:$I$89,5,0)</f>
        <v>-1.8089849618263545E-13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215.37468832969444</v>
      </c>
      <c r="DU175" s="59">
        <f t="shared" si="152"/>
        <v>208.60212063136419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17.68925899008973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17.68925899008973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-2.2737367544323206E-13</v>
      </c>
      <c r="EK175" s="17">
        <f>EJ175*VLOOKUP('Données projet'!$B$15,Paramètres!$A$1:$I$89,3,0)*VLOOKUP('Données projet'!$B$15,Paramètres!$A$1:$I$89,5,0)</f>
        <v>-1.8089849618263545E-13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215.37468832969444</v>
      </c>
      <c r="EP175" s="59">
        <f t="shared" si="154"/>
        <v>208.60212063136419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17.68925899008973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17.68925899008973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-2.2737367544323206E-13</v>
      </c>
      <c r="FF175" s="17">
        <f>FE175*VLOOKUP('Données projet'!$B$16,Paramètres!$A$1:$I$89,3,0)*VLOOKUP('Données projet'!$B$16,Paramètres!$A$1:$I$89,5,0)</f>
        <v>-1.8444552551954985E-13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220.90439367987847</v>
      </c>
      <c r="FK175" s="59">
        <f t="shared" si="156"/>
        <v>213.66046131354858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18.036107205581693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18.036107205581693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1">
        <f t="shared" si="140"/>
        <v>36.374334069789043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67">
        <f t="shared" si="110"/>
        <v>601.10661850488282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6.8212102632969618E-13</v>
      </c>
      <c r="O176" s="13">
        <f>N176*VLOOKUP('Données projet'!$B$9,Paramètres!$A$1:$I$89,3,0)*VLOOKUP('Données projet'!$B$9,Paramètres!$A$1:$I$89,5,0)</f>
        <v>3.1923264032229784E-13</v>
      </c>
      <c r="P176" s="13">
        <f t="shared" si="141"/>
        <v>4.1896839804541558E-12</v>
      </c>
      <c r="Q176" s="20">
        <f t="shared" si="162"/>
        <v>7.8530297811856558E-12</v>
      </c>
      <c r="R176" s="59">
        <f t="shared" si="109"/>
        <v>293.33333333334116</v>
      </c>
      <c r="S176" s="59">
        <f ca="1">AVERAGE(OFFSET($R$3,0,0,'Données projet'!$E$9+1,1))-AVERAGE(OFFSET($H$3,0,0,'Données projet'!$E$9+1,1))</f>
        <v>196.72624686715807</v>
      </c>
      <c r="T176" s="59">
        <f t="shared" si="142"/>
        <v>37.315661698104691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49.427405610092052</v>
      </c>
      <c r="AA176" s="21">
        <f>EXP(-LN(2)/25)*AA175+(1-EXP(-LN(2)/25))/(LN(2)/25)*Calculateur!V176*Calculateur!X176*VLOOKUP('Données projet'!$B$9,Paramètres!$A$1:$I$89,3,0)*0.475*44/12</f>
        <v>11.50165888334188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60.929064493433934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-1.0000000000001137</v>
      </c>
      <c r="AJ176" s="13">
        <f>AI176*VLOOKUP('Données projet'!$B$10,Paramètres!$A$1:$I$89,3,0)*VLOOKUP('Données projet'!$B$10,Paramètres!$A$1:$I$89,5,0)</f>
        <v>-0.55900000000006356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325.42940802362739</v>
      </c>
      <c r="AO176" s="59">
        <f t="shared" si="144"/>
        <v>388.87198417542277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24.999954234440509</v>
      </c>
      <c r="AV176" s="21">
        <f>EXP(-LN(2)/25)*AV175+(1-EXP(-LN(2)/25))/(LN(2)/25)*Calculateur!AQ176*Calculateur!AS176*VLOOKUP('Données projet'!$B$10,Paramètres!$A$1:$I$89,3,0)*0.475*44/12</f>
        <v>3.9445262733180586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28.944480507758566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</v>
      </c>
      <c r="BE176" s="13">
        <f>BD176*VLOOKUP('Données projet'!$B$11,Paramètres!$A$1:$I$89,3,0)*VLOOKUP('Données projet'!$B$11,Paramètres!$A$1:$I$89,5,0)</f>
        <v>-0.624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162.87524915738271</v>
      </c>
      <c r="BJ176" s="59">
        <f t="shared" si="146"/>
        <v>249.37880137966658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15.949914512887062</v>
      </c>
      <c r="BQ176" s="21">
        <f>EXP(-LN(2)/25)*BQ175+(1-EXP(-LN(2)/25))/(LN(2)/25)*Calculateur!BL176*Calculateur!BN176*VLOOKUP('Données projet'!$B$11,Paramètres!$A$1:$I$89,3,0)*0.475*44/12</f>
        <v>2.781011958781892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18.730926471668955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-1.4210854715202004E-13</v>
      </c>
      <c r="BZ176" s="13">
        <f>BY176*VLOOKUP('Données projet'!$B$12,Paramètres!$A$1:$I$89,3,0)*VLOOKUP('Données projet'!$B$12,Paramètres!$A$1:$I$89,5,0)</f>
        <v>-9.3109520094003535E-14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119.88584888779422</v>
      </c>
      <c r="CE176" s="59">
        <f t="shared" si="148"/>
        <v>162.97244314258774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5.352850924478135</v>
      </c>
      <c r="CL176" s="21">
        <f>EXP(-LN(2)/25)*CL175+(1-EXP(-LN(2)/25))/(LN(2)/25)*Calculateur!CG176*Calculateur!CI176*VLOOKUP('Données projet'!$B$12,Paramètres!$A$1:$I$89,3,0)*0.475*44/12</f>
        <v>1.0735014608125082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6.4263523852906435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261.75887764015459</v>
      </c>
      <c r="CZ176" s="59">
        <f t="shared" si="150"/>
        <v>209.74127356028544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26.529762614418043</v>
      </c>
      <c r="DG176" s="21">
        <f>EXP(-LN(2)/25)*DG175+(1-EXP(-LN(2)/25))/(LN(2)/25)*Calculateur!DB176*Calculateur!DD176*VLOOKUP('Données projet'!$B$13,Paramètres!$A$1:$I$89,3,0)*0.475*44/12</f>
        <v>4.0358990485150139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30.565661662933056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-2.2737367544323206E-13</v>
      </c>
      <c r="DP176" s="17">
        <f>DO176*VLOOKUP('Données projet'!$B$14,Paramètres!$A$1:$I$89,3,0)*VLOOKUP('Données projet'!$B$14,Paramètres!$A$1:$I$89,5,0)</f>
        <v>-1.8089849618263545E-13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215.37468832969444</v>
      </c>
      <c r="DU176" s="59">
        <f t="shared" si="152"/>
        <v>208.60212063136419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17.342383410676693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17.342383410676693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-2.2737367544323206E-13</v>
      </c>
      <c r="EK176" s="17">
        <f>EJ176*VLOOKUP('Données projet'!$B$15,Paramètres!$A$1:$I$89,3,0)*VLOOKUP('Données projet'!$B$15,Paramètres!$A$1:$I$89,5,0)</f>
        <v>-1.8089849618263545E-13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215.37468832969444</v>
      </c>
      <c r="EP176" s="59">
        <f t="shared" si="154"/>
        <v>208.60212063136419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17.342383410676693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17.342383410676693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-2.2737367544323206E-13</v>
      </c>
      <c r="FF176" s="17">
        <f>FE176*VLOOKUP('Données projet'!$B$16,Paramètres!$A$1:$I$89,3,0)*VLOOKUP('Données projet'!$B$16,Paramètres!$A$1:$I$89,5,0)</f>
        <v>-1.8444552551954985E-13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220.90439367987847</v>
      </c>
      <c r="FK176" s="59">
        <f t="shared" si="156"/>
        <v>213.66046131354858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17.682430144219378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17.682430144219378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1">
        <f t="shared" si="140"/>
        <v>36.560054140504519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67">
        <f t="shared" si="110"/>
        <v>602.84292096137892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6.8212102632969618E-13</v>
      </c>
      <c r="O177" s="13">
        <f>N177*VLOOKUP('Données projet'!$B$9,Paramètres!$A$1:$I$89,3,0)*VLOOKUP('Données projet'!$B$9,Paramètres!$A$1:$I$89,5,0)</f>
        <v>3.1923264032229784E-13</v>
      </c>
      <c r="P177" s="13">
        <f t="shared" si="141"/>
        <v>4.1896839804541558E-12</v>
      </c>
      <c r="Q177" s="20">
        <f t="shared" si="162"/>
        <v>7.8530297811856558E-12</v>
      </c>
      <c r="R177" s="59">
        <f t="shared" si="109"/>
        <v>293.33333333334116</v>
      </c>
      <c r="S177" s="59">
        <f ca="1">AVERAGE(OFFSET($R$3,0,0,'Données projet'!$E$9+1,1))-AVERAGE(OFFSET($H$3,0,0,'Données projet'!$E$9+1,1))</f>
        <v>196.72624686715807</v>
      </c>
      <c r="T177" s="59">
        <f t="shared" si="142"/>
        <v>37.315661698104691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48.458164333818729</v>
      </c>
      <c r="AA177" s="21">
        <f>EXP(-LN(2)/25)*AA176+(1-EXP(-LN(2)/25))/(LN(2)/25)*Calculateur!V177*Calculateur!X177*VLOOKUP('Données projet'!$B$9,Paramètres!$A$1:$I$89,3,0)*0.475*44/12</f>
        <v>11.187145416330944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59.645309750149671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-1.0000000000001137</v>
      </c>
      <c r="AJ177" s="13">
        <f>AI177*VLOOKUP('Données projet'!$B$10,Paramètres!$A$1:$I$89,3,0)*VLOOKUP('Données projet'!$B$10,Paramètres!$A$1:$I$89,5,0)</f>
        <v>-0.55900000000006356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325.42940802362739</v>
      </c>
      <c r="AO177" s="59">
        <f t="shared" si="144"/>
        <v>388.87198417542277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24.509720380369551</v>
      </c>
      <c r="AV177" s="21">
        <f>EXP(-LN(2)/25)*AV176+(1-EXP(-LN(2)/25))/(LN(2)/25)*Calculateur!AQ177*Calculateur!AS177*VLOOKUP('Données projet'!$B$10,Paramètres!$A$1:$I$89,3,0)*0.475*44/12</f>
        <v>3.8366629949405548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28.346383375310104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</v>
      </c>
      <c r="BE177" s="13">
        <f>BD177*VLOOKUP('Données projet'!$B$11,Paramètres!$A$1:$I$89,3,0)*VLOOKUP('Données projet'!$B$11,Paramètres!$A$1:$I$89,5,0)</f>
        <v>-0.624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162.87524915738271</v>
      </c>
      <c r="BJ177" s="59">
        <f t="shared" si="146"/>
        <v>249.37880137966658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15.637146417776592</v>
      </c>
      <c r="BQ177" s="21">
        <f>EXP(-LN(2)/25)*BQ176+(1-EXP(-LN(2)/25))/(LN(2)/25)*Calculateur!BL177*Calculateur!BN177*VLOOKUP('Données projet'!$B$11,Paramètres!$A$1:$I$89,3,0)*0.475*44/12</f>
        <v>2.7049650405219383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18.342111458298529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-1.4210854715202004E-13</v>
      </c>
      <c r="BZ177" s="13">
        <f>BY177*VLOOKUP('Données projet'!$B$12,Paramètres!$A$1:$I$89,3,0)*VLOOKUP('Données projet'!$B$12,Paramètres!$A$1:$I$89,5,0)</f>
        <v>-9.3109520094003535E-14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119.88584888779422</v>
      </c>
      <c r="CE177" s="59">
        <f t="shared" si="148"/>
        <v>162.97244314258774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5.2478847827657988</v>
      </c>
      <c r="CL177" s="21">
        <f>EXP(-LN(2)/25)*CL176+(1-EXP(-LN(2)/25))/(LN(2)/25)*Calculateur!CG177*Calculateur!CI177*VLOOKUP('Données projet'!$B$12,Paramètres!$A$1:$I$89,3,0)*0.475*44/12</f>
        <v>1.0441465069136018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6.2920312896794002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261.75887764015459</v>
      </c>
      <c r="CZ177" s="59">
        <f t="shared" si="150"/>
        <v>209.74127356028544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26.009530151106706</v>
      </c>
      <c r="DG177" s="21">
        <f>EXP(-LN(2)/25)*DG176+(1-EXP(-LN(2)/25))/(LN(2)/25)*Calculateur!DB177*Calculateur!DD177*VLOOKUP('Données projet'!$B$13,Paramètres!$A$1:$I$89,3,0)*0.475*44/12</f>
        <v>3.9255371767946641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29.935067327901368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-2.2737367544323206E-13</v>
      </c>
      <c r="DP177" s="17">
        <f>DO177*VLOOKUP('Données projet'!$B$14,Paramètres!$A$1:$I$89,3,0)*VLOOKUP('Données projet'!$B$14,Paramètres!$A$1:$I$89,5,0)</f>
        <v>-1.8089849618263545E-13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215.37468832969444</v>
      </c>
      <c r="DU177" s="59">
        <f t="shared" si="152"/>
        <v>208.60212063136419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17.002309849802732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17.002309849802732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-2.2737367544323206E-13</v>
      </c>
      <c r="EK177" s="17">
        <f>EJ177*VLOOKUP('Données projet'!$B$15,Paramètres!$A$1:$I$89,3,0)*VLOOKUP('Données projet'!$B$15,Paramètres!$A$1:$I$89,5,0)</f>
        <v>-1.8089849618263545E-13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215.37468832969444</v>
      </c>
      <c r="EP177" s="59">
        <f t="shared" si="154"/>
        <v>208.60212063136419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17.002309849802732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17.002309849802732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-2.2737367544323206E-13</v>
      </c>
      <c r="FF177" s="17">
        <f>FE177*VLOOKUP('Données projet'!$B$16,Paramètres!$A$1:$I$89,3,0)*VLOOKUP('Données projet'!$B$16,Paramètres!$A$1:$I$89,5,0)</f>
        <v>-1.8444552551954985E-13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220.90439367987847</v>
      </c>
      <c r="FK177" s="59">
        <f t="shared" si="156"/>
        <v>213.66046131354858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17.335688474308672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17.335688474308672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1">
        <f t="shared" si="140"/>
        <v>36.745650011720521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67">
        <f t="shared" si="110"/>
        <v>604.57900710374679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6.8212102632969618E-13</v>
      </c>
      <c r="O178" s="13">
        <f>N178*VLOOKUP('Données projet'!$B$9,Paramètres!$A$1:$I$89,3,0)*VLOOKUP('Données projet'!$B$9,Paramètres!$A$1:$I$89,5,0)</f>
        <v>3.1923264032229784E-13</v>
      </c>
      <c r="P178" s="13">
        <f t="shared" si="141"/>
        <v>4.1896839804541558E-12</v>
      </c>
      <c r="Q178" s="20">
        <f t="shared" si="162"/>
        <v>7.8530297811856558E-12</v>
      </c>
      <c r="R178" s="59">
        <f t="shared" si="109"/>
        <v>293.33333333334116</v>
      </c>
      <c r="S178" s="59">
        <f ca="1">AVERAGE(OFFSET($R$3,0,0,'Données projet'!$E$9+1,1))-AVERAGE(OFFSET($H$3,0,0,'Données projet'!$E$9+1,1))</f>
        <v>196.72624686715807</v>
      </c>
      <c r="T178" s="59">
        <f t="shared" si="142"/>
        <v>37.315661698104691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47.507929287794319</v>
      </c>
      <c r="AA178" s="21">
        <f>EXP(-LN(2)/25)*AA177+(1-EXP(-LN(2)/25))/(LN(2)/25)*Calculateur!V178*Calculateur!X178*VLOOKUP('Données projet'!$B$9,Paramètres!$A$1:$I$89,3,0)*0.475*44/12</f>
        <v>10.881232336614966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58.389161624409283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-1.0000000000001137</v>
      </c>
      <c r="AJ178" s="13">
        <f>AI178*VLOOKUP('Données projet'!$B$10,Paramètres!$A$1:$I$89,3,0)*VLOOKUP('Données projet'!$B$10,Paramètres!$A$1:$I$89,5,0)</f>
        <v>-0.55900000000006356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325.42940802362739</v>
      </c>
      <c r="AO178" s="59">
        <f t="shared" si="144"/>
        <v>388.87198417542277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24.029099713163799</v>
      </c>
      <c r="AV178" s="21">
        <f>EXP(-LN(2)/25)*AV177+(1-EXP(-LN(2)/25))/(LN(2)/25)*Calculateur!AQ178*Calculateur!AS178*VLOOKUP('Données projet'!$B$10,Paramètres!$A$1:$I$89,3,0)*0.475*44/12</f>
        <v>3.7317492435825672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27.760848956746365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</v>
      </c>
      <c r="BE178" s="13">
        <f>BD178*VLOOKUP('Données projet'!$B$11,Paramètres!$A$1:$I$89,3,0)*VLOOKUP('Données projet'!$B$11,Paramètres!$A$1:$I$89,5,0)</f>
        <v>-0.624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162.87524915738271</v>
      </c>
      <c r="BJ178" s="59">
        <f t="shared" si="146"/>
        <v>249.37880137966658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15.330511514241536</v>
      </c>
      <c r="BQ178" s="21">
        <f>EXP(-LN(2)/25)*BQ177+(1-EXP(-LN(2)/25))/(LN(2)/25)*Calculateur!BL178*Calculateur!BN178*VLOOKUP('Données projet'!$B$11,Paramètres!$A$1:$I$89,3,0)*0.475*44/12</f>
        <v>2.6309976292409365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17.961509143482473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-1.4210854715202004E-13</v>
      </c>
      <c r="BZ178" s="13">
        <f>BY178*VLOOKUP('Données projet'!$B$12,Paramètres!$A$1:$I$89,3,0)*VLOOKUP('Données projet'!$B$12,Paramètres!$A$1:$I$89,5,0)</f>
        <v>-9.3109520094003535E-14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119.88584888779422</v>
      </c>
      <c r="CE178" s="59">
        <f t="shared" si="148"/>
        <v>162.97244314258774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5.1449769630694169</v>
      </c>
      <c r="CL178" s="21">
        <f>EXP(-LN(2)/25)*CL177+(1-EXP(-LN(2)/25))/(LN(2)/25)*Calculateur!CG178*Calculateur!CI178*VLOOKUP('Données projet'!$B$12,Paramètres!$A$1:$I$89,3,0)*0.475*44/12</f>
        <v>1.015594265772771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6.1605712288421879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261.75887764015459</v>
      </c>
      <c r="CZ178" s="59">
        <f t="shared" si="150"/>
        <v>209.74127356028544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25.499499129090431</v>
      </c>
      <c r="DG178" s="21">
        <f>EXP(-LN(2)/25)*DG177+(1-EXP(-LN(2)/25))/(LN(2)/25)*Calculateur!DB178*Calculateur!DD178*VLOOKUP('Données projet'!$B$13,Paramètres!$A$1:$I$89,3,0)*0.475*44/12</f>
        <v>3.8181931562601856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29.317692285350617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-2.2737367544323206E-13</v>
      </c>
      <c r="DP178" s="17">
        <f>DO178*VLOOKUP('Données projet'!$B$14,Paramètres!$A$1:$I$89,3,0)*VLOOKUP('Données projet'!$B$14,Paramètres!$A$1:$I$89,5,0)</f>
        <v>-1.8089849618263545E-13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215.37468832969444</v>
      </c>
      <c r="DU178" s="59">
        <f t="shared" si="152"/>
        <v>208.60212063136419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16.668904924033118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16.668904924033118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-2.2737367544323206E-13</v>
      </c>
      <c r="EK178" s="17">
        <f>EJ178*VLOOKUP('Données projet'!$B$15,Paramètres!$A$1:$I$89,3,0)*VLOOKUP('Données projet'!$B$15,Paramètres!$A$1:$I$89,5,0)</f>
        <v>-1.8089849618263545E-13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215.37468832969444</v>
      </c>
      <c r="EP178" s="59">
        <f t="shared" si="154"/>
        <v>208.60212063136419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16.668904924033118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16.668904924033118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-2.2737367544323206E-13</v>
      </c>
      <c r="FF178" s="17">
        <f>FE178*VLOOKUP('Données projet'!$B$16,Paramètres!$A$1:$I$89,3,0)*VLOOKUP('Données projet'!$B$16,Paramètres!$A$1:$I$89,5,0)</f>
        <v>-1.8444552551954985E-13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220.90439367987847</v>
      </c>
      <c r="FK178" s="59">
        <f t="shared" si="156"/>
        <v>213.66046131354858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16.995746197053379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16.995746197053379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1">
        <f t="shared" si="140"/>
        <v>36.931122475504125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67">
        <f t="shared" si="110"/>
        <v>606.31487831150343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6.8212102632969618E-13</v>
      </c>
      <c r="O179" s="13">
        <f>N179*VLOOKUP('Données projet'!$B$9,Paramètres!$A$1:$I$89,3,0)*VLOOKUP('Données projet'!$B$9,Paramètres!$A$1:$I$89,5,0)</f>
        <v>3.1923264032229784E-13</v>
      </c>
      <c r="P179" s="13">
        <f t="shared" si="141"/>
        <v>4.1896839804541558E-12</v>
      </c>
      <c r="Q179" s="20">
        <f t="shared" si="162"/>
        <v>7.8530297811856558E-12</v>
      </c>
      <c r="R179" s="59">
        <f t="shared" si="109"/>
        <v>293.33333333334116</v>
      </c>
      <c r="S179" s="59">
        <f ca="1">AVERAGE(OFFSET($R$3,0,0,'Données projet'!$E$9+1,1))-AVERAGE(OFFSET($H$3,0,0,'Données projet'!$E$9+1,1))</f>
        <v>196.72624686715807</v>
      </c>
      <c r="T179" s="59">
        <f t="shared" si="142"/>
        <v>37.315661698104691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46.576327771436297</v>
      </c>
      <c r="AA179" s="21">
        <f>EXP(-LN(2)/25)*AA178+(1-EXP(-LN(2)/25))/(LN(2)/25)*Calculateur!V179*Calculateur!X179*VLOOKUP('Données projet'!$B$9,Paramètres!$A$1:$I$89,3,0)*0.475*44/12</f>
        <v>10.583684466151091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57.160012237587388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-1.0000000000001137</v>
      </c>
      <c r="AJ179" s="13">
        <f>AI179*VLOOKUP('Données projet'!$B$10,Paramètres!$A$1:$I$89,3,0)*VLOOKUP('Données projet'!$B$10,Paramètres!$A$1:$I$89,5,0)</f>
        <v>-0.55900000000006356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325.42940802362739</v>
      </c>
      <c r="AO179" s="59">
        <f t="shared" si="144"/>
        <v>388.87198417542277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23.557903724092291</v>
      </c>
      <c r="AV179" s="21">
        <f>EXP(-LN(2)/25)*AV178+(1-EXP(-LN(2)/25))/(LN(2)/25)*Calculateur!AQ179*Calculateur!AS179*VLOOKUP('Données projet'!$B$10,Paramètres!$A$1:$I$89,3,0)*0.475*44/12</f>
        <v>3.6297043642726381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27.187608088364929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</v>
      </c>
      <c r="BE179" s="13">
        <f>BD179*VLOOKUP('Données projet'!$B$11,Paramètres!$A$1:$I$89,3,0)*VLOOKUP('Données projet'!$B$11,Paramètres!$A$1:$I$89,5,0)</f>
        <v>-0.624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162.87524915738271</v>
      </c>
      <c r="BJ179" s="59">
        <f t="shared" si="146"/>
        <v>249.37880137966658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15.029889534135979</v>
      </c>
      <c r="BQ179" s="21">
        <f>EXP(-LN(2)/25)*BQ178+(1-EXP(-LN(2)/25))/(LN(2)/25)*Calculateur!BL179*Calculateur!BN179*VLOOKUP('Données projet'!$B$11,Paramètres!$A$1:$I$89,3,0)*0.475*44/12</f>
        <v>2.5590528607111911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17.588942394847169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-1.4210854715202004E-13</v>
      </c>
      <c r="BZ179" s="13">
        <f>BY179*VLOOKUP('Données projet'!$B$12,Paramètres!$A$1:$I$89,3,0)*VLOOKUP('Données projet'!$B$12,Paramètres!$A$1:$I$89,5,0)</f>
        <v>-9.3109520094003535E-14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119.88584888779422</v>
      </c>
      <c r="CE179" s="59">
        <f t="shared" si="148"/>
        <v>162.97244314258774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5.0440871029497085</v>
      </c>
      <c r="CL179" s="21">
        <f>EXP(-LN(2)/25)*CL178+(1-EXP(-LN(2)/25))/(LN(2)/25)*Calculateur!CG179*Calculateur!CI179*VLOOKUP('Données projet'!$B$12,Paramètres!$A$1:$I$89,3,0)*0.475*44/12</f>
        <v>0.98782278716743332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6.0319098901171415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261.75887764015459</v>
      </c>
      <c r="CZ179" s="59">
        <f t="shared" si="150"/>
        <v>209.74127356028544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24.999469504327688</v>
      </c>
      <c r="DG179" s="21">
        <f>EXP(-LN(2)/25)*DG178+(1-EXP(-LN(2)/25))/(LN(2)/25)*Calculateur!DB179*Calculateur!DD179*VLOOKUP('Données projet'!$B$13,Paramètres!$A$1:$I$89,3,0)*0.475*44/12</f>
        <v>3.7137844636121993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28.713253967939888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-2.2737367544323206E-13</v>
      </c>
      <c r="DP179" s="17">
        <f>DO179*VLOOKUP('Données projet'!$B$14,Paramètres!$A$1:$I$89,3,0)*VLOOKUP('Données projet'!$B$14,Paramètres!$A$1:$I$89,5,0)</f>
        <v>-1.8089849618263545E-13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215.37468832969444</v>
      </c>
      <c r="DU179" s="59">
        <f t="shared" si="152"/>
        <v>208.60212063136419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16.34203786550092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16.34203786550092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-2.2737367544323206E-13</v>
      </c>
      <c r="EK179" s="17">
        <f>EJ179*VLOOKUP('Données projet'!$B$15,Paramètres!$A$1:$I$89,3,0)*VLOOKUP('Données projet'!$B$15,Paramètres!$A$1:$I$89,5,0)</f>
        <v>-1.8089849618263545E-13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215.37468832969444</v>
      </c>
      <c r="EP179" s="59">
        <f t="shared" si="154"/>
        <v>208.60212063136419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16.34203786550092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16.34203786550092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-2.2737367544323206E-13</v>
      </c>
      <c r="FF179" s="17">
        <f>FE179*VLOOKUP('Données projet'!$B$16,Paramètres!$A$1:$I$89,3,0)*VLOOKUP('Données projet'!$B$16,Paramètres!$A$1:$I$89,5,0)</f>
        <v>-1.8444552551954985E-13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220.90439367987847</v>
      </c>
      <c r="FK179" s="59">
        <f t="shared" si="156"/>
        <v>213.66046131354858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16.662469980510746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16.662469980510746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1">
        <f t="shared" si="140"/>
        <v>37.116472314400717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67">
        <f t="shared" si="110"/>
        <v>608.05053594758147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6.8212102632969618E-13</v>
      </c>
      <c r="O180" s="13">
        <f>N180*VLOOKUP('Données projet'!$B$9,Paramètres!$A$1:$I$89,3,0)*VLOOKUP('Données projet'!$B$9,Paramètres!$A$1:$I$89,5,0)</f>
        <v>3.1923264032229784E-13</v>
      </c>
      <c r="P180" s="13">
        <f t="shared" si="141"/>
        <v>4.1896839804541558E-12</v>
      </c>
      <c r="Q180" s="20">
        <f t="shared" si="162"/>
        <v>7.8530297811856558E-12</v>
      </c>
      <c r="R180" s="59">
        <f t="shared" si="109"/>
        <v>293.33333333334116</v>
      </c>
      <c r="S180" s="59">
        <f ca="1">AVERAGE(OFFSET($R$3,0,0,'Données projet'!$E$9+1,1))-AVERAGE(OFFSET($H$3,0,0,'Données projet'!$E$9+1,1))</f>
        <v>196.72624686715807</v>
      </c>
      <c r="T180" s="59">
        <f t="shared" si="142"/>
        <v>37.315661698104691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45.662994392593241</v>
      </c>
      <c r="AA180" s="21">
        <f>EXP(-LN(2)/25)*AA179+(1-EXP(-LN(2)/25))/(LN(2)/25)*Calculateur!V180*Calculateur!X180*VLOOKUP('Données projet'!$B$9,Paramètres!$A$1:$I$89,3,0)*0.475*44/12</f>
        <v>10.294273057852413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55.957267450445656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-1.0000000000001137</v>
      </c>
      <c r="AJ180" s="13">
        <f>AI180*VLOOKUP('Données projet'!$B$10,Paramètres!$A$1:$I$89,3,0)*VLOOKUP('Données projet'!$B$10,Paramètres!$A$1:$I$89,5,0)</f>
        <v>-0.55900000000006356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325.42940802362739</v>
      </c>
      <c r="AO180" s="59">
        <f t="shared" si="144"/>
        <v>388.87198417542277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23.095947600965303</v>
      </c>
      <c r="AV180" s="21">
        <f>EXP(-LN(2)/25)*AV179+(1-EXP(-LN(2)/25))/(LN(2)/25)*Calculateur!AQ180*Calculateur!AS180*VLOOKUP('Données projet'!$B$10,Paramètres!$A$1:$I$89,3,0)*0.475*44/12</f>
        <v>3.5304499075537459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26.626397508519048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</v>
      </c>
      <c r="BE180" s="13">
        <f>BD180*VLOOKUP('Données projet'!$B$11,Paramètres!$A$1:$I$89,3,0)*VLOOKUP('Données projet'!$B$11,Paramètres!$A$1:$I$89,5,0)</f>
        <v>-0.624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162.87524915738271</v>
      </c>
      <c r="BJ180" s="59">
        <f t="shared" si="146"/>
        <v>249.37880137966658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14.735162567698989</v>
      </c>
      <c r="BQ180" s="21">
        <f>EXP(-LN(2)/25)*BQ179+(1-EXP(-LN(2)/25))/(LN(2)/25)*Calculateur!BL180*Calculateur!BN180*VLOOKUP('Données projet'!$B$11,Paramètres!$A$1:$I$89,3,0)*0.475*44/12</f>
        <v>2.4890754256603023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17.224237993359292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-1.4210854715202004E-13</v>
      </c>
      <c r="BZ180" s="13">
        <f>BY180*VLOOKUP('Données projet'!$B$12,Paramètres!$A$1:$I$89,3,0)*VLOOKUP('Données projet'!$B$12,Paramètres!$A$1:$I$89,5,0)</f>
        <v>-9.3109520094003535E-14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119.88584888779422</v>
      </c>
      <c r="CE180" s="59">
        <f t="shared" si="148"/>
        <v>162.97244314258774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4.9451756314502093</v>
      </c>
      <c r="CL180" s="21">
        <f>EXP(-LN(2)/25)*CL179+(1-EXP(-LN(2)/25))/(LN(2)/25)*Calculateur!CG180*Calculateur!CI180*VLOOKUP('Données projet'!$B$12,Paramètres!$A$1:$I$89,3,0)*0.475*44/12</f>
        <v>0.96081072110499721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5.9059863525552068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261.75887764015459</v>
      </c>
      <c r="CZ180" s="59">
        <f t="shared" si="150"/>
        <v>209.74127356028544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24.509245155518588</v>
      </c>
      <c r="DG180" s="21">
        <f>EXP(-LN(2)/25)*DG179+(1-EXP(-LN(2)/25))/(LN(2)/25)*Calculateur!DB180*Calculateur!DD180*VLOOKUP('Données projet'!$B$13,Paramètres!$A$1:$I$89,3,0)*0.475*44/12</f>
        <v>3.6122308321552867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28.121475987673875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-2.2737367544323206E-13</v>
      </c>
      <c r="DP180" s="17">
        <f>DO180*VLOOKUP('Données projet'!$B$14,Paramètres!$A$1:$I$89,3,0)*VLOOKUP('Données projet'!$B$14,Paramètres!$A$1:$I$89,5,0)</f>
        <v>-1.8089849618263545E-13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215.37468832969444</v>
      </c>
      <c r="DU180" s="59">
        <f t="shared" si="152"/>
        <v>208.60212063136419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16.021580470617319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16.021580470617319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-2.2737367544323206E-13</v>
      </c>
      <c r="EK180" s="17">
        <f>EJ180*VLOOKUP('Données projet'!$B$15,Paramètres!$A$1:$I$89,3,0)*VLOOKUP('Données projet'!$B$15,Paramètres!$A$1:$I$89,5,0)</f>
        <v>-1.8089849618263545E-13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215.37468832969444</v>
      </c>
      <c r="EP180" s="59">
        <f t="shared" si="154"/>
        <v>208.60212063136419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16.021580470617319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16.021580470617319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-2.2737367544323206E-13</v>
      </c>
      <c r="FF180" s="17">
        <f>FE180*VLOOKUP('Données projet'!$B$16,Paramètres!$A$1:$I$89,3,0)*VLOOKUP('Données projet'!$B$16,Paramètres!$A$1:$I$89,5,0)</f>
        <v>-1.8444552551954985E-13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220.90439367987847</v>
      </c>
      <c r="FK180" s="59">
        <f t="shared" si="156"/>
        <v>213.66046131354858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16.335729107296096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16.335729107296096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1">
        <f t="shared" si="140"/>
        <v>37.301700301601755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67">
        <f t="shared" si="110"/>
        <v>609.78598135862342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6.8212102632969618E-13</v>
      </c>
      <c r="O181" s="13">
        <f>N181*VLOOKUP('Données projet'!$B$9,Paramètres!$A$1:$I$89,3,0)*VLOOKUP('Données projet'!$B$9,Paramètres!$A$1:$I$89,5,0)</f>
        <v>3.1923264032229784E-13</v>
      </c>
      <c r="P181" s="13">
        <f t="shared" si="141"/>
        <v>4.1896839804541558E-12</v>
      </c>
      <c r="Q181" s="20">
        <f t="shared" si="162"/>
        <v>7.8530297811856558E-12</v>
      </c>
      <c r="R181" s="59">
        <f t="shared" si="109"/>
        <v>293.33333333334116</v>
      </c>
      <c r="S181" s="59">
        <f ca="1">AVERAGE(OFFSET($R$3,0,0,'Données projet'!$E$9+1,1))-AVERAGE(OFFSET($H$3,0,0,'Données projet'!$E$9+1,1))</f>
        <v>196.72624686715807</v>
      </c>
      <c r="T181" s="59">
        <f t="shared" si="142"/>
        <v>37.315661698104691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44.767570924230945</v>
      </c>
      <c r="AA181" s="21">
        <f>EXP(-LN(2)/25)*AA180+(1-EXP(-LN(2)/25))/(LN(2)/25)*Calculateur!V181*Calculateur!X181*VLOOKUP('Données projet'!$B$9,Paramètres!$A$1:$I$89,3,0)*0.475*44/12</f>
        <v>10.012775619733146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54.780346543964093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-1.0000000000001137</v>
      </c>
      <c r="AJ181" s="13">
        <f>AI181*VLOOKUP('Données projet'!$B$10,Paramètres!$A$1:$I$89,3,0)*VLOOKUP('Données projet'!$B$10,Paramètres!$A$1:$I$89,5,0)</f>
        <v>-0.55900000000006356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325.42940802362739</v>
      </c>
      <c r="AO181" s="59">
        <f t="shared" si="144"/>
        <v>388.87198417542277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22.643050155647419</v>
      </c>
      <c r="AV181" s="21">
        <f>EXP(-LN(2)/25)*AV180+(1-EXP(-LN(2)/25))/(LN(2)/25)*Calculateur!AQ181*Calculateur!AS181*VLOOKUP('Données projet'!$B$10,Paramètres!$A$1:$I$89,3,0)*0.475*44/12</f>
        <v>3.4339095691733972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26.076959724820817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</v>
      </c>
      <c r="BE181" s="13">
        <f>BD181*VLOOKUP('Données projet'!$B$11,Paramètres!$A$1:$I$89,3,0)*VLOOKUP('Données projet'!$B$11,Paramètres!$A$1:$I$89,5,0)</f>
        <v>-0.624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162.87524915738271</v>
      </c>
      <c r="BJ181" s="59">
        <f t="shared" si="146"/>
        <v>249.37880137966658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14.446215017308131</v>
      </c>
      <c r="BQ181" s="21">
        <f>EXP(-LN(2)/25)*BQ180+(1-EXP(-LN(2)/25))/(LN(2)/25)*Calculateur!BL181*Calculateur!BN181*VLOOKUP('Données projet'!$B$11,Paramètres!$A$1:$I$89,3,0)*0.475*44/12</f>
        <v>2.4210115272508337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16.867226544558964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-1.4210854715202004E-13</v>
      </c>
      <c r="BZ181" s="13">
        <f>BY181*VLOOKUP('Données projet'!$B$12,Paramètres!$A$1:$I$89,3,0)*VLOOKUP('Données projet'!$B$12,Paramètres!$A$1:$I$89,5,0)</f>
        <v>-9.3109520094003535E-14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119.88584888779422</v>
      </c>
      <c r="CE181" s="59">
        <f t="shared" si="148"/>
        <v>162.97244314258774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4.848203753576775</v>
      </c>
      <c r="CL181" s="21">
        <f>EXP(-LN(2)/25)*CL180+(1-EXP(-LN(2)/25))/(LN(2)/25)*Calculateur!CG181*Calculateur!CI181*VLOOKUP('Données projet'!$B$12,Paramètres!$A$1:$I$89,3,0)*0.475*44/12</f>
        <v>0.93453730140954117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5.7827410549863165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261.75887764015459</v>
      </c>
      <c r="CZ181" s="59">
        <f t="shared" si="150"/>
        <v>209.74127356028544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24.028633807182306</v>
      </c>
      <c r="DG181" s="21">
        <f>EXP(-LN(2)/25)*DG180+(1-EXP(-LN(2)/25))/(LN(2)/25)*Calculateur!DB181*Calculateur!DD181*VLOOKUP('Données projet'!$B$13,Paramètres!$A$1:$I$89,3,0)*0.475*44/12</f>
        <v>3.513454190091037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27.542087997273342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-2.2737367544323206E-13</v>
      </c>
      <c r="DP181" s="17">
        <f>DO181*VLOOKUP('Données projet'!$B$14,Paramètres!$A$1:$I$89,3,0)*VLOOKUP('Données projet'!$B$14,Paramètres!$A$1:$I$89,5,0)</f>
        <v>-1.8089849618263545E-13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215.37468832969444</v>
      </c>
      <c r="DU181" s="59">
        <f t="shared" si="152"/>
        <v>208.60212063136419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15.707407049787676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15.707407049787676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-2.2737367544323206E-13</v>
      </c>
      <c r="EK181" s="17">
        <f>EJ181*VLOOKUP('Données projet'!$B$15,Paramètres!$A$1:$I$89,3,0)*VLOOKUP('Données projet'!$B$15,Paramètres!$A$1:$I$89,5,0)</f>
        <v>-1.8089849618263545E-13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215.37468832969444</v>
      </c>
      <c r="EP181" s="59">
        <f t="shared" si="154"/>
        <v>208.60212063136419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15.707407049787676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15.707407049787676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-2.2737367544323206E-13</v>
      </c>
      <c r="FF181" s="17">
        <f>FE181*VLOOKUP('Données projet'!$B$16,Paramètres!$A$1:$I$89,3,0)*VLOOKUP('Données projet'!$B$16,Paramètres!$A$1:$I$89,5,0)</f>
        <v>-1.8444552551954985E-13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220.90439367987847</v>
      </c>
      <c r="FK181" s="59">
        <f t="shared" si="156"/>
        <v>213.66046131354858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16.015395423312931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16.015395423312931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1">
        <f t="shared" si="140"/>
        <v>37.486807201108292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67">
        <f t="shared" si="110"/>
        <v>611.52121587526403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6.8212102632969618E-13</v>
      </c>
      <c r="O182" s="13">
        <f>N182*VLOOKUP('Données projet'!$B$9,Paramètres!$A$1:$I$89,3,0)*VLOOKUP('Données projet'!$B$9,Paramètres!$A$1:$I$89,5,0)</f>
        <v>3.1923264032229784E-13</v>
      </c>
      <c r="P182" s="13">
        <f t="shared" si="141"/>
        <v>4.1896839804541558E-12</v>
      </c>
      <c r="Q182" s="20">
        <f t="shared" si="162"/>
        <v>7.8530297811856558E-12</v>
      </c>
      <c r="R182" s="59">
        <f t="shared" si="109"/>
        <v>293.33333333334116</v>
      </c>
      <c r="S182" s="59">
        <f ca="1">AVERAGE(OFFSET($R$3,0,0,'Données projet'!$E$9+1,1))-AVERAGE(OFFSET($H$3,0,0,'Données projet'!$E$9+1,1))</f>
        <v>196.72624686715807</v>
      </c>
      <c r="T182" s="59">
        <f t="shared" si="142"/>
        <v>37.315661698104691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43.889706163928842</v>
      </c>
      <c r="AA182" s="21">
        <f>EXP(-LN(2)/25)*AA181+(1-EXP(-LN(2)/25))/(LN(2)/25)*Calculateur!V182*Calculateur!X182*VLOOKUP('Données projet'!$B$9,Paramètres!$A$1:$I$89,3,0)*0.475*44/12</f>
        <v>9.7389757438625573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53.628681907791403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-1.0000000000001137</v>
      </c>
      <c r="AJ182" s="13">
        <f>AI182*VLOOKUP('Données projet'!$B$10,Paramètres!$A$1:$I$89,3,0)*VLOOKUP('Données projet'!$B$10,Paramètres!$A$1:$I$89,5,0)</f>
        <v>-0.55900000000006356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325.42940802362739</v>
      </c>
      <c r="AO182" s="59">
        <f t="shared" si="144"/>
        <v>388.87198417542277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22.199033752992055</v>
      </c>
      <c r="AV182" s="21">
        <f>EXP(-LN(2)/25)*AV181+(1-EXP(-LN(2)/25))/(LN(2)/25)*Calculateur!AQ182*Calculateur!AS182*VLOOKUP('Données projet'!$B$10,Paramètres!$A$1:$I$89,3,0)*0.475*44/12</f>
        <v>3.3400091314228946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25.53904288441495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</v>
      </c>
      <c r="BE182" s="13">
        <f>BD182*VLOOKUP('Données projet'!$B$11,Paramètres!$A$1:$I$89,3,0)*VLOOKUP('Données projet'!$B$11,Paramètres!$A$1:$I$89,5,0)</f>
        <v>-0.624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162.87524915738271</v>
      </c>
      <c r="BJ182" s="59">
        <f t="shared" si="146"/>
        <v>249.37880137966658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14.162933552139833</v>
      </c>
      <c r="BQ182" s="21">
        <f>EXP(-LN(2)/25)*BQ181+(1-EXP(-LN(2)/25))/(LN(2)/25)*Calculateur!BL182*Calculateur!BN182*VLOOKUP('Données projet'!$B$11,Paramètres!$A$1:$I$89,3,0)*0.475*44/12</f>
        <v>2.3548088397226965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16.51774239186253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-1.4210854715202004E-13</v>
      </c>
      <c r="BZ182" s="13">
        <f>BY182*VLOOKUP('Données projet'!$B$12,Paramètres!$A$1:$I$89,3,0)*VLOOKUP('Données projet'!$B$12,Paramètres!$A$1:$I$89,5,0)</f>
        <v>-9.3109520094003535E-14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119.88584888779422</v>
      </c>
      <c r="CE182" s="59">
        <f t="shared" si="148"/>
        <v>162.97244314258774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4.7531334350814332</v>
      </c>
      <c r="CL182" s="21">
        <f>EXP(-LN(2)/25)*CL181+(1-EXP(-LN(2)/25))/(LN(2)/25)*Calculateur!CG182*Calculateur!CI182*VLOOKUP('Données projet'!$B$12,Paramètres!$A$1:$I$89,3,0)*0.475*44/12</f>
        <v>0.90898232975731652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5.6621157648387497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261.75887764015459</v>
      </c>
      <c r="CZ182" s="59">
        <f t="shared" si="150"/>
        <v>209.74127356028544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23.55744695424292</v>
      </c>
      <c r="DG182" s="21">
        <f>EXP(-LN(2)/25)*DG181+(1-EXP(-LN(2)/25))/(LN(2)/25)*Calculateur!DB182*Calculateur!DD182*VLOOKUP('Données projet'!$B$13,Paramètres!$A$1:$I$89,3,0)*0.475*44/12</f>
        <v>3.4173786004984716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26.974825554741393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-2.2737367544323206E-13</v>
      </c>
      <c r="DP182" s="17">
        <f>DO182*VLOOKUP('Données projet'!$B$14,Paramètres!$A$1:$I$89,3,0)*VLOOKUP('Données projet'!$B$14,Paramètres!$A$1:$I$89,5,0)</f>
        <v>-1.8089849618263545E-13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215.37468832969444</v>
      </c>
      <c r="DU182" s="59">
        <f t="shared" si="152"/>
        <v>208.60212063136419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15.399394378113637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15.399394378113637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-2.2737367544323206E-13</v>
      </c>
      <c r="EK182" s="17">
        <f>EJ182*VLOOKUP('Données projet'!$B$15,Paramètres!$A$1:$I$89,3,0)*VLOOKUP('Données projet'!$B$15,Paramètres!$A$1:$I$89,5,0)</f>
        <v>-1.8089849618263545E-13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215.37468832969444</v>
      </c>
      <c r="EP182" s="59">
        <f t="shared" si="154"/>
        <v>208.60212063136419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15.399394378113637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15.399394378113637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-2.2737367544323206E-13</v>
      </c>
      <c r="FF182" s="17">
        <f>FE182*VLOOKUP('Données projet'!$B$16,Paramètres!$A$1:$I$89,3,0)*VLOOKUP('Données projet'!$B$16,Paramètres!$A$1:$I$89,5,0)</f>
        <v>-1.8444552551954985E-13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220.90439367987847</v>
      </c>
      <c r="FK182" s="59">
        <f t="shared" si="156"/>
        <v>213.66046131354858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15.70134328748842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15.70134328748842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1">
        <f t="shared" si="140"/>
        <v>37.671793767891131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67">
        <f t="shared" si="110"/>
        <v>613.25624081241074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6.8212102632969618E-13</v>
      </c>
      <c r="O183" s="13">
        <f>N183*VLOOKUP('Données projet'!$B$9,Paramètres!$A$1:$I$89,3,0)*VLOOKUP('Données projet'!$B$9,Paramètres!$A$1:$I$89,5,0)</f>
        <v>3.1923264032229784E-13</v>
      </c>
      <c r="P183" s="13">
        <f t="shared" si="141"/>
        <v>4.1896839804541558E-12</v>
      </c>
      <c r="Q183" s="20">
        <f t="shared" si="162"/>
        <v>7.8530297811856558E-12</v>
      </c>
      <c r="R183" s="59">
        <f t="shared" si="109"/>
        <v>293.33333333334116</v>
      </c>
      <c r="S183" s="59">
        <f ca="1">AVERAGE(OFFSET($R$3,0,0,'Données projet'!$E$9+1,1))-AVERAGE(OFFSET($H$3,0,0,'Données projet'!$E$9+1,1))</f>
        <v>196.72624686715807</v>
      </c>
      <c r="T183" s="59">
        <f t="shared" si="142"/>
        <v>37.315661698104691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43.02905579613163</v>
      </c>
      <c r="AA183" s="21">
        <f>EXP(-LN(2)/25)*AA182+(1-EXP(-LN(2)/25))/(LN(2)/25)*Calculateur!V183*Calculateur!X183*VLOOKUP('Données projet'!$B$9,Paramètres!$A$1:$I$89,3,0)*0.475*44/12</f>
        <v>9.4726629399961606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52.501718736127792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-1.0000000000001137</v>
      </c>
      <c r="AJ183" s="13">
        <f>AI183*VLOOKUP('Données projet'!$B$10,Paramètres!$A$1:$I$89,3,0)*VLOOKUP('Données projet'!$B$10,Paramètres!$A$1:$I$89,5,0)</f>
        <v>-0.55900000000006356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325.42940802362739</v>
      </c>
      <c r="AO183" s="59">
        <f t="shared" si="144"/>
        <v>388.87198417542277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21.763724241169498</v>
      </c>
      <c r="AV183" s="21">
        <f>EXP(-LN(2)/25)*AV182+(1-EXP(-LN(2)/25))/(LN(2)/25)*Calculateur!AQ183*Calculateur!AS183*VLOOKUP('Données projet'!$B$10,Paramètres!$A$1:$I$89,3,0)*0.475*44/12</f>
        <v>3.2486764060806892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25.012400647250189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</v>
      </c>
      <c r="BE183" s="13">
        <f>BD183*VLOOKUP('Données projet'!$B$11,Paramètres!$A$1:$I$89,3,0)*VLOOKUP('Données projet'!$B$11,Paramètres!$A$1:$I$89,5,0)</f>
        <v>-0.624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162.87524915738271</v>
      </c>
      <c r="BJ183" s="59">
        <f t="shared" si="146"/>
        <v>249.37880137966658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13.885207063718854</v>
      </c>
      <c r="BQ183" s="21">
        <f>EXP(-LN(2)/25)*BQ182+(1-EXP(-LN(2)/25))/(LN(2)/25)*Calculateur!BL183*Calculateur!BN183*VLOOKUP('Données projet'!$B$11,Paramètres!$A$1:$I$89,3,0)*0.475*44/12</f>
        <v>2.2904164681664643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16.175623531885318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-1.4210854715202004E-13</v>
      </c>
      <c r="BZ183" s="13">
        <f>BY183*VLOOKUP('Données projet'!$B$12,Paramètres!$A$1:$I$89,3,0)*VLOOKUP('Données projet'!$B$12,Paramètres!$A$1:$I$89,5,0)</f>
        <v>-9.3109520094003535E-14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119.88584888779422</v>
      </c>
      <c r="CE183" s="59">
        <f t="shared" si="148"/>
        <v>162.97244314258774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4.6599273875446166</v>
      </c>
      <c r="CL183" s="21">
        <f>EXP(-LN(2)/25)*CL182+(1-EXP(-LN(2)/25))/(LN(2)/25)*Calculateur!CG183*Calculateur!CI183*VLOOKUP('Données projet'!$B$12,Paramètres!$A$1:$I$89,3,0)*0.475*44/12</f>
        <v>0.88412616014879952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5.5440535476934159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261.75887764015459</v>
      </c>
      <c r="CZ183" s="59">
        <f t="shared" si="150"/>
        <v>209.74127356028544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23.095499788094074</v>
      </c>
      <c r="DG183" s="21">
        <f>EXP(-LN(2)/25)*DG182+(1-EXP(-LN(2)/25))/(LN(2)/25)*Calculateur!DB183*Calculateur!DD183*VLOOKUP('Données projet'!$B$13,Paramètres!$A$1:$I$89,3,0)*0.475*44/12</f>
        <v>3.3239302029557107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26.419429991049785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-2.2737367544323206E-13</v>
      </c>
      <c r="DP183" s="17">
        <f>DO183*VLOOKUP('Données projet'!$B$14,Paramètres!$A$1:$I$89,3,0)*VLOOKUP('Données projet'!$B$14,Paramètres!$A$1:$I$89,5,0)</f>
        <v>-1.8089849618263545E-13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215.37468832969444</v>
      </c>
      <c r="DU183" s="59">
        <f t="shared" si="152"/>
        <v>208.60212063136419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15.097421647061948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15.097421647061948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-2.2737367544323206E-13</v>
      </c>
      <c r="EK183" s="17">
        <f>EJ183*VLOOKUP('Données projet'!$B$15,Paramètres!$A$1:$I$89,3,0)*VLOOKUP('Données projet'!$B$15,Paramètres!$A$1:$I$89,5,0)</f>
        <v>-1.8089849618263545E-13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215.37468832969444</v>
      </c>
      <c r="EP183" s="59">
        <f t="shared" si="154"/>
        <v>208.60212063136419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15.097421647061948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15.097421647061948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-2.2737367544323206E-13</v>
      </c>
      <c r="FF183" s="17">
        <f>FE183*VLOOKUP('Données projet'!$B$16,Paramètres!$A$1:$I$89,3,0)*VLOOKUP('Données projet'!$B$16,Paramètres!$A$1:$I$89,5,0)</f>
        <v>-1.8444552551954985E-13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220.90439367987847</v>
      </c>
      <c r="FK183" s="59">
        <f t="shared" si="156"/>
        <v>213.66046131354858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15.39344952249454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15.39344952249454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1">
        <f t="shared" si="140"/>
        <v>37.856660748047048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67">
        <f t="shared" si="110"/>
        <v>614.99105746951568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6.8212102632969618E-13</v>
      </c>
      <c r="O184" s="13">
        <f>N184*VLOOKUP('Données projet'!$B$9,Paramètres!$A$1:$I$89,3,0)*VLOOKUP('Données projet'!$B$9,Paramètres!$A$1:$I$89,5,0)</f>
        <v>3.1923264032229784E-13</v>
      </c>
      <c r="P184" s="13">
        <f t="shared" si="141"/>
        <v>4.1896839804541558E-12</v>
      </c>
      <c r="Q184" s="20">
        <f t="shared" si="162"/>
        <v>7.8530297811856558E-12</v>
      </c>
      <c r="R184" s="59">
        <f t="shared" si="109"/>
        <v>293.33333333334116</v>
      </c>
      <c r="S184" s="59">
        <f ca="1">AVERAGE(OFFSET($R$3,0,0,'Données projet'!$E$9+1,1))-AVERAGE(OFFSET($H$3,0,0,'Données projet'!$E$9+1,1))</f>
        <v>196.72624686715807</v>
      </c>
      <c r="T184" s="59">
        <f t="shared" si="142"/>
        <v>37.315661698104691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42.185282257102031</v>
      </c>
      <c r="AA184" s="21">
        <f>EXP(-LN(2)/25)*AA183+(1-EXP(-LN(2)/25))/(LN(2)/25)*Calculateur!V184*Calculateur!X184*VLOOKUP('Données projet'!$B$9,Paramètres!$A$1:$I$89,3,0)*0.475*44/12</f>
        <v>9.213632473756272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51.398914730858301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-1.0000000000001137</v>
      </c>
      <c r="AJ184" s="13">
        <f>AI184*VLOOKUP('Données projet'!$B$10,Paramètres!$A$1:$I$89,3,0)*VLOOKUP('Données projet'!$B$10,Paramètres!$A$1:$I$89,5,0)</f>
        <v>-0.55900000000006356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325.42940802362739</v>
      </c>
      <c r="AO184" s="59">
        <f t="shared" si="144"/>
        <v>388.87198417542277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21.336950883361197</v>
      </c>
      <c r="AV184" s="21">
        <f>EXP(-LN(2)/25)*AV183+(1-EXP(-LN(2)/25))/(LN(2)/25)*Calculateur!AQ184*Calculateur!AS184*VLOOKUP('Données projet'!$B$10,Paramètres!$A$1:$I$89,3,0)*0.475*44/12</f>
        <v>3.1598411789159453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24.496792062277144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</v>
      </c>
      <c r="BE184" s="13">
        <f>BD184*VLOOKUP('Données projet'!$B$11,Paramètres!$A$1:$I$89,3,0)*VLOOKUP('Données projet'!$B$11,Paramètres!$A$1:$I$89,5,0)</f>
        <v>-0.624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162.87524915738271</v>
      </c>
      <c r="BJ184" s="59">
        <f t="shared" si="146"/>
        <v>249.37880137966658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13.612926622339378</v>
      </c>
      <c r="BQ184" s="21">
        <f>EXP(-LN(2)/25)*BQ183+(1-EXP(-LN(2)/25))/(LN(2)/25)*Calculateur!BL184*Calculateur!BN184*VLOOKUP('Données projet'!$B$11,Paramètres!$A$1:$I$89,3,0)*0.475*44/12</f>
        <v>2.2277849093966853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15.840711531736064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-1.4210854715202004E-13</v>
      </c>
      <c r="BZ184" s="13">
        <f>BY184*VLOOKUP('Données projet'!$B$12,Paramètres!$A$1:$I$89,3,0)*VLOOKUP('Données projet'!$B$12,Paramètres!$A$1:$I$89,5,0)</f>
        <v>-9.3109520094003535E-14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119.88584888779422</v>
      </c>
      <c r="CE184" s="59">
        <f t="shared" si="148"/>
        <v>162.97244314258774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4.5685490537499218</v>
      </c>
      <c r="CL184" s="21">
        <f>EXP(-LN(2)/25)*CL183+(1-EXP(-LN(2)/25))/(LN(2)/25)*Calculateur!CG184*Calculateur!CI184*VLOOKUP('Données projet'!$B$12,Paramètres!$A$1:$I$89,3,0)*0.475*44/12</f>
        <v>0.85994968380535652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5.4284987375552785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261.75887764015459</v>
      </c>
      <c r="CZ184" s="59">
        <f t="shared" si="150"/>
        <v>209.74127356028544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22.642611124113458</v>
      </c>
      <c r="DG184" s="21">
        <f>EXP(-LN(2)/25)*DG183+(1-EXP(-LN(2)/25))/(LN(2)/25)*Calculateur!DB184*Calculateur!DD184*VLOOKUP('Données projet'!$B$13,Paramètres!$A$1:$I$89,3,0)*0.475*44/12</f>
        <v>3.2330371567579945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25.875648280871452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-2.2737367544323206E-13</v>
      </c>
      <c r="DP184" s="17">
        <f>DO184*VLOOKUP('Données projet'!$B$14,Paramètres!$A$1:$I$89,3,0)*VLOOKUP('Données projet'!$B$14,Paramètres!$A$1:$I$89,5,0)</f>
        <v>-1.8089849618263545E-13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215.37468832969444</v>
      </c>
      <c r="DU184" s="59">
        <f t="shared" si="152"/>
        <v>208.60212063136419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14.801370417081001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14.801370417081001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-2.2737367544323206E-13</v>
      </c>
      <c r="EK184" s="17">
        <f>EJ184*VLOOKUP('Données projet'!$B$15,Paramètres!$A$1:$I$89,3,0)*VLOOKUP('Données projet'!$B$15,Paramètres!$A$1:$I$89,5,0)</f>
        <v>-1.8089849618263545E-13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215.37468832969444</v>
      </c>
      <c r="EP184" s="59">
        <f t="shared" si="154"/>
        <v>208.60212063136419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14.801370417081001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14.801370417081001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-2.2737367544323206E-13</v>
      </c>
      <c r="FF184" s="17">
        <f>FE184*VLOOKUP('Données projet'!$B$16,Paramètres!$A$1:$I$89,3,0)*VLOOKUP('Données projet'!$B$16,Paramètres!$A$1:$I$89,5,0)</f>
        <v>-1.8444552551954985E-13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220.90439367987847</v>
      </c>
      <c r="FK184" s="59">
        <f t="shared" si="156"/>
        <v>213.66046131354858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15.091593366435538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15.091593366435538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1">
        <f t="shared" si="140"/>
        <v>38.041408878951366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67">
        <f t="shared" si="110"/>
        <v>616.72566713084075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6.8212102632969618E-13</v>
      </c>
      <c r="O185" s="13">
        <f>N185*VLOOKUP('Données projet'!$B$9,Paramètres!$A$1:$I$89,3,0)*VLOOKUP('Données projet'!$B$9,Paramètres!$A$1:$I$89,5,0)</f>
        <v>3.1923264032229784E-13</v>
      </c>
      <c r="P185" s="13">
        <f t="shared" si="141"/>
        <v>4.1896839804541558E-12</v>
      </c>
      <c r="Q185" s="20">
        <f t="shared" si="162"/>
        <v>7.8530297811856558E-12</v>
      </c>
      <c r="R185" s="59">
        <f t="shared" si="109"/>
        <v>293.33333333334116</v>
      </c>
      <c r="S185" s="59">
        <f ca="1">AVERAGE(OFFSET($R$3,0,0,'Données projet'!$E$9+1,1))-AVERAGE(OFFSET($H$3,0,0,'Données projet'!$E$9+1,1))</f>
        <v>196.72624686715807</v>
      </c>
      <c r="T185" s="59">
        <f t="shared" si="142"/>
        <v>37.315661698104691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41.358054602521761</v>
      </c>
      <c r="AA185" s="21">
        <f>EXP(-LN(2)/25)*AA184+(1-EXP(-LN(2)/25))/(LN(2)/25)*Calculateur!V185*Calculateur!X185*VLOOKUP('Données projet'!$B$9,Paramètres!$A$1:$I$89,3,0)*0.475*44/12</f>
        <v>8.9616852092375332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50.319739811759291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-1.0000000000001137</v>
      </c>
      <c r="AJ185" s="13">
        <f>AI185*VLOOKUP('Données projet'!$B$10,Paramètres!$A$1:$I$89,3,0)*VLOOKUP('Données projet'!$B$10,Paramètres!$A$1:$I$89,5,0)</f>
        <v>-0.55900000000006356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325.42940802362739</v>
      </c>
      <c r="AO185" s="59">
        <f t="shared" si="144"/>
        <v>388.87198417542277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20.918546290793472</v>
      </c>
      <c r="AV185" s="21">
        <f>EXP(-LN(2)/25)*AV184+(1-EXP(-LN(2)/25))/(LN(2)/25)*Calculateur!AQ185*Calculateur!AS185*VLOOKUP('Données projet'!$B$10,Paramètres!$A$1:$I$89,3,0)*0.475*44/12</f>
        <v>3.0734351557096633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23.991981446503136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</v>
      </c>
      <c r="BE185" s="13">
        <f>BD185*VLOOKUP('Données projet'!$B$11,Paramètres!$A$1:$I$89,3,0)*VLOOKUP('Données projet'!$B$11,Paramètres!$A$1:$I$89,5,0)</f>
        <v>-0.624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162.87524915738271</v>
      </c>
      <c r="BJ185" s="59">
        <f t="shared" si="146"/>
        <v>249.37880137966658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13.345985434340683</v>
      </c>
      <c r="BQ185" s="21">
        <f>EXP(-LN(2)/25)*BQ184+(1-EXP(-LN(2)/25))/(LN(2)/25)*Calculateur!BL185*Calculateur!BN185*VLOOKUP('Données projet'!$B$11,Paramètres!$A$1:$I$89,3,0)*0.475*44/12</f>
        <v>2.1668660138951163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15.5128514482358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-1.4210854715202004E-13</v>
      </c>
      <c r="BZ185" s="13">
        <f>BY185*VLOOKUP('Données projet'!$B$12,Paramètres!$A$1:$I$89,3,0)*VLOOKUP('Données projet'!$B$12,Paramètres!$A$1:$I$89,5,0)</f>
        <v>-9.3109520094003535E-14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119.88584888779422</v>
      </c>
      <c r="CE185" s="59">
        <f t="shared" si="148"/>
        <v>162.97244314258774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4.4789625933456607</v>
      </c>
      <c r="CL185" s="21">
        <f>EXP(-LN(2)/25)*CL184+(1-EXP(-LN(2)/25))/(LN(2)/25)*Calculateur!CG185*Calculateur!CI185*VLOOKUP('Données projet'!$B$12,Paramètres!$A$1:$I$89,3,0)*0.475*44/12</f>
        <v>0.83643431447891059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5.3153969078245709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261.75887764015459</v>
      </c>
      <c r="CZ185" s="59">
        <f t="shared" si="150"/>
        <v>209.74127356028544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22.198603330598694</v>
      </c>
      <c r="DG185" s="21">
        <f>EXP(-LN(2)/25)*DG184+(1-EXP(-LN(2)/25))/(LN(2)/25)*Calculateur!DB185*Calculateur!DD185*VLOOKUP('Données projet'!$B$13,Paramètres!$A$1:$I$89,3,0)*0.475*44/12</f>
        <v>3.1446295856884121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25.343232916287107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-2.2737367544323206E-13</v>
      </c>
      <c r="DP185" s="17">
        <f>DO185*VLOOKUP('Données projet'!$B$14,Paramètres!$A$1:$I$89,3,0)*VLOOKUP('Données projet'!$B$14,Paramètres!$A$1:$I$89,5,0)</f>
        <v>-1.8089849618263545E-13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215.37468832969444</v>
      </c>
      <c r="DU185" s="59">
        <f t="shared" si="152"/>
        <v>208.60212063136419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14.511124571146562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14.511124571146562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-2.2737367544323206E-13</v>
      </c>
      <c r="EK185" s="17">
        <f>EJ185*VLOOKUP('Données projet'!$B$15,Paramètres!$A$1:$I$89,3,0)*VLOOKUP('Données projet'!$B$15,Paramètres!$A$1:$I$89,5,0)</f>
        <v>-1.8089849618263545E-13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215.37468832969444</v>
      </c>
      <c r="EP185" s="59">
        <f t="shared" si="154"/>
        <v>208.60212063136419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14.511124571146562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14.511124571146562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-2.2737367544323206E-13</v>
      </c>
      <c r="FF185" s="17">
        <f>FE185*VLOOKUP('Données projet'!$B$16,Paramètres!$A$1:$I$89,3,0)*VLOOKUP('Données projet'!$B$16,Paramètres!$A$1:$I$89,5,0)</f>
        <v>-1.8444552551954985E-13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220.90439367987847</v>
      </c>
      <c r="FK185" s="59">
        <f t="shared" si="156"/>
        <v>213.66046131354858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14.795656425482775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14.795656425482775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1">
        <f t="shared" si="140"/>
        <v>38.226038889407569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67">
        <f t="shared" si="110"/>
        <v>618.46007106571869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6.8212102632969618E-13</v>
      </c>
      <c r="O186" s="13">
        <f>N186*VLOOKUP('Données projet'!$B$9,Paramètres!$A$1:$I$89,3,0)*VLOOKUP('Données projet'!$B$9,Paramètres!$A$1:$I$89,5,0)</f>
        <v>3.1923264032229784E-13</v>
      </c>
      <c r="P186" s="13">
        <f t="shared" si="141"/>
        <v>4.1896839804541558E-12</v>
      </c>
      <c r="Q186" s="20">
        <f t="shared" si="162"/>
        <v>7.8530297811856558E-12</v>
      </c>
      <c r="R186" s="59">
        <f t="shared" si="109"/>
        <v>293.33333333334116</v>
      </c>
      <c r="S186" s="59">
        <f ca="1">AVERAGE(OFFSET($R$3,0,0,'Données projet'!$E$9+1,1))-AVERAGE(OFFSET($H$3,0,0,'Données projet'!$E$9+1,1))</f>
        <v>196.72624686715807</v>
      </c>
      <c r="T186" s="59">
        <f t="shared" si="142"/>
        <v>37.315661698104691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40.547048377688768</v>
      </c>
      <c r="AA186" s="21">
        <f>EXP(-LN(2)/25)*AA185+(1-EXP(-LN(2)/25))/(LN(2)/25)*Calculateur!V186*Calculateur!X186*VLOOKUP('Données projet'!$B$9,Paramètres!$A$1:$I$89,3,0)*0.475*44/12</f>
        <v>8.7166274559163899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49.263675833605156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-1.0000000000001137</v>
      </c>
      <c r="AJ186" s="13">
        <f>AI186*VLOOKUP('Données projet'!$B$10,Paramètres!$A$1:$I$89,3,0)*VLOOKUP('Données projet'!$B$10,Paramètres!$A$1:$I$89,5,0)</f>
        <v>-0.55900000000006356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325.42940802362739</v>
      </c>
      <c r="AO186" s="59">
        <f t="shared" si="144"/>
        <v>388.87198417542277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20.508346357084399</v>
      </c>
      <c r="AV186" s="21">
        <f>EXP(-LN(2)/25)*AV185+(1-EXP(-LN(2)/25))/(LN(2)/25)*Calculateur!AQ186*Calculateur!AS186*VLOOKUP('Données projet'!$B$10,Paramètres!$A$1:$I$89,3,0)*0.475*44/12</f>
        <v>2.989391909751852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23.497738266836251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</v>
      </c>
      <c r="BE186" s="13">
        <f>BD186*VLOOKUP('Données projet'!$B$11,Paramètres!$A$1:$I$89,3,0)*VLOOKUP('Données projet'!$B$11,Paramètres!$A$1:$I$89,5,0)</f>
        <v>-0.624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162.87524915738271</v>
      </c>
      <c r="BJ186" s="59">
        <f t="shared" si="146"/>
        <v>249.37880137966658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13.084278800220595</v>
      </c>
      <c r="BQ186" s="21">
        <f>EXP(-LN(2)/25)*BQ185+(1-EXP(-LN(2)/25))/(LN(2)/25)*Calculateur!BL186*Calculateur!BN186*VLOOKUP('Données projet'!$B$11,Paramètres!$A$1:$I$89,3,0)*0.475*44/12</f>
        <v>2.1076129487946234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15.191891749015218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-1.4210854715202004E-13</v>
      </c>
      <c r="BZ186" s="13">
        <f>BY186*VLOOKUP('Données projet'!$B$12,Paramètres!$A$1:$I$89,3,0)*VLOOKUP('Données projet'!$B$12,Paramètres!$A$1:$I$89,5,0)</f>
        <v>-9.3109520094003535E-14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119.88584888779422</v>
      </c>
      <c r="CE186" s="59">
        <f t="shared" si="148"/>
        <v>162.97244314258774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4.3911328687875821</v>
      </c>
      <c r="CL186" s="21">
        <f>EXP(-LN(2)/25)*CL185+(1-EXP(-LN(2)/25))/(LN(2)/25)*Calculateur!CG186*Calculateur!CI186*VLOOKUP('Données projet'!$B$12,Paramètres!$A$1:$I$89,3,0)*0.475*44/12</f>
        <v>0.81356197416331588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5.2046948429508983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261.75887764015459</v>
      </c>
      <c r="CZ186" s="59">
        <f t="shared" si="150"/>
        <v>209.74127356028544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21.76330225909674</v>
      </c>
      <c r="DG186" s="21">
        <f>EXP(-LN(2)/25)*DG185+(1-EXP(-LN(2)/25))/(LN(2)/25)*Calculateur!DB186*Calculateur!DD186*VLOOKUP('Données projet'!$B$13,Paramètres!$A$1:$I$89,3,0)*0.475*44/12</f>
        <v>3.0586395242988798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24.821941783395619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-2.2737367544323206E-13</v>
      </c>
      <c r="DP186" s="17">
        <f>DO186*VLOOKUP('Données projet'!$B$14,Paramètres!$A$1:$I$89,3,0)*VLOOKUP('Données projet'!$B$14,Paramètres!$A$1:$I$89,5,0)</f>
        <v>-1.8089849618263545E-13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215.37468832969444</v>
      </c>
      <c r="DU186" s="59">
        <f t="shared" si="152"/>
        <v>208.60212063136419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14.226570269218412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14.226570269218412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-2.2737367544323206E-13</v>
      </c>
      <c r="EK186" s="17">
        <f>EJ186*VLOOKUP('Données projet'!$B$15,Paramètres!$A$1:$I$89,3,0)*VLOOKUP('Données projet'!$B$15,Paramètres!$A$1:$I$89,5,0)</f>
        <v>-1.8089849618263545E-13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215.37468832969444</v>
      </c>
      <c r="EP186" s="59">
        <f t="shared" si="154"/>
        <v>208.60212063136419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14.226570269218412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14.226570269218412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-2.2737367544323206E-13</v>
      </c>
      <c r="FF186" s="17">
        <f>FE186*VLOOKUP('Données projet'!$B$16,Paramètres!$A$1:$I$89,3,0)*VLOOKUP('Données projet'!$B$16,Paramètres!$A$1:$I$89,5,0)</f>
        <v>-1.8444552551954985E-13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220.90439367987847</v>
      </c>
      <c r="FK186" s="59">
        <f t="shared" si="156"/>
        <v>213.66046131354858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14.505522627438387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14.505522627438387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1">
        <f t="shared" si="140"/>
        <v>38.410551499792973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67">
        <f t="shared" si="110"/>
        <v>620.19427052880656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6.8212102632969618E-13</v>
      </c>
      <c r="O187" s="13">
        <f>N187*VLOOKUP('Données projet'!$B$9,Paramètres!$A$1:$I$89,3,0)*VLOOKUP('Données projet'!$B$9,Paramètres!$A$1:$I$89,5,0)</f>
        <v>3.1923264032229784E-13</v>
      </c>
      <c r="P187" s="13">
        <f t="shared" si="141"/>
        <v>4.1896839804541558E-12</v>
      </c>
      <c r="Q187" s="20">
        <f t="shared" si="162"/>
        <v>7.8530297811856558E-12</v>
      </c>
      <c r="R187" s="59">
        <f t="shared" si="109"/>
        <v>293.33333333334116</v>
      </c>
      <c r="S187" s="59">
        <f ca="1">AVERAGE(OFFSET($R$3,0,0,'Données projet'!$E$9+1,1))-AVERAGE(OFFSET($H$3,0,0,'Données projet'!$E$9+1,1))</f>
        <v>196.72624686715807</v>
      </c>
      <c r="T187" s="59">
        <f t="shared" si="142"/>
        <v>37.315661698104691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39.751945490259793</v>
      </c>
      <c r="AA187" s="21">
        <f>EXP(-LN(2)/25)*AA186+(1-EXP(-LN(2)/25))/(LN(2)/25)*Calculateur!V187*Calculateur!X187*VLOOKUP('Données projet'!$B$9,Paramètres!$A$1:$I$89,3,0)*0.475*44/12</f>
        <v>8.4782708197468413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48.230216310006632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-1.0000000000001137</v>
      </c>
      <c r="AJ187" s="13">
        <f>AI187*VLOOKUP('Données projet'!$B$10,Paramètres!$A$1:$I$89,3,0)*VLOOKUP('Données projet'!$B$10,Paramètres!$A$1:$I$89,5,0)</f>
        <v>-0.55900000000006356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325.42940802362739</v>
      </c>
      <c r="AO187" s="59">
        <f t="shared" si="144"/>
        <v>388.87198417542277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20.106190193878106</v>
      </c>
      <c r="AV187" s="21">
        <f>EXP(-LN(2)/25)*AV186+(1-EXP(-LN(2)/25))/(LN(2)/25)*Calculateur!AQ187*Calculateur!AS187*VLOOKUP('Données projet'!$B$10,Paramètres!$A$1:$I$89,3,0)*0.475*44/12</f>
        <v>2.9076468307743992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23.013837024652506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</v>
      </c>
      <c r="BE187" s="13">
        <f>BD187*VLOOKUP('Données projet'!$B$11,Paramètres!$A$1:$I$89,3,0)*VLOOKUP('Données projet'!$B$11,Paramètres!$A$1:$I$89,5,0)</f>
        <v>-0.624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162.87524915738271</v>
      </c>
      <c r="BJ187" s="59">
        <f t="shared" si="146"/>
        <v>249.37880137966658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12.827704073570317</v>
      </c>
      <c r="BQ187" s="21">
        <f>EXP(-LN(2)/25)*BQ186+(1-EXP(-LN(2)/25))/(LN(2)/25)*Calculateur!BL187*Calculateur!BN187*VLOOKUP('Données projet'!$B$11,Paramètres!$A$1:$I$89,3,0)*0.475*44/12</f>
        <v>2.0499801618752862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14.877684235445603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-1.4210854715202004E-13</v>
      </c>
      <c r="BZ187" s="13">
        <f>BY187*VLOOKUP('Données projet'!$B$12,Paramètres!$A$1:$I$89,3,0)*VLOOKUP('Données projet'!$B$12,Paramètres!$A$1:$I$89,5,0)</f>
        <v>-9.3109520094003535E-14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119.88584888779422</v>
      </c>
      <c r="CE187" s="59">
        <f t="shared" si="148"/>
        <v>162.97244314258774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4.3050254315572447</v>
      </c>
      <c r="CL187" s="21">
        <f>EXP(-LN(2)/25)*CL186+(1-EXP(-LN(2)/25))/(LN(2)/25)*Calculateur!CG187*Calculateur!CI187*VLOOKUP('Données projet'!$B$12,Paramètres!$A$1:$I$89,3,0)*0.475*44/12</f>
        <v>0.79131507919645516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5.0963405107537003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261.75887764015459</v>
      </c>
      <c r="CZ187" s="59">
        <f t="shared" si="150"/>
        <v>209.74127356028544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21.336537176099501</v>
      </c>
      <c r="DG187" s="21">
        <f>EXP(-LN(2)/25)*DG186+(1-EXP(-LN(2)/25))/(LN(2)/25)*Calculateur!DB187*Calculateur!DD187*VLOOKUP('Données projet'!$B$13,Paramètres!$A$1:$I$89,3,0)*0.475*44/12</f>
        <v>2.9750008656600651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24.311538041759565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-2.2737367544323206E-13</v>
      </c>
      <c r="DP187" s="17">
        <f>DO187*VLOOKUP('Données projet'!$B$14,Paramètres!$A$1:$I$89,3,0)*VLOOKUP('Données projet'!$B$14,Paramètres!$A$1:$I$89,5,0)</f>
        <v>-1.8089849618263545E-13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215.37468832969444</v>
      </c>
      <c r="DU187" s="59">
        <f t="shared" si="152"/>
        <v>208.60212063136419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13.947595903590086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13.947595903590086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-2.2737367544323206E-13</v>
      </c>
      <c r="EK187" s="17">
        <f>EJ187*VLOOKUP('Données projet'!$B$15,Paramètres!$A$1:$I$89,3,0)*VLOOKUP('Données projet'!$B$15,Paramètres!$A$1:$I$89,5,0)</f>
        <v>-1.8089849618263545E-13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215.37468832969444</v>
      </c>
      <c r="EP187" s="59">
        <f t="shared" si="154"/>
        <v>208.60212063136419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13.947595903590086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13.947595903590086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-2.2737367544323206E-13</v>
      </c>
      <c r="FF187" s="17">
        <f>FE187*VLOOKUP('Données projet'!$B$16,Paramètres!$A$1:$I$89,3,0)*VLOOKUP('Données projet'!$B$16,Paramètres!$A$1:$I$89,5,0)</f>
        <v>-1.8444552551954985E-13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220.90439367987847</v>
      </c>
      <c r="FK187" s="59">
        <f t="shared" si="156"/>
        <v>213.66046131354858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14.221078176209504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14.221078176209504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1">
        <f t="shared" si="140"/>
        <v>38.594947422201528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67">
        <f t="shared" si="110"/>
        <v>621.92826676033485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6.8212102632969618E-13</v>
      </c>
      <c r="O188" s="13">
        <f>N188*VLOOKUP('Données projet'!$B$9,Paramètres!$A$1:$I$89,3,0)*VLOOKUP('Données projet'!$B$9,Paramètres!$A$1:$I$89,5,0)</f>
        <v>3.1923264032229784E-13</v>
      </c>
      <c r="P188" s="13">
        <f t="shared" si="141"/>
        <v>4.1896839804541558E-12</v>
      </c>
      <c r="Q188" s="20">
        <f t="shared" si="162"/>
        <v>7.8530297811856558E-12</v>
      </c>
      <c r="R188" s="59">
        <f t="shared" si="109"/>
        <v>293.33333333334116</v>
      </c>
      <c r="S188" s="59">
        <f ca="1">AVERAGE(OFFSET($R$3,0,0,'Données projet'!$E$9+1,1))-AVERAGE(OFFSET($H$3,0,0,'Données projet'!$E$9+1,1))</f>
        <v>196.72624686715807</v>
      </c>
      <c r="T188" s="59">
        <f t="shared" si="142"/>
        <v>37.315661698104691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38.972434085488423</v>
      </c>
      <c r="AA188" s="21">
        <f>EXP(-LN(2)/25)*AA187+(1-EXP(-LN(2)/25))/(LN(2)/25)*Calculateur!V188*Calculateur!X188*VLOOKUP('Données projet'!$B$9,Paramètres!$A$1:$I$89,3,0)*0.475*44/12</f>
        <v>8.2464320583279793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47.218866143816399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-1.0000000000001137</v>
      </c>
      <c r="AJ188" s="13">
        <f>AI188*VLOOKUP('Données projet'!$B$10,Paramètres!$A$1:$I$89,3,0)*VLOOKUP('Données projet'!$B$10,Paramètres!$A$1:$I$89,5,0)</f>
        <v>-0.55900000000006356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325.42940802362739</v>
      </c>
      <c r="AO188" s="59">
        <f t="shared" si="144"/>
        <v>388.87198417542277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19.71192006774125</v>
      </c>
      <c r="AV188" s="21">
        <f>EXP(-LN(2)/25)*AV187+(1-EXP(-LN(2)/25))/(LN(2)/25)*Calculateur!AQ188*Calculateur!AS188*VLOOKUP('Données projet'!$B$10,Paramètres!$A$1:$I$89,3,0)*0.475*44/12</f>
        <v>2.8281370752803721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22.54005714302162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</v>
      </c>
      <c r="BE188" s="13">
        <f>BD188*VLOOKUP('Données projet'!$B$11,Paramètres!$A$1:$I$89,3,0)*VLOOKUP('Données projet'!$B$11,Paramètres!$A$1:$I$89,5,0)</f>
        <v>-0.624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162.87524915738271</v>
      </c>
      <c r="BJ188" s="59">
        <f t="shared" si="146"/>
        <v>249.37880137966658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12.57616062081452</v>
      </c>
      <c r="BQ188" s="21">
        <f>EXP(-LN(2)/25)*BQ187+(1-EXP(-LN(2)/25))/(LN(2)/25)*Calculateur!BL188*Calculateur!BN188*VLOOKUP('Données projet'!$B$11,Paramètres!$A$1:$I$89,3,0)*0.475*44/12</f>
        <v>1.993923346545035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14.570083967359555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-1.4210854715202004E-13</v>
      </c>
      <c r="BZ188" s="13">
        <f>BY188*VLOOKUP('Données projet'!$B$12,Paramètres!$A$1:$I$89,3,0)*VLOOKUP('Données projet'!$B$12,Paramètres!$A$1:$I$89,5,0)</f>
        <v>-9.3109520094003535E-14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119.88584888779422</v>
      </c>
      <c r="CE188" s="59">
        <f t="shared" si="148"/>
        <v>162.97244314258774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4.2206065086506435</v>
      </c>
      <c r="CL188" s="21">
        <f>EXP(-LN(2)/25)*CL187+(1-EXP(-LN(2)/25))/(LN(2)/25)*Calculateur!CG188*Calculateur!CI188*VLOOKUP('Données projet'!$B$12,Paramètres!$A$1:$I$89,3,0)*0.475*44/12</f>
        <v>0.76967652674237663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4.9902830353930199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261.75887764015459</v>
      </c>
      <c r="CZ188" s="59">
        <f t="shared" si="150"/>
        <v>209.74127356028544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20.91814069607884</v>
      </c>
      <c r="DG188" s="21">
        <f>EXP(-LN(2)/25)*DG187+(1-EXP(-LN(2)/25))/(LN(2)/25)*Calculateur!DB188*Calculateur!DD188*VLOOKUP('Données projet'!$B$13,Paramètres!$A$1:$I$89,3,0)*0.475*44/12</f>
        <v>2.8936493105400944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23.811790006618935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-2.2737367544323206E-13</v>
      </c>
      <c r="DP188" s="17">
        <f>DO188*VLOOKUP('Données projet'!$B$14,Paramètres!$A$1:$I$89,3,0)*VLOOKUP('Données projet'!$B$14,Paramètres!$A$1:$I$89,5,0)</f>
        <v>-1.8089849618263545E-13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215.37468832969444</v>
      </c>
      <c r="DU188" s="59">
        <f t="shared" si="152"/>
        <v>208.60212063136419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13.674092055114171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13.674092055114171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-2.2737367544323206E-13</v>
      </c>
      <c r="EK188" s="17">
        <f>EJ188*VLOOKUP('Données projet'!$B$15,Paramètres!$A$1:$I$89,3,0)*VLOOKUP('Données projet'!$B$15,Paramètres!$A$1:$I$89,5,0)</f>
        <v>-1.8089849618263545E-13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215.37468832969444</v>
      </c>
      <c r="EP188" s="59">
        <f t="shared" si="154"/>
        <v>208.60212063136419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13.674092055114171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13.674092055114171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-2.2737367544323206E-13</v>
      </c>
      <c r="FF188" s="17">
        <f>FE188*VLOOKUP('Données projet'!$B$16,Paramètres!$A$1:$I$89,3,0)*VLOOKUP('Données projet'!$B$16,Paramètres!$A$1:$I$89,5,0)</f>
        <v>-1.8444552551954985E-13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220.90439367987847</v>
      </c>
      <c r="FK188" s="59">
        <f t="shared" si="156"/>
        <v>213.66046131354858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13.942211507175237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13.942211507175237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1">
        <f t="shared" si="140"/>
        <v>38.77922736058327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67">
        <f t="shared" si="110"/>
        <v>623.66206098634973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6.8212102632969618E-13</v>
      </c>
      <c r="O189" s="13">
        <f>N189*VLOOKUP('Données projet'!$B$9,Paramètres!$A$1:$I$89,3,0)*VLOOKUP('Données projet'!$B$9,Paramètres!$A$1:$I$89,5,0)</f>
        <v>3.1923264032229784E-13</v>
      </c>
      <c r="P189" s="13">
        <f t="shared" si="141"/>
        <v>4.1896839804541558E-12</v>
      </c>
      <c r="Q189" s="20">
        <f t="shared" si="162"/>
        <v>7.8530297811856558E-12</v>
      </c>
      <c r="R189" s="59">
        <f t="shared" si="109"/>
        <v>293.33333333334116</v>
      </c>
      <c r="S189" s="59">
        <f ca="1">AVERAGE(OFFSET($R$3,0,0,'Données projet'!$E$9+1,1))-AVERAGE(OFFSET($H$3,0,0,'Données projet'!$E$9+1,1))</f>
        <v>196.72624686715807</v>
      </c>
      <c r="T189" s="59">
        <f t="shared" si="142"/>
        <v>37.315661698104691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38.20820842390961</v>
      </c>
      <c r="AA189" s="21">
        <f>EXP(-LN(2)/25)*AA188+(1-EXP(-LN(2)/25))/(LN(2)/25)*Calculateur!V189*Calculateur!X189*VLOOKUP('Données projet'!$B$9,Paramètres!$A$1:$I$89,3,0)*0.475*44/12</f>
        <v>8.0209329400319866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46.229141363941594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-1.0000000000001137</v>
      </c>
      <c r="AJ189" s="13">
        <f>AI189*VLOOKUP('Données projet'!$B$10,Paramètres!$A$1:$I$89,3,0)*VLOOKUP('Données projet'!$B$10,Paramètres!$A$1:$I$89,5,0)</f>
        <v>-0.55900000000006356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325.42940802362739</v>
      </c>
      <c r="AO189" s="59">
        <f t="shared" si="144"/>
        <v>388.87198417542277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19.325381338296904</v>
      </c>
      <c r="AV189" s="21">
        <f>EXP(-LN(2)/25)*AV188+(1-EXP(-LN(2)/25))/(LN(2)/25)*Calculateur!AQ189*Calculateur!AS189*VLOOKUP('Données projet'!$B$10,Paramètres!$A$1:$I$89,3,0)*0.475*44/12</f>
        <v>2.7508015182315653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22.076182856528469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</v>
      </c>
      <c r="BE189" s="13">
        <f>BD189*VLOOKUP('Données projet'!$B$11,Paramètres!$A$1:$I$89,3,0)*VLOOKUP('Données projet'!$B$11,Paramètres!$A$1:$I$89,5,0)</f>
        <v>-0.624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162.87524915738271</v>
      </c>
      <c r="BJ189" s="59">
        <f t="shared" si="146"/>
        <v>249.37880137966658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12.329549781740907</v>
      </c>
      <c r="BQ189" s="21">
        <f>EXP(-LN(2)/25)*BQ188+(1-EXP(-LN(2)/25))/(LN(2)/25)*Calculateur!BL189*Calculateur!BN189*VLOOKUP('Données projet'!$B$11,Paramètres!$A$1:$I$89,3,0)*0.475*44/12</f>
        <v>1.9393994077778893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14.268949189518796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-1.4210854715202004E-13</v>
      </c>
      <c r="BZ189" s="13">
        <f>BY189*VLOOKUP('Données projet'!$B$12,Paramètres!$A$1:$I$89,3,0)*VLOOKUP('Données projet'!$B$12,Paramètres!$A$1:$I$89,5,0)</f>
        <v>-9.3109520094003535E-14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119.88584888779422</v>
      </c>
      <c r="CE189" s="59">
        <f t="shared" si="148"/>
        <v>162.97244314258774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4.1378429893317819</v>
      </c>
      <c r="CL189" s="21">
        <f>EXP(-LN(2)/25)*CL188+(1-EXP(-LN(2)/25))/(LN(2)/25)*Calculateur!CG189*Calculateur!CI189*VLOOKUP('Données projet'!$B$12,Paramètres!$A$1:$I$89,3,0)*0.475*44/12</f>
        <v>0.74862968164307697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4.8864726709748592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261.75887764015459</v>
      </c>
      <c r="CZ189" s="59">
        <f t="shared" si="150"/>
        <v>209.74127356028544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20.507948715834733</v>
      </c>
      <c r="DG189" s="21">
        <f>EXP(-LN(2)/25)*DG188+(1-EXP(-LN(2)/25))/(LN(2)/25)*Calculateur!DB189*Calculateur!DD189*VLOOKUP('Données projet'!$B$13,Paramètres!$A$1:$I$89,3,0)*0.475*44/12</f>
        <v>2.8145223179729717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23.322471033807705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-2.2737367544323206E-13</v>
      </c>
      <c r="DP189" s="17">
        <f>DO189*VLOOKUP('Données projet'!$B$14,Paramètres!$A$1:$I$89,3,0)*VLOOKUP('Données projet'!$B$14,Paramètres!$A$1:$I$89,5,0)</f>
        <v>-1.8089849618263545E-13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215.37468832969444</v>
      </c>
      <c r="DU189" s="59">
        <f t="shared" si="152"/>
        <v>208.60212063136419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13.405951450285992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13.405951450285992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-2.2737367544323206E-13</v>
      </c>
      <c r="EK189" s="17">
        <f>EJ189*VLOOKUP('Données projet'!$B$15,Paramètres!$A$1:$I$89,3,0)*VLOOKUP('Données projet'!$B$15,Paramètres!$A$1:$I$89,5,0)</f>
        <v>-1.8089849618263545E-13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215.37468832969444</v>
      </c>
      <c r="EP189" s="59">
        <f t="shared" si="154"/>
        <v>208.60212063136419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13.405951450285992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13.405951450285992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-2.2737367544323206E-13</v>
      </c>
      <c r="FF189" s="17">
        <f>FE189*VLOOKUP('Données projet'!$B$16,Paramètres!$A$1:$I$89,3,0)*VLOOKUP('Données projet'!$B$16,Paramètres!$A$1:$I$89,5,0)</f>
        <v>-1.8444552551954985E-13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220.90439367987847</v>
      </c>
      <c r="FK189" s="59">
        <f t="shared" si="156"/>
        <v>213.66046131354858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13.668813243428859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13.668813243428859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1">
        <f t="shared" si="140"/>
        <v>38.963392010880717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67">
        <f t="shared" si="110"/>
        <v>625.39565441895115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6.8212102632969618E-13</v>
      </c>
      <c r="O190" s="13">
        <f>N190*VLOOKUP('Données projet'!$B$9,Paramètres!$A$1:$I$89,3,0)*VLOOKUP('Données projet'!$B$9,Paramètres!$A$1:$I$89,5,0)</f>
        <v>3.1923264032229784E-13</v>
      </c>
      <c r="P190" s="13">
        <f t="shared" si="141"/>
        <v>4.1896839804541558E-12</v>
      </c>
      <c r="Q190" s="20">
        <f t="shared" si="162"/>
        <v>7.8530297811856558E-12</v>
      </c>
      <c r="R190" s="59">
        <f t="shared" si="109"/>
        <v>293.33333333334116</v>
      </c>
      <c r="S190" s="59">
        <f ca="1">AVERAGE(OFFSET($R$3,0,0,'Données projet'!$E$9+1,1))-AVERAGE(OFFSET($H$3,0,0,'Données projet'!$E$9+1,1))</f>
        <v>196.72624686715807</v>
      </c>
      <c r="T190" s="59">
        <f t="shared" si="142"/>
        <v>37.315661698104691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37.458968761422732</v>
      </c>
      <c r="AA190" s="21">
        <f>EXP(-LN(2)/25)*AA189+(1-EXP(-LN(2)/25))/(LN(2)/25)*Calculateur!V190*Calculateur!X190*VLOOKUP('Données projet'!$B$9,Paramètres!$A$1:$I$89,3,0)*0.475*44/12</f>
        <v>7.8016001069842806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45.260568868407013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-1.0000000000001137</v>
      </c>
      <c r="AJ190" s="13">
        <f>AI190*VLOOKUP('Données projet'!$B$10,Paramètres!$A$1:$I$89,3,0)*VLOOKUP('Données projet'!$B$10,Paramètres!$A$1:$I$89,5,0)</f>
        <v>-0.55900000000006356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325.42940802362739</v>
      </c>
      <c r="AO190" s="59">
        <f t="shared" si="144"/>
        <v>388.87198417542277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18.946422397571617</v>
      </c>
      <c r="AV190" s="21">
        <f>EXP(-LN(2)/25)*AV189+(1-EXP(-LN(2)/25))/(LN(2)/25)*Calculateur!AQ190*Calculateur!AS190*VLOOKUP('Données projet'!$B$10,Paramètres!$A$1:$I$89,3,0)*0.475*44/12</f>
        <v>2.6755807060571581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21.622003103628774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</v>
      </c>
      <c r="BE190" s="13">
        <f>BD190*VLOOKUP('Données projet'!$B$11,Paramètres!$A$1:$I$89,3,0)*VLOOKUP('Données projet'!$B$11,Paramètres!$A$1:$I$89,5,0)</f>
        <v>-0.624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162.87524915738271</v>
      </c>
      <c r="BJ190" s="59">
        <f t="shared" si="146"/>
        <v>249.37880137966658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12.087774830803768</v>
      </c>
      <c r="BQ190" s="21">
        <f>EXP(-LN(2)/25)*BQ189+(1-EXP(-LN(2)/25))/(LN(2)/25)*Calculateur!BL190*Calculateur!BN190*VLOOKUP('Données projet'!$B$11,Paramètres!$A$1:$I$89,3,0)*0.475*44/12</f>
        <v>1.8863664289836206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13.974141259787389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-1.4210854715202004E-13</v>
      </c>
      <c r="BZ190" s="13">
        <f>BY190*VLOOKUP('Données projet'!$B$12,Paramètres!$A$1:$I$89,3,0)*VLOOKUP('Données projet'!$B$12,Paramètres!$A$1:$I$89,5,0)</f>
        <v>-9.3109520094003535E-14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119.88584888779422</v>
      </c>
      <c r="CE190" s="59">
        <f t="shared" si="148"/>
        <v>162.97244314258774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4.0567024121460014</v>
      </c>
      <c r="CL190" s="21">
        <f>EXP(-LN(2)/25)*CL189+(1-EXP(-LN(2)/25))/(LN(2)/25)*Calculateur!CG190*Calculateur!CI190*VLOOKUP('Données projet'!$B$12,Paramètres!$A$1:$I$89,3,0)*0.475*44/12</f>
        <v>0.72815836362982311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4.7848607757758241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261.75887764015459</v>
      </c>
      <c r="CZ190" s="59">
        <f t="shared" si="150"/>
        <v>209.74127356028544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20.105800350130806</v>
      </c>
      <c r="DG190" s="21">
        <f>EXP(-LN(2)/25)*DG189+(1-EXP(-LN(2)/25))/(LN(2)/25)*Calculateur!DB190*Calculateur!DD190*VLOOKUP('Données projet'!$B$13,Paramètres!$A$1:$I$89,3,0)*0.475*44/12</f>
        <v>2.737559057178705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22.84335940730951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-2.2737367544323206E-13</v>
      </c>
      <c r="DP190" s="17">
        <f>DO190*VLOOKUP('Données projet'!$B$14,Paramètres!$A$1:$I$89,3,0)*VLOOKUP('Données projet'!$B$14,Paramètres!$A$1:$I$89,5,0)</f>
        <v>-1.8089849618263545E-13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215.37468832969444</v>
      </c>
      <c r="DU190" s="59">
        <f t="shared" si="152"/>
        <v>208.60212063136419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13.143068919168874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13.143068919168874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-2.2737367544323206E-13</v>
      </c>
      <c r="EK190" s="17">
        <f>EJ190*VLOOKUP('Données projet'!$B$15,Paramètres!$A$1:$I$89,3,0)*VLOOKUP('Données projet'!$B$15,Paramètres!$A$1:$I$89,5,0)</f>
        <v>-1.8089849618263545E-13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215.37468832969444</v>
      </c>
      <c r="EP190" s="59">
        <f t="shared" si="154"/>
        <v>208.60212063136419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13.143068919168874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13.143068919168874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-2.2737367544323206E-13</v>
      </c>
      <c r="FF190" s="17">
        <f>FE190*VLOOKUP('Données projet'!$B$16,Paramètres!$A$1:$I$89,3,0)*VLOOKUP('Données projet'!$B$16,Paramètres!$A$1:$I$89,5,0)</f>
        <v>-1.8444552551954985E-13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220.90439367987847</v>
      </c>
      <c r="FK190" s="59">
        <f t="shared" si="156"/>
        <v>213.66046131354858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13.400776152878073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13.400776152878073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1">
        <f t="shared" si="140"/>
        <v>39.147442061162288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67">
        <f t="shared" si="110"/>
        <v>627.12904825652492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6.8212102632969618E-13</v>
      </c>
      <c r="O191" s="13">
        <f>N191*VLOOKUP('Données projet'!$B$9,Paramètres!$A$1:$I$89,3,0)*VLOOKUP('Données projet'!$B$9,Paramètres!$A$1:$I$89,5,0)</f>
        <v>3.1923264032229784E-13</v>
      </c>
      <c r="P191" s="13">
        <f t="shared" si="141"/>
        <v>4.1896839804541558E-12</v>
      </c>
      <c r="Q191" s="20">
        <f t="shared" si="162"/>
        <v>7.8530297811856558E-12</v>
      </c>
      <c r="R191" s="59">
        <f t="shared" si="109"/>
        <v>293.33333333334116</v>
      </c>
      <c r="S191" s="59">
        <f ca="1">AVERAGE(OFFSET($R$3,0,0,'Données projet'!$E$9+1,1))-AVERAGE(OFFSET($H$3,0,0,'Données projet'!$E$9+1,1))</f>
        <v>196.72624686715807</v>
      </c>
      <c r="T191" s="59">
        <f t="shared" si="142"/>
        <v>37.315661698104691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36.724421231726154</v>
      </c>
      <c r="AA191" s="21">
        <f>EXP(-LN(2)/25)*AA190+(1-EXP(-LN(2)/25))/(LN(2)/25)*Calculateur!V191*Calculateur!X191*VLOOKUP('Données projet'!$B$9,Paramètres!$A$1:$I$89,3,0)*0.475*44/12</f>
        <v>7.5882649417904764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44.312686173516632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-1.0000000000001137</v>
      </c>
      <c r="AJ191" s="13">
        <f>AI191*VLOOKUP('Données projet'!$B$10,Paramètres!$A$1:$I$89,3,0)*VLOOKUP('Données projet'!$B$10,Paramètres!$A$1:$I$89,5,0)</f>
        <v>-0.55900000000006356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325.42940802362739</v>
      </c>
      <c r="AO191" s="59">
        <f t="shared" si="144"/>
        <v>388.87198417542277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18.574894610531821</v>
      </c>
      <c r="AV191" s="21">
        <f>EXP(-LN(2)/25)*AV190+(1-EXP(-LN(2)/25))/(LN(2)/25)*Calculateur!AQ191*Calculateur!AS191*VLOOKUP('Données projet'!$B$10,Paramètres!$A$1:$I$89,3,0)*0.475*44/12</f>
        <v>2.6024168109473509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21.177311421479171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</v>
      </c>
      <c r="BE191" s="13">
        <f>BD191*VLOOKUP('Données projet'!$B$11,Paramètres!$A$1:$I$89,3,0)*VLOOKUP('Données projet'!$B$11,Paramètres!$A$1:$I$89,5,0)</f>
        <v>-0.624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162.87524915738271</v>
      </c>
      <c r="BJ191" s="59">
        <f t="shared" si="146"/>
        <v>249.37880137966658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11.850740939186348</v>
      </c>
      <c r="BQ191" s="21">
        <f>EXP(-LN(2)/25)*BQ190+(1-EXP(-LN(2)/25))/(LN(2)/25)*Calculateur!BL191*Calculateur!BN191*VLOOKUP('Données projet'!$B$11,Paramètres!$A$1:$I$89,3,0)*0.475*44/12</f>
        <v>1.8347836397833643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13.685524578969712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-1.4210854715202004E-13</v>
      </c>
      <c r="BZ191" s="13">
        <f>BY191*VLOOKUP('Données projet'!$B$12,Paramètres!$A$1:$I$89,3,0)*VLOOKUP('Données projet'!$B$12,Paramètres!$A$1:$I$89,5,0)</f>
        <v>-9.3109520094003535E-14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119.88584888779422</v>
      </c>
      <c r="CE191" s="59">
        <f t="shared" si="148"/>
        <v>162.97244314258774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3.9771529521879683</v>
      </c>
      <c r="CL191" s="21">
        <f>EXP(-LN(2)/25)*CL190+(1-EXP(-LN(2)/25))/(LN(2)/25)*Calculateur!CG191*Calculateur!CI191*VLOOKUP('Données projet'!$B$12,Paramètres!$A$1:$I$89,3,0)*0.475*44/12</f>
        <v>0.7082468348841815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4.68539978707215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261.75887764015459</v>
      </c>
      <c r="CZ191" s="59">
        <f t="shared" si="150"/>
        <v>209.74127356028544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19.711537868592053</v>
      </c>
      <c r="DG191" s="21">
        <f>EXP(-LN(2)/25)*DG190+(1-EXP(-LN(2)/25))/(LN(2)/25)*Calculateur!DB191*Calculateur!DD191*VLOOKUP('Données projet'!$B$13,Paramètres!$A$1:$I$89,3,0)*0.475*44/12</f>
        <v>2.6627003607981794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22.374238229390233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-2.2737367544323206E-13</v>
      </c>
      <c r="DP191" s="17">
        <f>DO191*VLOOKUP('Données projet'!$B$14,Paramètres!$A$1:$I$89,3,0)*VLOOKUP('Données projet'!$B$14,Paramètres!$A$1:$I$89,5,0)</f>
        <v>-1.8089849618263545E-13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215.37468832969444</v>
      </c>
      <c r="DU191" s="59">
        <f t="shared" si="152"/>
        <v>208.60212063136419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12.885341354144451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12.885341354144451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-2.2737367544323206E-13</v>
      </c>
      <c r="EK191" s="17">
        <f>EJ191*VLOOKUP('Données projet'!$B$15,Paramètres!$A$1:$I$89,3,0)*VLOOKUP('Données projet'!$B$15,Paramètres!$A$1:$I$89,5,0)</f>
        <v>-1.8089849618263545E-13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215.37468832969444</v>
      </c>
      <c r="EP191" s="59">
        <f t="shared" si="154"/>
        <v>208.60212063136419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12.885341354144451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12.885341354144451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-2.2737367544323206E-13</v>
      </c>
      <c r="FF191" s="17">
        <f>FE191*VLOOKUP('Données projet'!$B$16,Paramètres!$A$1:$I$89,3,0)*VLOOKUP('Données projet'!$B$16,Paramètres!$A$1:$I$89,5,0)</f>
        <v>-1.8444552551954985E-13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220.90439367987847</v>
      </c>
      <c r="FK191" s="59">
        <f t="shared" si="156"/>
        <v>213.66046131354858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13.137995106186505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13.137995106186505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1">
        <f t="shared" si="140"/>
        <v>39.331378191752862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67">
        <f t="shared" si="110"/>
        <v>628.86224368397018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6.8212102632969618E-13</v>
      </c>
      <c r="O192" s="13">
        <f>N192*VLOOKUP('Données projet'!$B$9,Paramètres!$A$1:$I$89,3,0)*VLOOKUP('Données projet'!$B$9,Paramètres!$A$1:$I$89,5,0)</f>
        <v>3.1923264032229784E-13</v>
      </c>
      <c r="P192" s="13">
        <f t="shared" si="141"/>
        <v>4.1896839804541558E-12</v>
      </c>
      <c r="Q192" s="20">
        <f t="shared" si="162"/>
        <v>7.8530297811856558E-12</v>
      </c>
      <c r="R192" s="59">
        <f t="shared" si="109"/>
        <v>293.33333333334116</v>
      </c>
      <c r="S192" s="59">
        <f ca="1">AVERAGE(OFFSET($R$3,0,0,'Données projet'!$E$9+1,1))-AVERAGE(OFFSET($H$3,0,0,'Données projet'!$E$9+1,1))</f>
        <v>196.72624686715807</v>
      </c>
      <c r="T192" s="59">
        <f t="shared" si="142"/>
        <v>37.315661698104691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36.004277731057172</v>
      </c>
      <c r="AA192" s="21">
        <f>EXP(-LN(2)/25)*AA191+(1-EXP(-LN(2)/25))/(LN(2)/25)*Calculateur!V192*Calculateur!X192*VLOOKUP('Données projet'!$B$9,Paramètres!$A$1:$I$89,3,0)*0.475*44/12</f>
        <v>7.3807634379077056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43.385041168964875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-1.0000000000001137</v>
      </c>
      <c r="AJ192" s="13">
        <f>AI192*VLOOKUP('Données projet'!$B$10,Paramètres!$A$1:$I$89,3,0)*VLOOKUP('Données projet'!$B$10,Paramètres!$A$1:$I$89,5,0)</f>
        <v>-0.55900000000006356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325.42940802362739</v>
      </c>
      <c r="AO192" s="59">
        <f t="shared" si="144"/>
        <v>388.87198417542277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18.210652256786304</v>
      </c>
      <c r="AV192" s="21">
        <f>EXP(-LN(2)/25)*AV191+(1-EXP(-LN(2)/25))/(LN(2)/25)*Calculateur!AQ192*Calculateur!AS192*VLOOKUP('Données projet'!$B$10,Paramètres!$A$1:$I$89,3,0)*0.475*44/12</f>
        <v>2.5312535863968435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20.741905843183147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</v>
      </c>
      <c r="BE192" s="13">
        <f>BD192*VLOOKUP('Données projet'!$B$11,Paramètres!$A$1:$I$89,3,0)*VLOOKUP('Données projet'!$B$11,Paramètres!$A$1:$I$89,5,0)</f>
        <v>-0.624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162.87524915738271</v>
      </c>
      <c r="BJ192" s="59">
        <f t="shared" si="146"/>
        <v>249.37880137966658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11.618355137607148</v>
      </c>
      <c r="BQ192" s="21">
        <f>EXP(-LN(2)/25)*BQ191+(1-EXP(-LN(2)/25))/(LN(2)/25)*Calculateur!BL192*Calculateur!BN192*VLOOKUP('Données projet'!$B$11,Paramètres!$A$1:$I$89,3,0)*0.475*44/12</f>
        <v>1.78461138466641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13.402966522273559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-1.4210854715202004E-13</v>
      </c>
      <c r="BZ192" s="13">
        <f>BY192*VLOOKUP('Données projet'!$B$12,Paramètres!$A$1:$I$89,3,0)*VLOOKUP('Données projet'!$B$12,Paramètres!$A$1:$I$89,5,0)</f>
        <v>-9.3109520094003535E-14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119.88584888779422</v>
      </c>
      <c r="CE192" s="59">
        <f t="shared" si="148"/>
        <v>162.97244314258774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3.8991634086193327</v>
      </c>
      <c r="CL192" s="21">
        <f>EXP(-LN(2)/25)*CL191+(1-EXP(-LN(2)/25))/(LN(2)/25)*Calculateur!CG192*Calculateur!CI192*VLOOKUP('Données projet'!$B$12,Paramètres!$A$1:$I$89,3,0)*0.475*44/12</f>
        <v>0.68887978793919125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4.588043196558524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261.75887764015459</v>
      </c>
      <c r="CZ192" s="59">
        <f t="shared" si="150"/>
        <v>209.74127356028544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19.325006633839905</v>
      </c>
      <c r="DG192" s="21">
        <f>EXP(-LN(2)/25)*DG191+(1-EXP(-LN(2)/25))/(LN(2)/25)*Calculateur!DB192*Calculateur!DD192*VLOOKUP('Données projet'!$B$13,Paramètres!$A$1:$I$89,3,0)*0.475*44/12</f>
        <v>2.589888679406827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21.914895313246731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-2.2737367544323206E-13</v>
      </c>
      <c r="DP192" s="17">
        <f>DO192*VLOOKUP('Données projet'!$B$14,Paramètres!$A$1:$I$89,3,0)*VLOOKUP('Données projet'!$B$14,Paramètres!$A$1:$I$89,5,0)</f>
        <v>-1.8089849618263545E-13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215.37468832969444</v>
      </c>
      <c r="DU192" s="59">
        <f t="shared" si="152"/>
        <v>208.60212063136419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12.632667669471864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12.632667669471864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-2.2737367544323206E-13</v>
      </c>
      <c r="EK192" s="17">
        <f>EJ192*VLOOKUP('Données projet'!$B$15,Paramètres!$A$1:$I$89,3,0)*VLOOKUP('Données projet'!$B$15,Paramètres!$A$1:$I$89,5,0)</f>
        <v>-1.8089849618263545E-13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215.37468832969444</v>
      </c>
      <c r="EP192" s="59">
        <f t="shared" si="154"/>
        <v>208.60212063136419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12.632667669471864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12.632667669471864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-2.2737367544323206E-13</v>
      </c>
      <c r="FF192" s="17">
        <f>FE192*VLOOKUP('Données projet'!$B$16,Paramètres!$A$1:$I$89,3,0)*VLOOKUP('Données projet'!$B$16,Paramètres!$A$1:$I$89,5,0)</f>
        <v>-1.8444552551954985E-13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220.90439367987847</v>
      </c>
      <c r="FK192" s="59">
        <f t="shared" si="156"/>
        <v>213.66046131354858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12.880367035539946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12.880367035539946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1">
        <f t="shared" si="140"/>
        <v>39.515201075361226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67">
        <f t="shared" si="110"/>
        <v>630.59524187292141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6.8212102632969618E-13</v>
      </c>
      <c r="O193" s="13">
        <f>N193*VLOOKUP('Données projet'!$B$9,Paramètres!$A$1:$I$89,3,0)*VLOOKUP('Données projet'!$B$9,Paramètres!$A$1:$I$89,5,0)</f>
        <v>3.1923264032229784E-13</v>
      </c>
      <c r="P193" s="13">
        <f t="shared" si="141"/>
        <v>4.1896839804541558E-12</v>
      </c>
      <c r="Q193" s="20">
        <f t="shared" si="162"/>
        <v>7.8530297811856558E-12</v>
      </c>
      <c r="R193" s="59">
        <f t="shared" si="109"/>
        <v>293.33333333334116</v>
      </c>
      <c r="S193" s="59">
        <f ca="1">AVERAGE(OFFSET($R$3,0,0,'Données projet'!$E$9+1,1))-AVERAGE(OFFSET($H$3,0,0,'Données projet'!$E$9+1,1))</f>
        <v>196.72624686715807</v>
      </c>
      <c r="T193" s="59">
        <f t="shared" si="142"/>
        <v>37.315661698104691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35.298255805192142</v>
      </c>
      <c r="AA193" s="21">
        <f>EXP(-LN(2)/25)*AA192+(1-EXP(-LN(2)/25))/(LN(2)/25)*Calculateur!V193*Calculateur!X193*VLOOKUP('Données projet'!$B$9,Paramètres!$A$1:$I$89,3,0)*0.475*44/12</f>
        <v>7.1789360735606396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42.477191878752784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-1.0000000000001137</v>
      </c>
      <c r="AJ193" s="13">
        <f>AI193*VLOOKUP('Données projet'!$B$10,Paramètres!$A$1:$I$89,3,0)*VLOOKUP('Données projet'!$B$10,Paramètres!$A$1:$I$89,5,0)</f>
        <v>-0.55900000000006356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325.42940802362739</v>
      </c>
      <c r="AO193" s="59">
        <f t="shared" si="144"/>
        <v>388.87198417542277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17.853552473431836</v>
      </c>
      <c r="AV193" s="21">
        <f>EXP(-LN(2)/25)*AV192+(1-EXP(-LN(2)/25))/(LN(2)/25)*Calculateur!AQ193*Calculateur!AS193*VLOOKUP('Données projet'!$B$10,Paramètres!$A$1:$I$89,3,0)*0.475*44/12</f>
        <v>2.4620363239639809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20.315588797395819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</v>
      </c>
      <c r="BE193" s="13">
        <f>BD193*VLOOKUP('Données projet'!$B$11,Paramètres!$A$1:$I$89,3,0)*VLOOKUP('Données projet'!$B$11,Paramètres!$A$1:$I$89,5,0)</f>
        <v>-0.624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162.87524915738271</v>
      </c>
      <c r="BJ193" s="59">
        <f t="shared" si="146"/>
        <v>249.37880137966658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11.390526279855573</v>
      </c>
      <c r="BQ193" s="21">
        <f>EXP(-LN(2)/25)*BQ192+(1-EXP(-LN(2)/25))/(LN(2)/25)*Calculateur!BL193*Calculateur!BN193*VLOOKUP('Données projet'!$B$11,Paramètres!$A$1:$I$89,3,0)*0.475*44/12</f>
        <v>1.7358110925040731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13.126337372359647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-1.4210854715202004E-13</v>
      </c>
      <c r="BZ193" s="13">
        <f>BY193*VLOOKUP('Données projet'!$B$12,Paramètres!$A$1:$I$89,3,0)*VLOOKUP('Données projet'!$B$12,Paramètres!$A$1:$I$89,5,0)</f>
        <v>-9.3109520094003535E-14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119.88584888779422</v>
      </c>
      <c r="CE193" s="59">
        <f t="shared" si="148"/>
        <v>162.97244314258774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3.8227031924311539</v>
      </c>
      <c r="CL193" s="21">
        <f>EXP(-LN(2)/25)*CL192+(1-EXP(-LN(2)/25))/(LN(2)/25)*Calculateur!CG193*Calculateur!CI193*VLOOKUP('Données projet'!$B$12,Paramètres!$A$1:$I$89,3,0)*0.475*44/12</f>
        <v>0.67004233391138046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4.4927455263425342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261.75887764015459</v>
      </c>
      <c r="CZ193" s="59">
        <f t="shared" si="150"/>
        <v>209.74127356028544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18.946055040840474</v>
      </c>
      <c r="DG193" s="21">
        <f>EXP(-LN(2)/25)*DG192+(1-EXP(-LN(2)/25))/(LN(2)/25)*Calculateur!DB193*Calculateur!DD193*VLOOKUP('Données projet'!$B$13,Paramètres!$A$1:$I$89,3,0)*0.475*44/12</f>
        <v>2.5190680372721208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21.465123078112594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-2.2737367544323206E-13</v>
      </c>
      <c r="DP193" s="17">
        <f>DO193*VLOOKUP('Données projet'!$B$14,Paramètres!$A$1:$I$89,3,0)*VLOOKUP('Données projet'!$B$14,Paramètres!$A$1:$I$89,5,0)</f>
        <v>-1.8089849618263545E-13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215.37468832969444</v>
      </c>
      <c r="DU193" s="59">
        <f t="shared" si="152"/>
        <v>208.60212063136419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12.384948761639977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12.384948761639977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-2.2737367544323206E-13</v>
      </c>
      <c r="EK193" s="17">
        <f>EJ193*VLOOKUP('Données projet'!$B$15,Paramètres!$A$1:$I$89,3,0)*VLOOKUP('Données projet'!$B$15,Paramètres!$A$1:$I$89,5,0)</f>
        <v>-1.8089849618263545E-13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215.37468832969444</v>
      </c>
      <c r="EP193" s="59">
        <f t="shared" si="154"/>
        <v>208.60212063136419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12.384948761639977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12.384948761639977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-2.2737367544323206E-13</v>
      </c>
      <c r="FF193" s="17">
        <f>FE193*VLOOKUP('Données projet'!$B$16,Paramètres!$A$1:$I$89,3,0)*VLOOKUP('Données projet'!$B$16,Paramètres!$A$1:$I$89,5,0)</f>
        <v>-1.8444552551954985E-13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220.90439367987847</v>
      </c>
      <c r="FK193" s="59">
        <f t="shared" si="156"/>
        <v>213.66046131354858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12.627790894221159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12.627790894221159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1">
        <f t="shared" si="140"/>
        <v>39.698911377205278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67">
        <f t="shared" si="110"/>
        <v>632.32804398196652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6.8212102632969618E-13</v>
      </c>
      <c r="O194" s="13">
        <f>N194*VLOOKUP('Données projet'!$B$9,Paramètres!$A$1:$I$89,3,0)*VLOOKUP('Données projet'!$B$9,Paramètres!$A$1:$I$89,5,0)</f>
        <v>3.1923264032229784E-13</v>
      </c>
      <c r="P194" s="13">
        <f t="shared" si="141"/>
        <v>4.1896839804541558E-12</v>
      </c>
      <c r="Q194" s="20">
        <f t="shared" si="162"/>
        <v>7.8530297811856558E-12</v>
      </c>
      <c r="R194" s="59">
        <f t="shared" si="109"/>
        <v>293.33333333334116</v>
      </c>
      <c r="S194" s="59">
        <f ca="1">AVERAGE(OFFSET($R$3,0,0,'Données projet'!$E$9+1,1))-AVERAGE(OFFSET($H$3,0,0,'Données projet'!$E$9+1,1))</f>
        <v>196.72624686715807</v>
      </c>
      <c r="T194" s="59">
        <f t="shared" si="142"/>
        <v>37.315661698104691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34.606078538662473</v>
      </c>
      <c r="AA194" s="21">
        <f>EXP(-LN(2)/25)*AA193+(1-EXP(-LN(2)/25))/(LN(2)/25)*Calculateur!V194*Calculateur!X194*VLOOKUP('Données projet'!$B$9,Paramètres!$A$1:$I$89,3,0)*0.475*44/12</f>
        <v>6.9826276891052839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41.588706227767759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-1.0000000000001137</v>
      </c>
      <c r="AJ194" s="13">
        <f>AI194*VLOOKUP('Données projet'!$B$10,Paramètres!$A$1:$I$89,3,0)*VLOOKUP('Données projet'!$B$10,Paramètres!$A$1:$I$89,5,0)</f>
        <v>-0.55900000000006356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325.42940802362739</v>
      </c>
      <c r="AO194" s="59">
        <f t="shared" si="144"/>
        <v>388.87198417542277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17.503455199019591</v>
      </c>
      <c r="AV194" s="21">
        <f>EXP(-LN(2)/25)*AV193+(1-EXP(-LN(2)/25))/(LN(2)/25)*Calculateur!AQ194*Calculateur!AS194*VLOOKUP('Données projet'!$B$10,Paramètres!$A$1:$I$89,3,0)*0.475*44/12</f>
        <v>2.3947118112123227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19.898167010231912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</v>
      </c>
      <c r="BE194" s="13">
        <f>BD194*VLOOKUP('Données projet'!$B$11,Paramètres!$A$1:$I$89,3,0)*VLOOKUP('Données projet'!$B$11,Paramètres!$A$1:$I$89,5,0)</f>
        <v>-0.624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162.87524915738271</v>
      </c>
      <c r="BJ194" s="59">
        <f t="shared" si="146"/>
        <v>249.37880137966658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11.167165007042623</v>
      </c>
      <c r="BQ194" s="21">
        <f>EXP(-LN(2)/25)*BQ193+(1-EXP(-LN(2)/25))/(LN(2)/25)*Calculateur!BL194*Calculateur!BN194*VLOOKUP('Données projet'!$B$11,Paramètres!$A$1:$I$89,3,0)*0.475*44/12</f>
        <v>1.6883452468972111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12.855510253939833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-1.4210854715202004E-13</v>
      </c>
      <c r="BZ194" s="13">
        <f>BY194*VLOOKUP('Données projet'!$B$12,Paramètres!$A$1:$I$89,3,0)*VLOOKUP('Données projet'!$B$12,Paramètres!$A$1:$I$89,5,0)</f>
        <v>-9.3109520094003535E-14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119.88584888779422</v>
      </c>
      <c r="CE194" s="59">
        <f t="shared" si="148"/>
        <v>162.97244314258774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3.747742314446298</v>
      </c>
      <c r="CL194" s="21">
        <f>EXP(-LN(2)/25)*CL193+(1-EXP(-LN(2)/25))/(LN(2)/25)*Calculateur!CG194*Calculateur!CI194*VLOOKUP('Données projet'!$B$12,Paramètres!$A$1:$I$89,3,0)*0.475*44/12</f>
        <v>0.65171999105457878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4.3994623055008768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261.75887764015459</v>
      </c>
      <c r="CZ194" s="59">
        <f t="shared" si="150"/>
        <v>209.74127356028544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18.574534457442113</v>
      </c>
      <c r="DG194" s="21">
        <f>EXP(-LN(2)/25)*DG193+(1-EXP(-LN(2)/25))/(LN(2)/25)*Calculateur!DB194*Calculateur!DD194*VLOOKUP('Données projet'!$B$13,Paramètres!$A$1:$I$89,3,0)*0.475*44/12</f>
        <v>2.4501839893208839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21.024718446762996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-2.2737367544323206E-13</v>
      </c>
      <c r="DP194" s="17">
        <f>DO194*VLOOKUP('Données projet'!$B$14,Paramètres!$A$1:$I$89,3,0)*VLOOKUP('Données projet'!$B$14,Paramètres!$A$1:$I$89,5,0)</f>
        <v>-1.8089849618263545E-13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215.37468832969444</v>
      </c>
      <c r="DU194" s="59">
        <f t="shared" si="152"/>
        <v>208.60212063136419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12.14208747049706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12.14208747049706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-2.2737367544323206E-13</v>
      </c>
      <c r="EK194" s="17">
        <f>EJ194*VLOOKUP('Données projet'!$B$15,Paramètres!$A$1:$I$89,3,0)*VLOOKUP('Données projet'!$B$15,Paramètres!$A$1:$I$89,5,0)</f>
        <v>-1.8089849618263545E-13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215.37468832969444</v>
      </c>
      <c r="EP194" s="59">
        <f t="shared" si="154"/>
        <v>208.60212063136419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12.14208747049706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12.14208747049706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-2.2737367544323206E-13</v>
      </c>
      <c r="FF194" s="17">
        <f>FE194*VLOOKUP('Données projet'!$B$16,Paramètres!$A$1:$I$89,3,0)*VLOOKUP('Données projet'!$B$16,Paramètres!$A$1:$I$89,5,0)</f>
        <v>-1.8444552551954985E-13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220.90439367987847</v>
      </c>
      <c r="FK194" s="59">
        <f t="shared" si="156"/>
        <v>213.66046131354858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12.380167616977399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12.380167616977399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1">
        <f t="shared" si="140"/>
        <v>39.88250975513386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67">
        <f t="shared" si="110"/>
        <v>634.06065115685885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6.8212102632969618E-13</v>
      </c>
      <c r="O195" s="13">
        <f>N195*VLOOKUP('Données projet'!$B$9,Paramètres!$A$1:$I$89,3,0)*VLOOKUP('Données projet'!$B$9,Paramètres!$A$1:$I$89,5,0)</f>
        <v>3.1923264032229784E-13</v>
      </c>
      <c r="P195" s="13">
        <f t="shared" si="141"/>
        <v>4.1896839804541558E-12</v>
      </c>
      <c r="Q195" s="20">
        <f t="shared" si="162"/>
        <v>7.8530297811856558E-12</v>
      </c>
      <c r="R195" s="59">
        <f t="shared" ref="R195:R203" si="191">Q195+(I195+J195)*44/12</f>
        <v>293.33333333334116</v>
      </c>
      <c r="S195" s="59">
        <f ca="1">AVERAGE(OFFSET($R$3,0,0,'Données projet'!$E$9+1,1))-AVERAGE(OFFSET($H$3,0,0,'Données projet'!$E$9+1,1))</f>
        <v>196.72624686715807</v>
      </c>
      <c r="T195" s="59">
        <f t="shared" si="142"/>
        <v>37.315661698104691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33.927474446143009</v>
      </c>
      <c r="AA195" s="21">
        <f>EXP(-LN(2)/25)*AA194+(1-EXP(-LN(2)/25))/(LN(2)/25)*Calculateur!V195*Calculateur!X195*VLOOKUP('Données projet'!$B$9,Paramètres!$A$1:$I$89,3,0)*0.475*44/12</f>
        <v>6.7916873677462686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40.719161813889279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-1.0000000000001137</v>
      </c>
      <c r="AJ195" s="13">
        <f>AI195*VLOOKUP('Données projet'!$B$10,Paramètres!$A$1:$I$89,3,0)*VLOOKUP('Données projet'!$B$10,Paramètres!$A$1:$I$89,5,0)</f>
        <v>-0.55900000000006356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325.42940802362739</v>
      </c>
      <c r="AO195" s="59">
        <f t="shared" si="144"/>
        <v>388.87198417542277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17.160223118620316</v>
      </c>
      <c r="AV195" s="21">
        <f>EXP(-LN(2)/25)*AV194+(1-EXP(-LN(2)/25))/(LN(2)/25)*Calculateur!AQ195*Calculateur!AS195*VLOOKUP('Données projet'!$B$10,Paramètres!$A$1:$I$89,3,0)*0.475*44/12</f>
        <v>2.3292282908023005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19.489451409422617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</v>
      </c>
      <c r="BE195" s="13">
        <f>BD195*VLOOKUP('Données projet'!$B$11,Paramètres!$A$1:$I$89,3,0)*VLOOKUP('Données projet'!$B$11,Paramètres!$A$1:$I$89,5,0)</f>
        <v>-0.624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162.87524915738271</v>
      </c>
      <c r="BJ195" s="59">
        <f t="shared" si="146"/>
        <v>249.37880137966658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10.948183712552611</v>
      </c>
      <c r="BQ195" s="21">
        <f>EXP(-LN(2)/25)*BQ194+(1-EXP(-LN(2)/25))/(LN(2)/25)*Calculateur!BL195*Calculateur!BN195*VLOOKUP('Données projet'!$B$11,Paramètres!$A$1:$I$89,3,0)*0.475*44/12</f>
        <v>1.642177357334589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12.5903610698872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-1.4210854715202004E-13</v>
      </c>
      <c r="BZ195" s="13">
        <f>BY195*VLOOKUP('Données projet'!$B$12,Paramètres!$A$1:$I$89,3,0)*VLOOKUP('Données projet'!$B$12,Paramètres!$A$1:$I$89,5,0)</f>
        <v>-9.3109520094003535E-14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119.88584888779422</v>
      </c>
      <c r="CE195" s="59">
        <f t="shared" si="148"/>
        <v>162.97244314258774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3.6742513735571043</v>
      </c>
      <c r="CL195" s="21">
        <f>EXP(-LN(2)/25)*CL194+(1-EXP(-LN(2)/25))/(LN(2)/25)*Calculateur!CG195*Calculateur!CI195*VLOOKUP('Données projet'!$B$12,Paramètres!$A$1:$I$89,3,0)*0.475*44/12</f>
        <v>0.63389867362672647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4.3081500471838305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261.75887764015459</v>
      </c>
      <c r="CZ195" s="59">
        <f t="shared" si="150"/>
        <v>209.74127356028544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18.210299166079011</v>
      </c>
      <c r="DG195" s="21">
        <f>EXP(-LN(2)/25)*DG194+(1-EXP(-LN(2)/25))/(LN(2)/25)*Calculateur!DB195*Calculateur!DD195*VLOOKUP('Données projet'!$B$13,Paramètres!$A$1:$I$89,3,0)*0.475*44/12</f>
        <v>2.3831835792833282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20.593482745362341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-2.2737367544323206E-13</v>
      </c>
      <c r="DP195" s="17">
        <f>DO195*VLOOKUP('Données projet'!$B$14,Paramètres!$A$1:$I$89,3,0)*VLOOKUP('Données projet'!$B$14,Paramètres!$A$1:$I$89,5,0)</f>
        <v>-1.8089849618263545E-13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215.37468832969444</v>
      </c>
      <c r="DU195" s="59">
        <f t="shared" si="152"/>
        <v>208.60212063136419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11.903988541142693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11.903988541142693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-2.2737367544323206E-13</v>
      </c>
      <c r="EK195" s="17">
        <f>EJ195*VLOOKUP('Données projet'!$B$15,Paramètres!$A$1:$I$89,3,0)*VLOOKUP('Données projet'!$B$15,Paramètres!$A$1:$I$89,5,0)</f>
        <v>-1.8089849618263545E-13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215.37468832969444</v>
      </c>
      <c r="EP195" s="59">
        <f t="shared" si="154"/>
        <v>208.60212063136419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11.903988541142693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11.903988541142693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-2.2737367544323206E-13</v>
      </c>
      <c r="FF195" s="17">
        <f>FE195*VLOOKUP('Données projet'!$B$16,Paramètres!$A$1:$I$89,3,0)*VLOOKUP('Données projet'!$B$16,Paramètres!$A$1:$I$89,5,0)</f>
        <v>-1.8444552551954985E-13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220.90439367987847</v>
      </c>
      <c r="FK195" s="59">
        <f t="shared" si="156"/>
        <v>213.66046131354858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12.137400081165104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12.137400081165104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1">
        <f t="shared" si="140"/>
        <v>40.065996859746583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67">
        <f t="shared" ref="H196:H203" si="192">(B196+E196+F196)*44/12+(C196+D196)*0.475*44/12</f>
        <v>635.79306453072604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6.8212102632969618E-13</v>
      </c>
      <c r="O196" s="13">
        <f>N196*VLOOKUP('Données projet'!$B$9,Paramètres!$A$1:$I$89,3,0)*VLOOKUP('Données projet'!$B$9,Paramètres!$A$1:$I$89,5,0)</f>
        <v>3.1923264032229784E-13</v>
      </c>
      <c r="P196" s="13">
        <f t="shared" si="141"/>
        <v>4.1896839804541558E-12</v>
      </c>
      <c r="Q196" s="20">
        <f t="shared" si="162"/>
        <v>7.8530297811856558E-12</v>
      </c>
      <c r="R196" s="59">
        <f t="shared" si="191"/>
        <v>293.33333333334116</v>
      </c>
      <c r="S196" s="59">
        <f ca="1">AVERAGE(OFFSET($R$3,0,0,'Données projet'!$E$9+1,1))-AVERAGE(OFFSET($H$3,0,0,'Données projet'!$E$9+1,1))</f>
        <v>196.72624686715807</v>
      </c>
      <c r="T196" s="59">
        <f t="shared" si="142"/>
        <v>37.315661698104691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33.262177365970224</v>
      </c>
      <c r="AA196" s="21">
        <f>EXP(-LN(2)/25)*AA195+(1-EXP(-LN(2)/25))/(LN(2)/25)*Calculateur!V196*Calculateur!X196*VLOOKUP('Données projet'!$B$9,Paramètres!$A$1:$I$89,3,0)*0.475*44/12</f>
        <v>6.6059683195159309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39.868145685486155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-1.0000000000001137</v>
      </c>
      <c r="AJ196" s="13">
        <f>AI196*VLOOKUP('Données projet'!$B$10,Paramètres!$A$1:$I$89,3,0)*VLOOKUP('Données projet'!$B$10,Paramètres!$A$1:$I$89,5,0)</f>
        <v>-0.55900000000006356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325.42940802362739</v>
      </c>
      <c r="AO196" s="59">
        <f t="shared" si="144"/>
        <v>388.87198417542277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16.823721609966771</v>
      </c>
      <c r="AV196" s="21">
        <f>EXP(-LN(2)/25)*AV195+(1-EXP(-LN(2)/25))/(LN(2)/25)*Calculateur!AQ196*Calculateur!AS196*VLOOKUP('Données projet'!$B$10,Paramètres!$A$1:$I$89,3,0)*0.475*44/12</f>
        <v>2.2655354207015193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19.089257030668289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</v>
      </c>
      <c r="BE196" s="13">
        <f>BD196*VLOOKUP('Données projet'!$B$11,Paramètres!$A$1:$I$89,3,0)*VLOOKUP('Données projet'!$B$11,Paramètres!$A$1:$I$89,5,0)</f>
        <v>-0.624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162.87524915738271</v>
      </c>
      <c r="BJ196" s="59">
        <f t="shared" si="146"/>
        <v>249.37880137966658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10.733496507682148</v>
      </c>
      <c r="BQ196" s="21">
        <f>EXP(-LN(2)/25)*BQ195+(1-EXP(-LN(2)/25))/(LN(2)/25)*Calculateur!BL196*Calculateur!BN196*VLOOKUP('Données projet'!$B$11,Paramètres!$A$1:$I$89,3,0)*0.475*44/12</f>
        <v>1.5972719311399206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12.330768438822068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-1.4210854715202004E-13</v>
      </c>
      <c r="BZ196" s="13">
        <f>BY196*VLOOKUP('Données projet'!$B$12,Paramètres!$A$1:$I$89,3,0)*VLOOKUP('Données projet'!$B$12,Paramètres!$A$1:$I$89,5,0)</f>
        <v>-9.3109520094003535E-14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119.88584888779422</v>
      </c>
      <c r="CE196" s="59">
        <f t="shared" si="148"/>
        <v>162.97244314258774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3.6022015451936999</v>
      </c>
      <c r="CL196" s="21">
        <f>EXP(-LN(2)/25)*CL195+(1-EXP(-LN(2)/25))/(LN(2)/25)*Calculateur!CG196*Calculateur!CI196*VLOOKUP('Données projet'!$B$12,Paramètres!$A$1:$I$89,3,0)*0.475*44/12</f>
        <v>0.61656468106112117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4.2187662262548216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261.75887764015459</v>
      </c>
      <c r="CZ196" s="59">
        <f t="shared" si="150"/>
        <v>209.74127356028544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17.853206306617949</v>
      </c>
      <c r="DG196" s="21">
        <f>EXP(-LN(2)/25)*DG195+(1-EXP(-LN(2)/25))/(LN(2)/25)*Calculateur!DB196*Calculateur!DD196*VLOOKUP('Données projet'!$B$13,Paramètres!$A$1:$I$89,3,0)*0.475*44/12</f>
        <v>2.3180152989816478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20.171221605599598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-2.2737367544323206E-13</v>
      </c>
      <c r="DP196" s="17">
        <f>DO196*VLOOKUP('Données projet'!$B$14,Paramètres!$A$1:$I$89,3,0)*VLOOKUP('Données projet'!$B$14,Paramètres!$A$1:$I$89,5,0)</f>
        <v>-1.8089849618263545E-13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215.37468832969444</v>
      </c>
      <c r="DU196" s="59">
        <f t="shared" si="152"/>
        <v>208.60212063136419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11.670558586566958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11.670558586566958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-2.2737367544323206E-13</v>
      </c>
      <c r="EK196" s="17">
        <f>EJ196*VLOOKUP('Données projet'!$B$15,Paramètres!$A$1:$I$89,3,0)*VLOOKUP('Données projet'!$B$15,Paramètres!$A$1:$I$89,5,0)</f>
        <v>-1.8089849618263545E-13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215.37468832969444</v>
      </c>
      <c r="EP196" s="59">
        <f t="shared" si="154"/>
        <v>208.60212063136419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11.670558586566958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11.670558586566958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-2.2737367544323206E-13</v>
      </c>
      <c r="FF196" s="17">
        <f>FE196*VLOOKUP('Données projet'!$B$16,Paramètres!$A$1:$I$89,3,0)*VLOOKUP('Données projet'!$B$16,Paramètres!$A$1:$I$89,5,0)</f>
        <v>-1.8444552551954985E-13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220.90439367987847</v>
      </c>
      <c r="FK196" s="59">
        <f t="shared" si="156"/>
        <v>213.66046131354858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11.899393068656513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11.899393068656513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1">
        <f t="shared" ref="D197:D203" si="202">IFERROR(EXP(-1.0587+0.8836*LN(C197)+0.284),0)</f>
        <v>40.249373334510764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67">
        <f t="shared" si="192"/>
        <v>637.5252852242736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6.8212102632969618E-13</v>
      </c>
      <c r="O197" s="13">
        <f>N197*VLOOKUP('Données projet'!$B$9,Paramètres!$A$1:$I$89,3,0)*VLOOKUP('Données projet'!$B$9,Paramètres!$A$1:$I$89,5,0)</f>
        <v>3.1923264032229784E-13</v>
      </c>
      <c r="P197" s="13">
        <f t="shared" ref="P197:P203" si="203">EXP(-1.0587+0.8836*LN(O197)+0.284)</f>
        <v>4.1896839804541558E-12</v>
      </c>
      <c r="Q197" s="20">
        <f t="shared" si="162"/>
        <v>7.8530297811856558E-12</v>
      </c>
      <c r="R197" s="59">
        <f t="shared" si="191"/>
        <v>293.33333333334116</v>
      </c>
      <c r="S197" s="59">
        <f ca="1">AVERAGE(OFFSET($R$3,0,0,'Données projet'!$E$9+1,1))-AVERAGE(OFFSET($H$3,0,0,'Données projet'!$E$9+1,1))</f>
        <v>196.72624686715807</v>
      </c>
      <c r="T197" s="59">
        <f t="shared" ref="T197:T203" si="204">$T$3</f>
        <v>37.315661698104691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32.609926355748478</v>
      </c>
      <c r="AA197" s="21">
        <f>EXP(-LN(2)/25)*AA196+(1-EXP(-LN(2)/25))/(LN(2)/25)*Calculateur!V197*Calculateur!X197*VLOOKUP('Données projet'!$B$9,Paramètres!$A$1:$I$89,3,0)*0.475*44/12</f>
        <v>6.4253277684259924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39.035254124174472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-1.0000000000001137</v>
      </c>
      <c r="AJ197" s="13">
        <f>AI197*VLOOKUP('Données projet'!$B$10,Paramètres!$A$1:$I$89,3,0)*VLOOKUP('Données projet'!$B$10,Paramètres!$A$1:$I$89,5,0)</f>
        <v>-0.55900000000006356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325.42940802362739</v>
      </c>
      <c r="AO197" s="59">
        <f t="shared" ref="AO197:AO203" si="205">$AO$3</f>
        <v>388.87198417542277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16.493818690652269</v>
      </c>
      <c r="AV197" s="21">
        <f>EXP(-LN(2)/25)*AV196+(1-EXP(-LN(2)/25))/(LN(2)/25)*Calculateur!AQ197*Calculateur!AS197*VLOOKUP('Données projet'!$B$10,Paramètres!$A$1:$I$89,3,0)*0.475*44/12</f>
        <v>2.2035842354831066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18.697402926135375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</v>
      </c>
      <c r="BE197" s="13">
        <f>BD197*VLOOKUP('Données projet'!$B$11,Paramètres!$A$1:$I$89,3,0)*VLOOKUP('Données projet'!$B$11,Paramètres!$A$1:$I$89,5,0)</f>
        <v>-0.624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162.87524915738271</v>
      </c>
      <c r="BJ197" s="59">
        <f t="shared" ref="BJ197:BJ203" si="206">$BJ$3</f>
        <v>249.37880137966658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10.523019187952929</v>
      </c>
      <c r="BQ197" s="21">
        <f>EXP(-LN(2)/25)*BQ196+(1-EXP(-LN(2)/25))/(LN(2)/25)*Calculateur!BL197*Calculateur!BN197*VLOOKUP('Données projet'!$B$11,Paramètres!$A$1:$I$89,3,0)*0.475*44/12</f>
        <v>1.5535944461860192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12.076613634138948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-1.4210854715202004E-13</v>
      </c>
      <c r="BZ197" s="13">
        <f>BY197*VLOOKUP('Données projet'!$B$12,Paramètres!$A$1:$I$89,3,0)*VLOOKUP('Données projet'!$B$12,Paramètres!$A$1:$I$89,5,0)</f>
        <v>-9.3109520094003535E-14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119.88584888779422</v>
      </c>
      <c r="CE197" s="59">
        <f t="shared" ref="CE197:CE203" si="207">$CE$3</f>
        <v>162.97244314258774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3.5315645700184457</v>
      </c>
      <c r="CL197" s="21">
        <f>EXP(-LN(2)/25)*CL196+(1-EXP(-LN(2)/25))/(LN(2)/25)*Calculateur!CG197*Calculateur!CI197*VLOOKUP('Données projet'!$B$12,Paramètres!$A$1:$I$89,3,0)*0.475*44/12</f>
        <v>0.59970468743377736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4.1312692574522227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261.75887764015459</v>
      </c>
      <c r="CZ197" s="59">
        <f t="shared" ref="CZ197:CZ203" si="208">$CZ$3</f>
        <v>209.74127356028544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17.503115820325782</v>
      </c>
      <c r="DG197" s="21">
        <f>EXP(-LN(2)/25)*DG196+(1-EXP(-LN(2)/25))/(LN(2)/25)*Calculateur!DB197*Calculateur!DD197*VLOOKUP('Données projet'!$B$13,Paramètres!$A$1:$I$89,3,0)*0.475*44/12</f>
        <v>2.2546290487318679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19.75774486905765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-2.2737367544323206E-13</v>
      </c>
      <c r="DP197" s="17">
        <f>DO197*VLOOKUP('Données projet'!$B$14,Paramètres!$A$1:$I$89,3,0)*VLOOKUP('Données projet'!$B$14,Paramètres!$A$1:$I$89,5,0)</f>
        <v>-1.8089849618263545E-13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215.37468832969444</v>
      </c>
      <c r="DU197" s="59">
        <f t="shared" ref="DU197:DU203" si="209">$DU$3</f>
        <v>208.60212063136419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11.441706051022241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11.441706051022241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-2.2737367544323206E-13</v>
      </c>
      <c r="EK197" s="17">
        <f>EJ197*VLOOKUP('Données projet'!$B$15,Paramètres!$A$1:$I$89,3,0)*VLOOKUP('Données projet'!$B$15,Paramètres!$A$1:$I$89,5,0)</f>
        <v>-1.8089849618263545E-13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215.37468832969444</v>
      </c>
      <c r="EP197" s="59">
        <f t="shared" ref="EP197:EP203" si="210">$EP$3</f>
        <v>208.60212063136419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11.441706051022241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11.441706051022241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-2.2737367544323206E-13</v>
      </c>
      <c r="FF197" s="17">
        <f>FE197*VLOOKUP('Données projet'!$B$16,Paramètres!$A$1:$I$89,3,0)*VLOOKUP('Données projet'!$B$16,Paramètres!$A$1:$I$89,5,0)</f>
        <v>-1.8444552551954985E-13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220.90439367987847</v>
      </c>
      <c r="FK197" s="59">
        <f t="shared" ref="FK197:FK203" si="211">$FK$3</f>
        <v>213.66046131354858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11.666053228493272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11.666053228493272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1">
        <f t="shared" si="202"/>
        <v>40.432639815875952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67">
        <f t="shared" si="192"/>
        <v>639.2573143459847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6.8212102632969618E-13</v>
      </c>
      <c r="O198" s="13">
        <f>N198*VLOOKUP('Données projet'!$B$9,Paramètres!$A$1:$I$89,3,0)*VLOOKUP('Données projet'!$B$9,Paramètres!$A$1:$I$89,5,0)</f>
        <v>3.1923264032229784E-13</v>
      </c>
      <c r="P198" s="13">
        <f t="shared" si="203"/>
        <v>4.1896839804541558E-12</v>
      </c>
      <c r="Q198" s="20">
        <f t="shared" si="162"/>
        <v>7.8530297811856558E-12</v>
      </c>
      <c r="R198" s="59">
        <f t="shared" si="191"/>
        <v>293.33333333334116</v>
      </c>
      <c r="S198" s="59">
        <f ca="1">AVERAGE(OFFSET($R$3,0,0,'Données projet'!$E$9+1,1))-AVERAGE(OFFSET($H$3,0,0,'Données projet'!$E$9+1,1))</f>
        <v>196.72624686715807</v>
      </c>
      <c r="T198" s="59">
        <f t="shared" si="204"/>
        <v>37.315661698104691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31.970465590003343</v>
      </c>
      <c r="AA198" s="21">
        <f>EXP(-LN(2)/25)*AA197+(1-EXP(-LN(2)/25))/(LN(2)/25)*Calculateur!V198*Calculateur!X198*VLOOKUP('Données projet'!$B$9,Paramètres!$A$1:$I$89,3,0)*0.475*44/12</f>
        <v>6.2496268427050818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38.220092432708427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-1.0000000000001137</v>
      </c>
      <c r="AJ198" s="13">
        <f>AI198*VLOOKUP('Données projet'!$B$10,Paramètres!$A$1:$I$89,3,0)*VLOOKUP('Données projet'!$B$10,Paramètres!$A$1:$I$89,5,0)</f>
        <v>-0.55900000000006356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325.42940802362739</v>
      </c>
      <c r="AO198" s="59">
        <f t="shared" si="205"/>
        <v>388.87198417542277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16.170384966364612</v>
      </c>
      <c r="AV198" s="21">
        <f>EXP(-LN(2)/25)*AV197+(1-EXP(-LN(2)/25))/(LN(2)/25)*Calculateur!AQ198*Calculateur!AS198*VLOOKUP('Données projet'!$B$10,Paramètres!$A$1:$I$89,3,0)*0.475*44/12</f>
        <v>2.1433271086823624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18.313712075046976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</v>
      </c>
      <c r="BE198" s="13">
        <f>BD198*VLOOKUP('Données projet'!$B$11,Paramètres!$A$1:$I$89,3,0)*VLOOKUP('Données projet'!$B$11,Paramètres!$A$1:$I$89,5,0)</f>
        <v>-0.624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162.87524915738271</v>
      </c>
      <c r="BJ198" s="59">
        <f t="shared" si="206"/>
        <v>249.37880137966658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10.316669200085112</v>
      </c>
      <c r="BQ198" s="21">
        <f>EXP(-LN(2)/25)*BQ197+(1-EXP(-LN(2)/25))/(LN(2)/25)*Calculateur!BL198*Calculateur!BN198*VLOOKUP('Données projet'!$B$11,Paramètres!$A$1:$I$89,3,0)*0.475*44/12</f>
        <v>1.5111113243550813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11.827780524440193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-1.4210854715202004E-13</v>
      </c>
      <c r="BZ198" s="13">
        <f>BY198*VLOOKUP('Données projet'!$B$12,Paramètres!$A$1:$I$89,3,0)*VLOOKUP('Données projet'!$B$12,Paramètres!$A$1:$I$89,5,0)</f>
        <v>-9.3109520094003535E-14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119.88584888779422</v>
      </c>
      <c r="CE198" s="59">
        <f t="shared" si="207"/>
        <v>162.97244314258774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3.4623127428420779</v>
      </c>
      <c r="CL198" s="21">
        <f>EXP(-LN(2)/25)*CL197+(1-EXP(-LN(2)/25))/(LN(2)/25)*Calculateur!CG198*Calculateur!CI198*VLOOKUP('Données projet'!$B$12,Paramètres!$A$1:$I$89,3,0)*0.475*44/12</f>
        <v>0.5833057312188018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4.0456184740608796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261.75887764015459</v>
      </c>
      <c r="CZ198" s="59">
        <f t="shared" si="208"/>
        <v>209.74127356028544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17.15989039493569</v>
      </c>
      <c r="DG198" s="21">
        <f>EXP(-LN(2)/25)*DG197+(1-EXP(-LN(2)/25))/(LN(2)/25)*Calculateur!DB198*Calculateur!DD198*VLOOKUP('Données projet'!$B$13,Paramètres!$A$1:$I$89,3,0)*0.475*44/12</f>
        <v>2.1929760988285061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19.352866493764196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-2.2737367544323206E-13</v>
      </c>
      <c r="DP198" s="17">
        <f>DO198*VLOOKUP('Données projet'!$B$14,Paramètres!$A$1:$I$89,3,0)*VLOOKUP('Données projet'!$B$14,Paramètres!$A$1:$I$89,5,0)</f>
        <v>-1.8089849618263545E-13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215.37468832969444</v>
      </c>
      <c r="DU198" s="59">
        <f t="shared" si="209"/>
        <v>208.60212063136419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11.21734117411329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11.21734117411329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-2.2737367544323206E-13</v>
      </c>
      <c r="EK198" s="17">
        <f>EJ198*VLOOKUP('Données projet'!$B$15,Paramètres!$A$1:$I$89,3,0)*VLOOKUP('Données projet'!$B$15,Paramètres!$A$1:$I$89,5,0)</f>
        <v>-1.8089849618263545E-13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215.37468832969444</v>
      </c>
      <c r="EP198" s="59">
        <f t="shared" si="210"/>
        <v>208.60212063136419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11.21734117411329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11.21734117411329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-2.2737367544323206E-13</v>
      </c>
      <c r="FF198" s="17">
        <f>FE198*VLOOKUP('Données projet'!$B$16,Paramètres!$A$1:$I$89,3,0)*VLOOKUP('Données projet'!$B$16,Paramètres!$A$1:$I$89,5,0)</f>
        <v>-1.8444552551954985E-13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220.90439367987847</v>
      </c>
      <c r="FK198" s="59">
        <f t="shared" si="211"/>
        <v>213.66046131354858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11.437289040272383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11.437289040272383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1">
        <f t="shared" si="202"/>
        <v>40.61579693338615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67">
        <f t="shared" si="192"/>
        <v>640.98915299231498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6.8212102632969618E-13</v>
      </c>
      <c r="O199" s="13">
        <f>N199*VLOOKUP('Données projet'!$B$9,Paramètres!$A$1:$I$89,3,0)*VLOOKUP('Données projet'!$B$9,Paramètres!$A$1:$I$89,5,0)</f>
        <v>3.1923264032229784E-13</v>
      </c>
      <c r="P199" s="13">
        <f t="shared" si="203"/>
        <v>4.1896839804541558E-12</v>
      </c>
      <c r="Q199" s="20">
        <f t="shared" si="162"/>
        <v>7.8530297811856558E-12</v>
      </c>
      <c r="R199" s="59">
        <f t="shared" si="191"/>
        <v>293.33333333334116</v>
      </c>
      <c r="S199" s="59">
        <f ca="1">AVERAGE(OFFSET($R$3,0,0,'Données projet'!$E$9+1,1))-AVERAGE(OFFSET($H$3,0,0,'Données projet'!$E$9+1,1))</f>
        <v>196.72624686715807</v>
      </c>
      <c r="T199" s="59">
        <f t="shared" si="204"/>
        <v>37.315661698104691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31.343544259841916</v>
      </c>
      <c r="AA199" s="21">
        <f>EXP(-LN(2)/25)*AA198+(1-EXP(-LN(2)/25))/(LN(2)/25)*Calculateur!V199*Calculateur!X199*VLOOKUP('Données projet'!$B$9,Paramètres!$A$1:$I$89,3,0)*0.475*44/12</f>
        <v>6.0787304680377199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37.422274727879639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-1.0000000000001137</v>
      </c>
      <c r="AJ199" s="13">
        <f>AI199*VLOOKUP('Données projet'!$B$10,Paramètres!$A$1:$I$89,3,0)*VLOOKUP('Données projet'!$B$10,Paramètres!$A$1:$I$89,5,0)</f>
        <v>-0.55900000000006356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325.42940802362739</v>
      </c>
      <c r="AO199" s="59">
        <f t="shared" si="205"/>
        <v>388.87198417542277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15.853293580135144</v>
      </c>
      <c r="AV199" s="21">
        <f>EXP(-LN(2)/25)*AV198+(1-EXP(-LN(2)/25))/(LN(2)/25)*Calculateur!AQ199*Calculateur!AS199*VLOOKUP('Données projet'!$B$10,Paramètres!$A$1:$I$89,3,0)*0.475*44/12</f>
        <v>2.084717716182769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17.938011296317914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</v>
      </c>
      <c r="BE199" s="13">
        <f>BD199*VLOOKUP('Données projet'!$B$11,Paramètres!$A$1:$I$89,3,0)*VLOOKUP('Données projet'!$B$11,Paramètres!$A$1:$I$89,5,0)</f>
        <v>-0.624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162.87524915738271</v>
      </c>
      <c r="BJ199" s="59">
        <f t="shared" si="206"/>
        <v>249.37880137966658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10.114365609618318</v>
      </c>
      <c r="BQ199" s="21">
        <f>EXP(-LN(2)/25)*BQ198+(1-EXP(-LN(2)/25))/(LN(2)/25)*Calculateur!BL199*Calculateur!BN199*VLOOKUP('Données projet'!$B$11,Paramètres!$A$1:$I$89,3,0)*0.475*44/12</f>
        <v>1.4697899057247008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11.584155515343019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-1.4210854715202004E-13</v>
      </c>
      <c r="BZ199" s="13">
        <f>BY199*VLOOKUP('Données projet'!$B$12,Paramètres!$A$1:$I$89,3,0)*VLOOKUP('Données projet'!$B$12,Paramètres!$A$1:$I$89,5,0)</f>
        <v>-9.3109520094003535E-14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119.88584888779422</v>
      </c>
      <c r="CE199" s="59">
        <f t="shared" si="207"/>
        <v>162.97244314258774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3.3944189017571946</v>
      </c>
      <c r="CL199" s="21">
        <f>EXP(-LN(2)/25)*CL198+(1-EXP(-LN(2)/25))/(LN(2)/25)*Calculateur!CG199*Calculateur!CI199*VLOOKUP('Données projet'!$B$12,Paramètres!$A$1:$I$89,3,0)*0.475*44/12</f>
        <v>0.56735520532390837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3.9617741070811032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261.75887764015459</v>
      </c>
      <c r="CZ199" s="59">
        <f t="shared" si="208"/>
        <v>209.74127356028544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16.82339541079066</v>
      </c>
      <c r="DG199" s="21">
        <f>EXP(-LN(2)/25)*DG198+(1-EXP(-LN(2)/25))/(LN(2)/25)*Calculateur!DB199*Calculateur!DD199*VLOOKUP('Données projet'!$B$13,Paramètres!$A$1:$I$89,3,0)*0.475*44/12</f>
        <v>2.1330090520824396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18.956404462873099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-2.2737367544323206E-13</v>
      </c>
      <c r="DP199" s="17">
        <f>DO199*VLOOKUP('Données projet'!$B$14,Paramètres!$A$1:$I$89,3,0)*VLOOKUP('Données projet'!$B$14,Paramètres!$A$1:$I$89,5,0)</f>
        <v>-1.8089849618263545E-13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215.37468832969444</v>
      </c>
      <c r="DU199" s="59">
        <f t="shared" si="209"/>
        <v>208.60212063136419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10.997375955591464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10.997375955591464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-2.2737367544323206E-13</v>
      </c>
      <c r="EK199" s="17">
        <f>EJ199*VLOOKUP('Données projet'!$B$15,Paramètres!$A$1:$I$89,3,0)*VLOOKUP('Données projet'!$B$15,Paramètres!$A$1:$I$89,5,0)</f>
        <v>-1.8089849618263545E-13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215.37468832969444</v>
      </c>
      <c r="EP199" s="59">
        <f t="shared" si="210"/>
        <v>208.60212063136419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10.997375955591464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10.997375955591464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-2.2737367544323206E-13</v>
      </c>
      <c r="FF199" s="17">
        <f>FE199*VLOOKUP('Données projet'!$B$16,Paramètres!$A$1:$I$89,3,0)*VLOOKUP('Données projet'!$B$16,Paramètres!$A$1:$I$89,5,0)</f>
        <v>-1.8444552551954985E-13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220.90439367987847</v>
      </c>
      <c r="FK199" s="59">
        <f t="shared" si="211"/>
        <v>213.66046131354858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11.213010778250128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11.213010778250128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1">
        <f t="shared" si="202"/>
        <v>40.798845309789321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67">
        <f t="shared" si="192"/>
        <v>642.72080224788385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6.8212102632969618E-13</v>
      </c>
      <c r="O200" s="13">
        <f>N200*VLOOKUP('Données projet'!$B$9,Paramètres!$A$1:$I$89,3,0)*VLOOKUP('Données projet'!$B$9,Paramètres!$A$1:$I$89,5,0)</f>
        <v>3.1923264032229784E-13</v>
      </c>
      <c r="P200" s="13">
        <f t="shared" si="203"/>
        <v>4.1896839804541558E-12</v>
      </c>
      <c r="Q200" s="20">
        <f t="shared" si="162"/>
        <v>7.8530297811856558E-12</v>
      </c>
      <c r="R200" s="59">
        <f t="shared" si="191"/>
        <v>293.33333333334116</v>
      </c>
      <c r="S200" s="59">
        <f ca="1">AVERAGE(OFFSET($R$3,0,0,'Données projet'!$E$9+1,1))-AVERAGE(OFFSET($H$3,0,0,'Données projet'!$E$9+1,1))</f>
        <v>196.72624686715807</v>
      </c>
      <c r="T200" s="59">
        <f t="shared" si="204"/>
        <v>37.315661698104691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30.7289164745807</v>
      </c>
      <c r="AA200" s="21">
        <f>EXP(-LN(2)/25)*AA199+(1-EXP(-LN(2)/25))/(LN(2)/25)*Calculateur!V200*Calculateur!X200*VLOOKUP('Données projet'!$B$9,Paramètres!$A$1:$I$89,3,0)*0.475*44/12</f>
        <v>5.9125072637226861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36.641423738303388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-1.0000000000001137</v>
      </c>
      <c r="AJ200" s="13">
        <f>AI200*VLOOKUP('Données projet'!$B$10,Paramètres!$A$1:$I$89,3,0)*VLOOKUP('Données projet'!$B$10,Paramètres!$A$1:$I$89,5,0)</f>
        <v>-0.55900000000006356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325.42940802362739</v>
      </c>
      <c r="AO200" s="59">
        <f t="shared" si="205"/>
        <v>388.87198417542277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15.542420162582989</v>
      </c>
      <c r="AV200" s="21">
        <f>EXP(-LN(2)/25)*AV199+(1-EXP(-LN(2)/25))/(LN(2)/25)*Calculateur!AQ200*Calculateur!AS200*VLOOKUP('Données projet'!$B$10,Paramètres!$A$1:$I$89,3,0)*0.475*44/12</f>
        <v>2.0277110006032113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17.5701311631862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</v>
      </c>
      <c r="BE200" s="13">
        <f>BD200*VLOOKUP('Données projet'!$B$11,Paramètres!$A$1:$I$89,3,0)*VLOOKUP('Données projet'!$B$11,Paramètres!$A$1:$I$89,5,0)</f>
        <v>-0.624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162.87524915738271</v>
      </c>
      <c r="BJ200" s="59">
        <f t="shared" si="206"/>
        <v>249.37880137966658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9.9160290691675712</v>
      </c>
      <c r="BQ200" s="21">
        <f>EXP(-LN(2)/25)*BQ199+(1-EXP(-LN(2)/25))/(LN(2)/25)*Calculateur!BL200*Calculateur!BN200*VLOOKUP('Données projet'!$B$11,Paramètres!$A$1:$I$89,3,0)*0.475*44/12</f>
        <v>1.429598423459767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11.345627492627338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-1.4210854715202004E-13</v>
      </c>
      <c r="BZ200" s="13">
        <f>BY200*VLOOKUP('Données projet'!$B$12,Paramètres!$A$1:$I$89,3,0)*VLOOKUP('Données projet'!$B$12,Paramètres!$A$1:$I$89,5,0)</f>
        <v>-9.3109520094003535E-14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119.88584888779422</v>
      </c>
      <c r="CE200" s="59">
        <f t="shared" si="207"/>
        <v>162.97244314258774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3.3278564174848322</v>
      </c>
      <c r="CL200" s="21">
        <f>EXP(-LN(2)/25)*CL199+(1-EXP(-LN(2)/25))/(LN(2)/25)*Calculateur!CG200*Calculateur!CI200*VLOOKUP('Données projet'!$B$12,Paramètres!$A$1:$I$89,3,0)*0.475*44/12</f>
        <v>0.55184084739841255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3.8796972648832448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261.75887764015459</v>
      </c>
      <c r="CZ200" s="59">
        <f t="shared" si="208"/>
        <v>209.74127356028544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16.493498888043039</v>
      </c>
      <c r="DG200" s="21">
        <f>EXP(-LN(2)/25)*DG199+(1-EXP(-LN(2)/25))/(LN(2)/25)*Calculateur!DB200*Calculateur!DD200*VLOOKUP('Données projet'!$B$13,Paramètres!$A$1:$I$89,3,0)*0.475*44/12</f>
        <v>2.0746818073831745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18.568180695426214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-2.2737367544323206E-13</v>
      </c>
      <c r="DP200" s="17">
        <f>DO200*VLOOKUP('Données projet'!$B$14,Paramètres!$A$1:$I$89,3,0)*VLOOKUP('Données projet'!$B$14,Paramètres!$A$1:$I$89,5,0)</f>
        <v>-1.8089849618263545E-13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215.37468832969444</v>
      </c>
      <c r="DU200" s="59">
        <f t="shared" si="209"/>
        <v>208.60212063136419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10.781724120839314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10.781724120839314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-2.2737367544323206E-13</v>
      </c>
      <c r="EK200" s="17">
        <f>EJ200*VLOOKUP('Données projet'!$B$15,Paramètres!$A$1:$I$89,3,0)*VLOOKUP('Données projet'!$B$15,Paramètres!$A$1:$I$89,5,0)</f>
        <v>-1.8089849618263545E-13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215.37468832969444</v>
      </c>
      <c r="EP200" s="59">
        <f t="shared" si="210"/>
        <v>208.60212063136419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10.781724120839314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10.781724120839314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-2.2737367544323206E-13</v>
      </c>
      <c r="FF200" s="17">
        <f>FE200*VLOOKUP('Données projet'!$B$16,Paramètres!$A$1:$I$89,3,0)*VLOOKUP('Données projet'!$B$16,Paramètres!$A$1:$I$89,5,0)</f>
        <v>-1.8444552551954985E-13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220.90439367987847</v>
      </c>
      <c r="FK200" s="59">
        <f t="shared" si="211"/>
        <v>213.66046131354858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10.993130476149897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10.993130476149897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1">
        <f t="shared" si="202"/>
        <v>40.981785561145188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67">
        <f t="shared" si="192"/>
        <v>644.45226318566199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6.8212102632969618E-13</v>
      </c>
      <c r="O201" s="13">
        <f>N201*VLOOKUP('Données projet'!$B$9,Paramètres!$A$1:$I$89,3,0)*VLOOKUP('Données projet'!$B$9,Paramètres!$A$1:$I$89,5,0)</f>
        <v>3.1923264032229784E-13</v>
      </c>
      <c r="P201" s="13">
        <f t="shared" si="203"/>
        <v>4.1896839804541558E-12</v>
      </c>
      <c r="Q201" s="20">
        <f t="shared" si="162"/>
        <v>7.8530297811856558E-12</v>
      </c>
      <c r="R201" s="59">
        <f t="shared" si="191"/>
        <v>293.33333333334116</v>
      </c>
      <c r="S201" s="59">
        <f ca="1">AVERAGE(OFFSET($R$3,0,0,'Données projet'!$E$9+1,1))-AVERAGE(OFFSET($H$3,0,0,'Données projet'!$E$9+1,1))</f>
        <v>196.72624686715807</v>
      </c>
      <c r="T201" s="59">
        <f t="shared" si="204"/>
        <v>37.315661698104691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30.126341165302524</v>
      </c>
      <c r="AA201" s="21">
        <f>EXP(-LN(2)/25)*AA200+(1-EXP(-LN(2)/25))/(LN(2)/25)*Calculateur!V201*Calculateur!X201*VLOOKUP('Données projet'!$B$9,Paramètres!$A$1:$I$89,3,0)*0.475*44/12</f>
        <v>5.7508294416709456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35.877170606973472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-1.0000000000001137</v>
      </c>
      <c r="AJ201" s="13">
        <f>AI201*VLOOKUP('Données projet'!$B$10,Paramètres!$A$1:$I$89,3,0)*VLOOKUP('Données projet'!$B$10,Paramètres!$A$1:$I$89,5,0)</f>
        <v>-0.55900000000006356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325.42940802362739</v>
      </c>
      <c r="AO201" s="59">
        <f t="shared" si="205"/>
        <v>388.87198417542277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15.237642783134969</v>
      </c>
      <c r="AV201" s="21">
        <f>EXP(-LN(2)/25)*AV200+(1-EXP(-LN(2)/25))/(LN(2)/25)*Calculateur!AQ201*Calculateur!AS201*VLOOKUP('Données projet'!$B$10,Paramètres!$A$1:$I$89,3,0)*0.475*44/12</f>
        <v>1.9722631366590293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17.209905919794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</v>
      </c>
      <c r="BE201" s="13">
        <f>BD201*VLOOKUP('Données projet'!$B$11,Paramètres!$A$1:$I$89,3,0)*VLOOKUP('Données projet'!$B$11,Paramètres!$A$1:$I$89,5,0)</f>
        <v>-0.624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162.87524915738271</v>
      </c>
      <c r="BJ201" s="59">
        <f t="shared" si="206"/>
        <v>249.37880137966658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9.7215817873017194</v>
      </c>
      <c r="BQ201" s="21">
        <f>EXP(-LN(2)/25)*BQ200+(1-EXP(-LN(2)/25))/(LN(2)/25)*Calculateur!BL201*Calculateur!BN201*VLOOKUP('Données projet'!$B$11,Paramètres!$A$1:$I$89,3,0)*0.475*44/12</f>
        <v>1.390505979390946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11.112087766692666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-1.4210854715202004E-13</v>
      </c>
      <c r="BZ201" s="13">
        <f>BY201*VLOOKUP('Données projet'!$B$12,Paramètres!$A$1:$I$89,3,0)*VLOOKUP('Données projet'!$B$12,Paramètres!$A$1:$I$89,5,0)</f>
        <v>-9.3109520094003535E-14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119.88584888779422</v>
      </c>
      <c r="CE201" s="59">
        <f t="shared" si="207"/>
        <v>162.97244314258774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3.2625991829299439</v>
      </c>
      <c r="CL201" s="21">
        <f>EXP(-LN(2)/25)*CL200+(1-EXP(-LN(2)/25))/(LN(2)/25)*Calculateur!CG201*Calculateur!CI201*VLOOKUP('Données projet'!$B$12,Paramètres!$A$1:$I$89,3,0)*0.475*44/12</f>
        <v>0.5367507304062541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3.7993499133361981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261.75887764015459</v>
      </c>
      <c r="CZ201" s="59">
        <f t="shared" si="208"/>
        <v>209.74127356028544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16.17007143488949</v>
      </c>
      <c r="DG201" s="21">
        <f>EXP(-LN(2)/25)*DG200+(1-EXP(-LN(2)/25))/(LN(2)/25)*Calculateur!DB201*Calculateur!DD201*VLOOKUP('Données projet'!$B$13,Paramètres!$A$1:$I$89,3,0)*0.475*44/12</f>
        <v>2.017949524257507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18.188020959146996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-2.2737367544323206E-13</v>
      </c>
      <c r="DP201" s="17">
        <f>DO201*VLOOKUP('Données projet'!$B$14,Paramètres!$A$1:$I$89,3,0)*VLOOKUP('Données projet'!$B$14,Paramètres!$A$1:$I$89,5,0)</f>
        <v>-1.8089849618263545E-13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215.37468832969444</v>
      </c>
      <c r="DU201" s="59">
        <f t="shared" si="209"/>
        <v>208.60212063136419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10.570301087032023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10.570301087032023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-2.2737367544323206E-13</v>
      </c>
      <c r="EK201" s="17">
        <f>EJ201*VLOOKUP('Données projet'!$B$15,Paramètres!$A$1:$I$89,3,0)*VLOOKUP('Données projet'!$B$15,Paramètres!$A$1:$I$89,5,0)</f>
        <v>-1.8089849618263545E-13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215.37468832969444</v>
      </c>
      <c r="EP201" s="59">
        <f t="shared" si="210"/>
        <v>208.60212063136419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10.570301087032023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10.570301087032023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-2.2737367544323206E-13</v>
      </c>
      <c r="FF201" s="17">
        <f>FE201*VLOOKUP('Données projet'!$B$16,Paramètres!$A$1:$I$89,3,0)*VLOOKUP('Données projet'!$B$16,Paramètres!$A$1:$I$89,5,0)</f>
        <v>-1.8444552551954985E-13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220.90439367987847</v>
      </c>
      <c r="FK201" s="59">
        <f t="shared" si="211"/>
        <v>213.66046131354858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10.77756189266011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10.77756189266011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1">
        <f t="shared" si="202"/>
        <v>41.164618296930314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67">
        <f t="shared" si="192"/>
        <v>646.18353686715454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6.8212102632969618E-13</v>
      </c>
      <c r="O202" s="13">
        <f>N202*VLOOKUP('Données projet'!$B$9,Paramètres!$A$1:$I$89,3,0)*VLOOKUP('Données projet'!$B$9,Paramètres!$A$1:$I$89,5,0)</f>
        <v>3.1923264032229784E-13</v>
      </c>
      <c r="P202" s="13">
        <f t="shared" si="203"/>
        <v>4.1896839804541558E-12</v>
      </c>
      <c r="Q202" s="20">
        <f t="shared" si="162"/>
        <v>7.8530297811856558E-12</v>
      </c>
      <c r="R202" s="59">
        <f t="shared" si="191"/>
        <v>293.33333333334116</v>
      </c>
      <c r="S202" s="59">
        <f ca="1">AVERAGE(OFFSET($R$3,0,0,'Données projet'!$E$9+1,1))-AVERAGE(OFFSET($H$3,0,0,'Données projet'!$E$9+1,1))</f>
        <v>196.72624686715807</v>
      </c>
      <c r="T202" s="59">
        <f t="shared" si="204"/>
        <v>37.315661698104691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29.535581990304646</v>
      </c>
      <c r="AA202" s="21">
        <f>EXP(-LN(2)/25)*AA201+(1-EXP(-LN(2)/25))/(LN(2)/25)*Calculateur!V202*Calculateur!X202*VLOOKUP('Données projet'!$B$9,Paramètres!$A$1:$I$89,3,0)*0.475*44/12</f>
        <v>5.5935727081654774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35.129154698470124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-1.0000000000001137</v>
      </c>
      <c r="AJ202" s="13">
        <f>AI202*VLOOKUP('Données projet'!$B$10,Paramètres!$A$1:$I$89,3,0)*VLOOKUP('Données projet'!$B$10,Paramètres!$A$1:$I$89,5,0)</f>
        <v>-0.55900000000006356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325.42940802362739</v>
      </c>
      <c r="AO202" s="59">
        <f t="shared" si="205"/>
        <v>388.87198417542277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14.93884190220208</v>
      </c>
      <c r="AV202" s="21">
        <f>EXP(-LN(2)/25)*AV201+(1-EXP(-LN(2)/25))/(LN(2)/25)*Calculateur!AQ202*Calculateur!AS202*VLOOKUP('Données projet'!$B$10,Paramètres!$A$1:$I$89,3,0)*0.475*44/12</f>
        <v>1.9183314974702774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16.857173399672359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</v>
      </c>
      <c r="BE202" s="13">
        <f>BD202*VLOOKUP('Données projet'!$B$11,Paramètres!$A$1:$I$89,3,0)*VLOOKUP('Données projet'!$B$11,Paramètres!$A$1:$I$89,5,0)</f>
        <v>-0.624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162.87524915738271</v>
      </c>
      <c r="BJ202" s="59">
        <f t="shared" si="206"/>
        <v>249.37880137966658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9.5309474980321252</v>
      </c>
      <c r="BQ202" s="21">
        <f>EXP(-LN(2)/25)*BQ201+(1-EXP(-LN(2)/25))/(LN(2)/25)*Calculateur!BL202*Calculateur!BN202*VLOOKUP('Données projet'!$B$11,Paramètres!$A$1:$I$89,3,0)*0.475*44/12</f>
        <v>1.3524825202609692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10.883430018293094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-1.4210854715202004E-13</v>
      </c>
      <c r="BZ202" s="13">
        <f>BY202*VLOOKUP('Données projet'!$B$12,Paramètres!$A$1:$I$89,3,0)*VLOOKUP('Données projet'!$B$12,Paramètres!$A$1:$I$89,5,0)</f>
        <v>-9.3109520094003535E-14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119.88584888779422</v>
      </c>
      <c r="CE202" s="59">
        <f t="shared" si="207"/>
        <v>162.97244314258774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3.1986216029416941</v>
      </c>
      <c r="CL202" s="21">
        <f>EXP(-LN(2)/25)*CL201+(1-EXP(-LN(2)/25))/(LN(2)/25)*Calculateur!CG202*Calculateur!CI202*VLOOKUP('Données projet'!$B$12,Paramètres!$A$1:$I$89,3,0)*0.475*44/12</f>
        <v>0.52207325345680089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3.7206948563984952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261.75887764015459</v>
      </c>
      <c r="CZ202" s="59">
        <f t="shared" si="208"/>
        <v>209.74127356028544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15.852986196821014</v>
      </c>
      <c r="DG202" s="21">
        <f>EXP(-LN(2)/25)*DG201+(1-EXP(-LN(2)/25))/(LN(2)/25)*Calculateur!DB202*Calculateur!DD202*VLOOKUP('Données projet'!$B$13,Paramètres!$A$1:$I$89,3,0)*0.475*44/12</f>
        <v>1.962768588397332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17.815754785218346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-2.2737367544323206E-13</v>
      </c>
      <c r="DP202" s="17">
        <f>DO202*VLOOKUP('Données projet'!$B$14,Paramètres!$A$1:$I$89,3,0)*VLOOKUP('Données projet'!$B$14,Paramètres!$A$1:$I$89,5,0)</f>
        <v>-1.8089849618263545E-13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215.37468832969444</v>
      </c>
      <c r="DU202" s="59">
        <f t="shared" si="209"/>
        <v>208.60212063136419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10.363023929962376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10.363023929962376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-2.2737367544323206E-13</v>
      </c>
      <c r="EK202" s="17">
        <f>EJ202*VLOOKUP('Données projet'!$B$15,Paramètres!$A$1:$I$89,3,0)*VLOOKUP('Données projet'!$B$15,Paramètres!$A$1:$I$89,5,0)</f>
        <v>-1.8089849618263545E-13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215.37468832969444</v>
      </c>
      <c r="EP202" s="59">
        <f t="shared" si="210"/>
        <v>208.60212063136419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10.363023929962376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10.363023929962376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-2.2737367544323206E-13</v>
      </c>
      <c r="FF202" s="17">
        <f>FE202*VLOOKUP('Données projet'!$B$16,Paramètres!$A$1:$I$89,3,0)*VLOOKUP('Données projet'!$B$16,Paramètres!$A$1:$I$89,5,0)</f>
        <v>-1.8444552551954985E-13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220.90439367987847</v>
      </c>
      <c r="FK202" s="59">
        <f t="shared" si="211"/>
        <v>213.66046131354858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10.566220477608704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10.566220477608704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1">
        <f t="shared" si="202"/>
        <v>41.347344120141159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67">
        <f t="shared" si="192"/>
        <v>647.91462434258005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6.8212102632969618E-13</v>
      </c>
      <c r="O203" s="13">
        <f>N203*VLOOKUP('Données projet'!$B$9,Paramètres!$A$1:$I$89,3,0)*VLOOKUP('Données projet'!$B$9,Paramètres!$A$1:$I$89,5,0)</f>
        <v>3.1923264032229784E-13</v>
      </c>
      <c r="P203" s="13">
        <f t="shared" si="203"/>
        <v>4.1896839804541558E-12</v>
      </c>
      <c r="Q203" s="20">
        <f t="shared" si="162"/>
        <v>7.8530297811856558E-12</v>
      </c>
      <c r="R203" s="59">
        <f t="shared" si="191"/>
        <v>293.33333333334116</v>
      </c>
      <c r="S203" s="59">
        <f ca="1">AVERAGE(OFFSET($R$3,0,0,'Données projet'!$E$9+1,1))-AVERAGE(OFFSET($H$3,0,0,'Données projet'!$E$9+1,1))</f>
        <v>196.72624686715807</v>
      </c>
      <c r="T203" s="59">
        <f t="shared" si="204"/>
        <v>37.315661698104691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28.95640724240096</v>
      </c>
      <c r="AA203" s="21">
        <f>EXP(-LN(2)/25)*AA202+(1-EXP(-LN(2)/25))/(LN(2)/25)*Calculateur!V203*Calculateur!X203*VLOOKUP('Données projet'!$B$9,Paramètres!$A$1:$I$89,3,0)*0.475*44/12</f>
        <v>5.4406161683074883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34.397023410708449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-1.0000000000001137</v>
      </c>
      <c r="AJ203" s="13">
        <f>AI203*VLOOKUP('Données projet'!$B$10,Paramètres!$A$1:$I$89,3,0)*VLOOKUP('Données projet'!$B$10,Paramètres!$A$1:$I$89,5,0)</f>
        <v>-0.55900000000006356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325.42940802362739</v>
      </c>
      <c r="AO203" s="59">
        <f t="shared" si="205"/>
        <v>388.87198417542277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14.645900324293743</v>
      </c>
      <c r="AV203" s="21">
        <f>EXP(-LN(2)/25)*AV202+(1-EXP(-LN(2)/25))/(LN(2)/25)*Calculateur!AQ203*Calculateur!AS203*VLOOKUP('Données projet'!$B$10,Paramètres!$A$1:$I$89,3,0)*0.475*44/12</f>
        <v>1.8658746217912836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16.511774946085026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</v>
      </c>
      <c r="BE203" s="13">
        <f>BD203*VLOOKUP('Données projet'!$B$11,Paramètres!$A$1:$I$89,3,0)*VLOOKUP('Données projet'!$B$11,Paramètres!$A$1:$I$89,5,0)</f>
        <v>-0.624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162.87524915738271</v>
      </c>
      <c r="BJ203" s="59">
        <f t="shared" si="206"/>
        <v>249.37880137966658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9.3440514308996736</v>
      </c>
      <c r="BQ203" s="21">
        <f>EXP(-LN(2)/25)*BQ202+(1-EXP(-LN(2)/25))/(LN(2)/25)*Calculateur!BL203*Calculateur!BN203*VLOOKUP('Données projet'!$B$11,Paramètres!$A$1:$I$89,3,0)*0.475*44/12</f>
        <v>1.3154988146204682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10.659550245520142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-1.4210854715202004E-13</v>
      </c>
      <c r="BZ203" s="13">
        <f>BY203*VLOOKUP('Données projet'!$B$12,Paramètres!$A$1:$I$89,3,0)*VLOOKUP('Données projet'!$B$12,Paramètres!$A$1:$I$89,5,0)</f>
        <v>-9.3109520094003535E-14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119.88584888779422</v>
      </c>
      <c r="CE203" s="59">
        <f t="shared" si="207"/>
        <v>162.97244314258774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3.1358985842745435</v>
      </c>
      <c r="CL203" s="21">
        <f>EXP(-LN(2)/25)*CL202+(1-EXP(-LN(2)/25))/(LN(2)/25)*Calculateur!CG203*Calculateur!CI203*VLOOKUP('Données projet'!$B$12,Paramètres!$A$1:$I$89,3,0)*0.475*44/12</f>
        <v>0.5077971328863855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3.643695717160929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261.75887764015459</v>
      </c>
      <c r="CZ203" s="59">
        <f t="shared" si="208"/>
        <v>209.74127356028544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15.542118806868164</v>
      </c>
      <c r="DG203" s="21">
        <f>EXP(-LN(2)/25)*DG202+(1-EXP(-LN(2)/25))/(LN(2)/25)*Calculateur!DB203*Calculateur!DD203*VLOOKUP('Données projet'!$B$13,Paramètres!$A$1:$I$89,3,0)*0.475*44/12</f>
        <v>1.9090965781300928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17.451215384998257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-2.2737367544323206E-13</v>
      </c>
      <c r="DP203" s="17">
        <f>DO203*VLOOKUP('Données projet'!$B$14,Paramètres!$A$1:$I$89,3,0)*VLOOKUP('Données projet'!$B$14,Paramètres!$A$1:$I$89,5,0)</f>
        <v>-1.8089849618263545E-13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215.37468832969444</v>
      </c>
      <c r="DU203" s="59">
        <f t="shared" si="209"/>
        <v>208.60212063136419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10.159811351516282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10.159811351516282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-2.2737367544323206E-13</v>
      </c>
      <c r="EK203" s="17">
        <f>EJ203*VLOOKUP('Données projet'!$B$15,Paramètres!$A$1:$I$89,3,0)*VLOOKUP('Données projet'!$B$15,Paramètres!$A$1:$I$89,5,0)</f>
        <v>-1.8089849618263545E-13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215.37468832969444</v>
      </c>
      <c r="EP203" s="59">
        <f t="shared" si="210"/>
        <v>208.60212063136419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10.159811351516282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10.159811351516282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-2.2737367544323206E-13</v>
      </c>
      <c r="FF203" s="17">
        <f>FE203*VLOOKUP('Données projet'!$B$16,Paramètres!$A$1:$I$89,3,0)*VLOOKUP('Données projet'!$B$16,Paramètres!$A$1:$I$89,5,0)</f>
        <v>-1.8444552551954985E-13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220.90439367987847</v>
      </c>
      <c r="FK203" s="59">
        <f t="shared" si="211"/>
        <v>213.66046131354858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10.359023338800922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10.359023338800922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 t="e">
        <f>EXP(LN('Données projet'!B36)/'Données projet'!A36)</f>
        <v>#NUM!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#DIV/0!</v>
      </c>
      <c r="BA205" s="82" t="e">
        <f>EXP(LN('Données projet'!B88)/'Données projet'!A88)</f>
        <v>#DIV/0!</v>
      </c>
      <c r="BV205" s="82">
        <f>EXP(LN('Données projet'!B114)/'Données projet'!A114)</f>
        <v>1.2721747796233518</v>
      </c>
      <c r="CQ205" s="82" t="e">
        <f>EXP(LN('Données projet'!B140)/'Données projet'!A140)</f>
        <v>#NUM!</v>
      </c>
      <c r="DL205" s="82">
        <f>EXP(LN('Données projet'!B166)/'Données projet'!A166)</f>
        <v>1.2721747796233518</v>
      </c>
      <c r="EG205" s="82">
        <f>EXP(LN('Données projet'!B192)/'Données projet'!A192)</f>
        <v>1.2721747796233518</v>
      </c>
      <c r="FB205" s="82">
        <f>EXP(LN('Données projet'!B218)/'Données projet'!A218)</f>
        <v>1.2721747796233518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33" zoomScaleNormal="90" workbookViewId="0">
      <selection activeCell="G12" sqref="G12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Cèdre de l'Atlas</v>
      </c>
      <c r="B6" s="146">
        <f>'Données projet'!D9</f>
        <v>2.5619999999999998</v>
      </c>
      <c r="C6" s="147">
        <f ca="1">IF(OR('Données projet'!B9="",'Données projet'!C9="",'Données projet'!C9=0%),0,Calculateur!S3)</f>
        <v>196.72624686715807</v>
      </c>
      <c r="D6" s="147">
        <f>IF(OR('Données projet'!B9="",'Données projet'!C9="",'Données projet'!C9=0%),0,Calculateur!T3)</f>
        <v>37.315661698104691</v>
      </c>
      <c r="E6" s="147">
        <f ca="1">MIN(C6,D6)</f>
        <v>37.315661698104691</v>
      </c>
      <c r="F6" s="147">
        <f ca="1">E6*B6</f>
        <v>95.602725270544212</v>
      </c>
      <c r="G6" s="147">
        <f ca="1">F6*(100%-'Données projet'!$C$24)*(100%-'Données projet'!$C$25)*(100%-'Données projet'!$C$26)*(100%-'Données projet'!$C$27)</f>
        <v>68.833962194791837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68.833962194791837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Douglas</v>
      </c>
      <c r="B7" s="154">
        <f>'Données projet'!D10</f>
        <v>1.9983600000000001</v>
      </c>
      <c r="C7" s="147">
        <f ca="1">IF(OR('Données projet'!B10="",'Données projet'!C10="",'Données projet'!C10=0%),0,Calculateur!AN3)</f>
        <v>325.42940802362739</v>
      </c>
      <c r="D7" s="147">
        <f>IF(OR('Données projet'!B10="",'Données projet'!C10="",'Données projet'!C10=0%),0,Calculateur!AO3)</f>
        <v>388.87198417542277</v>
      </c>
      <c r="E7" s="147">
        <f t="shared" ref="E7:E15" ca="1" si="0">MIN(C7,D7)</f>
        <v>325.42940802362739</v>
      </c>
      <c r="F7" s="147">
        <f t="shared" ref="F7:F15" ca="1" si="1">E7*B7</f>
        <v>650.32511181809605</v>
      </c>
      <c r="G7" s="147">
        <f ca="1">F7*(100%-'Données projet'!$C$24)*(100%-'Données projet'!$C$25)*(100%-'Données projet'!$C$26)*(100%-'Données projet'!$C$27)</f>
        <v>468.23408050902918</v>
      </c>
      <c r="H7" s="155">
        <f>IF(OR('Données projet'!B10="",'Données projet'!C10="",'Données projet'!C10=0%),0,AVERAGE(Calculateur!$AX$3:$AX$33)*B7)</f>
        <v>7.5489780141734899</v>
      </c>
      <c r="I7" s="149">
        <f>H7*(100%-'Données projet'!$C$24)*(100%-'Données projet'!$C$25)*(100%-'Données projet'!$C$26)*(100%-'Données projet'!$C$27)</f>
        <v>5.4352641702049134</v>
      </c>
      <c r="J7" s="150">
        <f>IF(OR('Données projet'!B10="",'Données projet'!C10="",'Données projet'!C10=0%),0,SUM(Calculateur!$AQ$3:$AQ$33)*VLOOKUP('Données projet'!$B$10,Paramètres!$A$1:$I$89,9,0)*B7)</f>
        <v>92.803838400000004</v>
      </c>
      <c r="K7" s="151">
        <f>J7*(100%-'Données projet'!$C$24)*(100%-'Données projet'!$C$25)*(100%-'Données projet'!$C$26)*(100%-'Données projet'!$C$27)</f>
        <v>66.818763648000001</v>
      </c>
      <c r="L7" s="152">
        <f t="shared" ref="L7:L15" ca="1" si="2">G7+I7+K7</f>
        <v>540.48810832723404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Mélèze d'Europe</v>
      </c>
      <c r="B8" s="154">
        <f>'Données projet'!D11</f>
        <v>0.46848000000000001</v>
      </c>
      <c r="C8" s="147">
        <f ca="1">IF(OR('Données projet'!B11="",'Données projet'!C11="",'Données projet'!C11=0%),0,Calculateur!BI3)</f>
        <v>162.87524915738271</v>
      </c>
      <c r="D8" s="147">
        <f>IF(OR('Données projet'!B11="",'Données projet'!C11="",'Données projet'!C11=0%),0,Calculateur!BJ3)</f>
        <v>249.37880137966658</v>
      </c>
      <c r="E8" s="147">
        <f t="shared" ca="1" si="0"/>
        <v>162.87524915738271</v>
      </c>
      <c r="F8" s="147">
        <f t="shared" ca="1" si="1"/>
        <v>76.303796725250649</v>
      </c>
      <c r="G8" s="147">
        <f ca="1">F8*(100%-'Données projet'!$C$24)*(100%-'Données projet'!$C$25)*(100%-'Données projet'!$C$26)*(100%-'Données projet'!$C$27)</f>
        <v>54.938733642180473</v>
      </c>
      <c r="H8" s="155">
        <f>IF(OR('Données projet'!B11="",'Données projet'!C11="",'Données projet'!C11=0%),0,AVERAGE(Calculateur!$BS$3:$BS$33)*B8)</f>
        <v>3.6737780205478718</v>
      </c>
      <c r="I8" s="149">
        <f>H8*(100%-'Données projet'!$C$24)*(100%-'Données projet'!$C$25)*(100%-'Données projet'!$C$26)*(100%-'Données projet'!$C$27)</f>
        <v>2.6451201747944681</v>
      </c>
      <c r="J8" s="150">
        <f>IF(OR('Données projet'!B11="",'Données projet'!C11="",'Données projet'!C11=0%),0,SUM(Calculateur!$BL$3:$BL$33)*VLOOKUP('Données projet'!$B$11,Paramètres!$A$1:$I$89,9,0)*B8)</f>
        <v>25.7851392</v>
      </c>
      <c r="K8" s="151">
        <f>J8*(100%-'Données projet'!$C$24)*(100%-'Données projet'!$C$25)*(100%-'Données projet'!$C$26)*(100%-'Données projet'!$C$27)</f>
        <v>18.565300224000001</v>
      </c>
      <c r="L8" s="152">
        <f t="shared" ca="1" si="2"/>
        <v>76.149154040974949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Aulne glutineux</v>
      </c>
      <c r="B9" s="154">
        <f>'Données projet'!D12</f>
        <v>0.56364000000000003</v>
      </c>
      <c r="C9" s="147">
        <f ca="1">IF(OR('Données projet'!B12="",'Données projet'!C12="",'Données projet'!C12=0%),0,Calculateur!CD3)</f>
        <v>119.88584888779422</v>
      </c>
      <c r="D9" s="147">
        <f>IF(OR('Données projet'!B12="",'Données projet'!C12="",'Données projet'!C12=0%),0,Calculateur!CE3)</f>
        <v>162.97244314258774</v>
      </c>
      <c r="E9" s="147">
        <f t="shared" ca="1" si="0"/>
        <v>119.88584888779422</v>
      </c>
      <c r="F9" s="147">
        <f t="shared" ca="1" si="1"/>
        <v>67.572459867116336</v>
      </c>
      <c r="G9" s="147">
        <f ca="1">F9*(100%-'Données projet'!$C$24)*(100%-'Données projet'!$C$25)*(100%-'Données projet'!$C$26)*(100%-'Données projet'!$C$27)</f>
        <v>48.65217110432377</v>
      </c>
      <c r="H9" s="155">
        <f>IF(OR('Données projet'!B12="",'Données projet'!C12="",'Données projet'!C12=0%),0,AVERAGE(Calculateur!$CN$3:$CN$33)*B9)</f>
        <v>4.7380047855171824E-2</v>
      </c>
      <c r="I9" s="149">
        <f>H9*(100%-'Données projet'!$C$24)*(100%-'Données projet'!$C$25)*(100%-'Données projet'!$C$26)*(100%-'Données projet'!$C$27)</f>
        <v>3.4113634455723719E-2</v>
      </c>
      <c r="J9" s="150">
        <f>IF(OR('Données projet'!B12="",'Données projet'!C12="",'Données projet'!C12=0%),0,SUM(Calculateur!$CG$3:$CG$33)*VLOOKUP('Données projet'!$B$12,Paramètres!$A$1:$I$89,9,0)*B9)</f>
        <v>11.836440000000001</v>
      </c>
      <c r="K9" s="151">
        <f>J9*(100%-'Données projet'!$C$24)*(100%-'Données projet'!$C$25)*(100%-'Données projet'!$C$26)*(100%-'Données projet'!$C$27)</f>
        <v>8.5222368000000017</v>
      </c>
      <c r="L9" s="152">
        <f t="shared" ca="1" si="2"/>
        <v>57.208521538779493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Chêne pubescent</v>
      </c>
      <c r="B10" s="154">
        <f>'Données projet'!D13</f>
        <v>0.63683999999999996</v>
      </c>
      <c r="C10" s="147">
        <f ca="1">IF(OR('Données projet'!B13="",'Données projet'!C13="",'Données projet'!C13=0%),0,Calculateur!CY3)</f>
        <v>261.75887764015459</v>
      </c>
      <c r="D10" s="147">
        <f>IF(OR('Données projet'!B13="",'Données projet'!C13="",'Données projet'!C13=0%),0,Calculateur!CZ3)</f>
        <v>209.74127356028544</v>
      </c>
      <c r="E10" s="147">
        <f t="shared" ca="1" si="0"/>
        <v>209.74127356028544</v>
      </c>
      <c r="F10" s="147">
        <f t="shared" ca="1" si="1"/>
        <v>133.57163265413217</v>
      </c>
      <c r="G10" s="147">
        <f ca="1">F10*(100%-'Données projet'!$C$24)*(100%-'Données projet'!$C$25)*(100%-'Données projet'!$C$26)*(100%-'Données projet'!$C$27)</f>
        <v>96.171575510975174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96.171575510975174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Erable plane</v>
      </c>
      <c r="B11" s="154">
        <f>'Données projet'!D14</f>
        <v>9.5159999999999995E-2</v>
      </c>
      <c r="C11" s="147">
        <f ca="1">IF(OR('Données projet'!B14="",'Données projet'!C14="",'Données projet'!C14=0%),0,Calculateur!DT3)</f>
        <v>215.37468832969444</v>
      </c>
      <c r="D11" s="147">
        <f>IF(OR('Données projet'!B14="",'Données projet'!C14="",'Données projet'!C14=0%),0,Calculateur!DU3)</f>
        <v>208.60212063136419</v>
      </c>
      <c r="E11" s="147">
        <f t="shared" ca="1" si="0"/>
        <v>208.60212063136419</v>
      </c>
      <c r="F11" s="147">
        <f t="shared" ca="1" si="1"/>
        <v>19.850577799280614</v>
      </c>
      <c r="G11" s="147">
        <f ca="1">F11*(100%-'Données projet'!$C$24)*(100%-'Données projet'!$C$25)*(100%-'Données projet'!$C$26)*(100%-'Données projet'!$C$27)</f>
        <v>14.292416015482043</v>
      </c>
      <c r="H11" s="155">
        <f>IF(OR('Données projet'!B14="",'Données projet'!C14="",'Données projet'!C14=0%),0,AVERAGE(Calculateur!$ED$3:$ED$33)*B11)</f>
        <v>1.0016327913548872E-2</v>
      </c>
      <c r="I11" s="149">
        <f>H11*(100%-'Données projet'!$C$24)*(100%-'Données projet'!$C$25)*(100%-'Données projet'!$C$26)*(100%-'Données projet'!$C$27)</f>
        <v>7.2117560977551891E-3</v>
      </c>
      <c r="J11" s="150">
        <f>IF(OR('Données projet'!B14="",'Données projet'!C14="",'Données projet'!C14=0%),0,SUM(Calculateur!$DW$3:$DW$33)*VLOOKUP('Données projet'!$B$14,Paramètres!$A$1:$I$89,9,0)*B11)</f>
        <v>1.9983599999999999</v>
      </c>
      <c r="K11" s="151">
        <f>J11*(100%-'Données projet'!$C$24)*(100%-'Données projet'!$C$25)*(100%-'Données projet'!$C$26)*(100%-'Données projet'!$C$27)</f>
        <v>1.4388192000000002</v>
      </c>
      <c r="L11" s="152">
        <f t="shared" ca="1" si="2"/>
        <v>15.738446971579798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Erable sycomore</v>
      </c>
      <c r="B12" s="154">
        <f>'Données projet'!D15</f>
        <v>0.49776000000000004</v>
      </c>
      <c r="C12" s="147">
        <f ca="1">IF(OR('Données projet'!B15="",'Données projet'!C15="",'Données projet'!C15=0%),0,Calculateur!EO3)</f>
        <v>215.37468832969444</v>
      </c>
      <c r="D12" s="147">
        <f>IF(OR('Données projet'!B15="",'Données projet'!C15="",'Données projet'!C15=0%),0,Calculateur!EP3)</f>
        <v>208.60212063136419</v>
      </c>
      <c r="E12" s="147">
        <f t="shared" ca="1" si="0"/>
        <v>208.60212063136419</v>
      </c>
      <c r="F12" s="147">
        <f t="shared" ca="1" si="1"/>
        <v>103.83379156546785</v>
      </c>
      <c r="G12" s="147">
        <f ca="1">F12*(100%-'Données projet'!$C$24)*(100%-'Données projet'!$C$25)*(100%-'Données projet'!$C$26)*(100%-'Données projet'!$C$27)</f>
        <v>74.760329927136866</v>
      </c>
      <c r="H12" s="155">
        <f>IF(OR('Données projet'!B15="",'Données projet'!C15="",'Données projet'!C15=0%),0,AVERAGE(Calculateur!$EY$3:$EY$33)*B12)</f>
        <v>5.2393099855486416E-2</v>
      </c>
      <c r="I12" s="149">
        <f>H12*(100%-'Données projet'!$C$24)*(100%-'Données projet'!$C$25)*(100%-'Données projet'!$C$26)*(100%-'Données projet'!$C$27)</f>
        <v>3.7723031895950221E-2</v>
      </c>
      <c r="J12" s="150">
        <f>IF(OR('Données projet'!B15="",'Données projet'!C15="",'Données projet'!C15=0%),0,SUM(Calculateur!$ER$3:$ER$33)*VLOOKUP('Données projet'!$B$15,Paramètres!$A$1:$I$89,9,0)*B12)</f>
        <v>10.452960000000001</v>
      </c>
      <c r="K12" s="151">
        <f>J12*(100%-'Données projet'!$C$24)*(100%-'Données projet'!$C$25)*(100%-'Données projet'!$C$26)*(100%-'Données projet'!$C$27)</f>
        <v>7.5261312000000018</v>
      </c>
      <c r="L12" s="152">
        <f t="shared" ca="1" si="2"/>
        <v>82.324184159032825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Noyer</v>
      </c>
      <c r="B13" s="154">
        <f>'Données projet'!D16</f>
        <v>0.49776000000000004</v>
      </c>
      <c r="C13" s="147">
        <f ca="1">IF(OR('Données projet'!B16="",'Données projet'!C16="",'Données projet'!C16=0%),0,Calculateur!FJ3)</f>
        <v>220.90439367987847</v>
      </c>
      <c r="D13" s="147">
        <f>IF(OR('Données projet'!B16="",'Données projet'!C16="",'Données projet'!C16=0%),0,Calculateur!FK3)</f>
        <v>213.66046131354858</v>
      </c>
      <c r="E13" s="147">
        <f t="shared" ca="1" si="0"/>
        <v>213.66046131354858</v>
      </c>
      <c r="F13" s="147">
        <f t="shared" ca="1" si="1"/>
        <v>106.35163122343195</v>
      </c>
      <c r="G13" s="147">
        <f ca="1">F13*(100%-'Données projet'!$C$24)*(100%-'Données projet'!$C$25)*(100%-'Données projet'!$C$26)*(100%-'Données projet'!$C$27)</f>
        <v>76.573174480871003</v>
      </c>
      <c r="H13" s="155">
        <f>IF(OR('Données projet'!B16="",'Données projet'!C16="",'Données projet'!C16=0%),0,AVERAGE(Calculateur!$FT$3:$FT$33)*B13)</f>
        <v>5.3420415538927325E-2</v>
      </c>
      <c r="I13" s="149">
        <f>H13*(100%-'Données projet'!$C$24)*(100%-'Données projet'!$C$25)*(100%-'Données projet'!$C$26)*(100%-'Données projet'!$C$27)</f>
        <v>3.8462699188027673E-2</v>
      </c>
      <c r="J13" s="150">
        <f>IF(OR('Données projet'!C16="",'Données projet'!C16=0%),0,SUM(Calculateur!$FM$3:$FM$33)*VLOOKUP('Données projet'!$B$16,Paramètres!$A$1:$I$89,9,0)*B13)</f>
        <v>10.452960000000001</v>
      </c>
      <c r="K13" s="151">
        <f>J13*(100%-'Données projet'!$C$24)*(100%-'Données projet'!$C$25)*(100%-'Données projet'!$C$26)*(100%-'Données projet'!$C$27)</f>
        <v>7.5261312000000018</v>
      </c>
      <c r="L13" s="152">
        <f t="shared" ca="1" si="2"/>
        <v>84.137768380059043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1253.4117269233197</v>
      </c>
      <c r="G16" s="166">
        <f t="shared" ca="1" si="3"/>
        <v>902.4564433847903</v>
      </c>
      <c r="H16" s="167">
        <f t="shared" si="3"/>
        <v>11.385965925884497</v>
      </c>
      <c r="I16" s="167">
        <f t="shared" si="3"/>
        <v>8.1978954666368367</v>
      </c>
      <c r="J16" s="168">
        <f t="shared" si="3"/>
        <v>153.32969759999997</v>
      </c>
      <c r="K16" s="168">
        <f t="shared" si="3"/>
        <v>110.39738227200002</v>
      </c>
      <c r="L16" s="169">
        <f t="shared" ca="1" si="3"/>
        <v>1021.0517211234272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Aulne glutineux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Erable plane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Erable sycomore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Noyer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80" zoomScaleNormal="80" workbookViewId="0">
      <selection activeCell="N19" sqref="N1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2.5619999999999998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1.9983600000000001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0.46848000000000001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Aulne glutineux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0.56364000000000003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pubescent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0.63683999999999996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Erable plane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9.5159999999999995E-2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Erable sycomore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0.49776000000000004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/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Noyer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0.49776000000000004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/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/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/>
      <c r="D20" s="197" t="s">
        <v>132</v>
      </c>
      <c r="E20" s="193"/>
      <c r="F20" s="230"/>
      <c r="G20" s="303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/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/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5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0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n'est pas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35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46</v>
      </c>
      <c r="B30" s="181">
        <f>'Données projet'!D43</f>
        <v>102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56</v>
      </c>
      <c r="B31" s="181">
        <f>'Données projet'!D44</f>
        <v>91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66</v>
      </c>
      <c r="B32" s="181">
        <f>'Données projet'!D45</f>
        <v>101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76</v>
      </c>
      <c r="B33" s="181">
        <f>'Données projet'!D46</f>
        <v>106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86</v>
      </c>
      <c r="B34" s="181">
        <f>'Données projet'!D47</f>
        <v>108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95</v>
      </c>
      <c r="B35" s="181">
        <f>'Données projet'!D48</f>
        <v>103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100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105</v>
      </c>
      <c r="B37" s="181">
        <f>'Données projet'!D50</f>
        <v>580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/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/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/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/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/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/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1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5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10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15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20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25</v>
      </c>
      <c r="B60" s="181">
        <f>'Données projet'!D68</f>
        <v>54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30</v>
      </c>
      <c r="B61" s="181">
        <f>'Données projet'!D69</f>
        <v>54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35</v>
      </c>
      <c r="B62" s="181">
        <f>'Données projet'!D70</f>
        <v>69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40</v>
      </c>
      <c r="B63" s="181">
        <f>'Données projet'!D71</f>
        <v>72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45</v>
      </c>
      <c r="B64" s="181">
        <f>'Données projet'!D72</f>
        <v>66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50</v>
      </c>
      <c r="B65" s="181">
        <f>'Données projet'!D73</f>
        <v>48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55</v>
      </c>
      <c r="B66" s="181">
        <f>'Données projet'!D74</f>
        <v>35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60</v>
      </c>
      <c r="B67" s="181">
        <f>'Données projet'!D75</f>
        <v>637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/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/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/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/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/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1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5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10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18</v>
      </c>
      <c r="B89" s="181">
        <f>'Données projet'!D92</f>
        <v>20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21</v>
      </c>
      <c r="B90" s="181">
        <f>'Données projet'!D93</f>
        <v>26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24</v>
      </c>
      <c r="B91" s="181">
        <f>'Données projet'!D94</f>
        <v>29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30</v>
      </c>
      <c r="B92" s="181">
        <f>'Données projet'!D95</f>
        <v>53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36</v>
      </c>
      <c r="B93" s="181">
        <f>'Données projet'!D96</f>
        <v>62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42</v>
      </c>
      <c r="B94" s="181">
        <f>'Données projet'!D97</f>
        <v>67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48</v>
      </c>
      <c r="B95" s="181">
        <f>'Données projet'!D98</f>
        <v>65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60</v>
      </c>
      <c r="B96" s="181">
        <f>'Données projet'!D99</f>
        <v>304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Aulne glutineux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/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/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/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/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/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/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15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20</v>
      </c>
      <c r="B117" s="181">
        <f>'Données projet'!D115</f>
        <v>28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25</v>
      </c>
      <c r="B118" s="181">
        <f>'Données projet'!D116</f>
        <v>28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30</v>
      </c>
      <c r="B119" s="181">
        <f>'Données projet'!D117</f>
        <v>28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35</v>
      </c>
      <c r="B120" s="181">
        <f>'Données projet'!D118</f>
        <v>35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40</v>
      </c>
      <c r="B121" s="181">
        <f>'Données projet'!D119</f>
        <v>35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45</v>
      </c>
      <c r="B122" s="181">
        <f>'Données projet'!D120</f>
        <v>30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50</v>
      </c>
      <c r="B123" s="181">
        <f>'Données projet'!D121</f>
        <v>30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55</v>
      </c>
      <c r="B124" s="181">
        <f>'Données projet'!D122</f>
        <v>20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60</v>
      </c>
      <c r="B125" s="181">
        <f>'Données projet'!D123</f>
        <v>218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Chêne pubescent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/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/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/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/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/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/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1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5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25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35</v>
      </c>
      <c r="B152" s="175">
        <f>'Données projet'!D145</f>
        <v>25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45</v>
      </c>
      <c r="B154" s="175">
        <f>'Données projet'!D147</f>
        <v>35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55</v>
      </c>
      <c r="B155" s="175">
        <f>'Données projet'!D148</f>
        <v>45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65</v>
      </c>
      <c r="B156" s="175">
        <f>'Données projet'!D149</f>
        <v>50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75</v>
      </c>
      <c r="B157" s="175">
        <f>'Données projet'!D150</f>
        <v>50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85</v>
      </c>
      <c r="B158" s="175">
        <f>'Données projet'!D151</f>
        <v>50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95</v>
      </c>
      <c r="B159" s="175">
        <f>'Données projet'!D152</f>
        <v>50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100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105</v>
      </c>
      <c r="B161" s="175">
        <f>'Données projet'!D154</f>
        <v>234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Erable plane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/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/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/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/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/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15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20</v>
      </c>
      <c r="B179" s="181">
        <f>'Données projet'!D167</f>
        <v>28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25</v>
      </c>
      <c r="B180" s="181">
        <f>'Données projet'!D168</f>
        <v>28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30</v>
      </c>
      <c r="B181" s="181">
        <f>'Données projet'!D169</f>
        <v>28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35</v>
      </c>
      <c r="B182" s="181">
        <f>'Données projet'!D170</f>
        <v>28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40</v>
      </c>
      <c r="B183" s="181">
        <f>'Données projet'!D171</f>
        <v>28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45</v>
      </c>
      <c r="B184" s="181">
        <f>'Données projet'!D172</f>
        <v>22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50</v>
      </c>
      <c r="B185" s="181">
        <f>'Données projet'!D173</f>
        <v>17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55</v>
      </c>
      <c r="B186" s="181">
        <f>'Données projet'!D174</f>
        <v>13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60</v>
      </c>
      <c r="B187" s="181">
        <f>'Données projet'!D175</f>
        <v>12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65</v>
      </c>
      <c r="B188" s="181">
        <f>'Données projet'!D176</f>
        <v>11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70</v>
      </c>
      <c r="B189" s="181">
        <f>'Données projet'!D177</f>
        <v>10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75</v>
      </c>
      <c r="B190" s="181">
        <f>'Données projet'!D178</f>
        <v>9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80</v>
      </c>
      <c r="B191" s="181">
        <f>'Données projet'!D179</f>
        <v>290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Erable sycomore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/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/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/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/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/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/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15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20</v>
      </c>
      <c r="B210" s="181">
        <f>'Données projet'!D193</f>
        <v>28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25</v>
      </c>
      <c r="B211" s="181">
        <f>'Données projet'!D194</f>
        <v>28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30</v>
      </c>
      <c r="B212" s="181">
        <f>'Données projet'!D195</f>
        <v>28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35</v>
      </c>
      <c r="B213" s="181">
        <f>'Données projet'!D196</f>
        <v>28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40</v>
      </c>
      <c r="B214" s="181">
        <f>'Données projet'!D197</f>
        <v>28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45</v>
      </c>
      <c r="B215" s="181">
        <f>'Données projet'!D198</f>
        <v>22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50</v>
      </c>
      <c r="B216" s="181">
        <f>'Données projet'!D199</f>
        <v>17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55</v>
      </c>
      <c r="B217" s="181">
        <f>'Données projet'!D200</f>
        <v>13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60</v>
      </c>
      <c r="B218" s="181">
        <f>'Données projet'!D201</f>
        <v>12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65</v>
      </c>
      <c r="B219" s="181">
        <f>'Données projet'!D202</f>
        <v>11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70</v>
      </c>
      <c r="B220" s="181">
        <f>'Données projet'!D203</f>
        <v>10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75</v>
      </c>
      <c r="B221" s="181">
        <f>'Données projet'!D204</f>
        <v>9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80</v>
      </c>
      <c r="B222" s="181">
        <f>'Données projet'!D205</f>
        <v>290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Noyer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/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/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/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/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/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/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15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20</v>
      </c>
      <c r="B241" s="181">
        <f>'Données projet'!D219</f>
        <v>28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25</v>
      </c>
      <c r="B242" s="181">
        <f>'Données projet'!D220</f>
        <v>28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30</v>
      </c>
      <c r="B243" s="181">
        <f>'Données projet'!D221</f>
        <v>28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35</v>
      </c>
      <c r="B244" s="181">
        <f>'Données projet'!D222</f>
        <v>28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40</v>
      </c>
      <c r="B245" s="181">
        <f>'Données projet'!D223</f>
        <v>28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45</v>
      </c>
      <c r="B246" s="181">
        <f>'Données projet'!D224</f>
        <v>22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50</v>
      </c>
      <c r="B247" s="181">
        <f>'Données projet'!D225</f>
        <v>17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55</v>
      </c>
      <c r="B248" s="181">
        <f>'Données projet'!D226</f>
        <v>13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60</v>
      </c>
      <c r="B249" s="181">
        <f>'Données projet'!D227</f>
        <v>12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65</v>
      </c>
      <c r="B250" s="181">
        <f>'Données projet'!D228</f>
        <v>11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70</v>
      </c>
      <c r="B251" s="181">
        <f>'Données projet'!D229</f>
        <v>10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75</v>
      </c>
      <c r="B252" s="181">
        <f>'Données projet'!D230</f>
        <v>9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80</v>
      </c>
      <c r="B253" s="181">
        <f>'Données projet'!D231</f>
        <v>290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Didier Paillereau</cp:lastModifiedBy>
  <dcterms:created xsi:type="dcterms:W3CDTF">2021-02-01T08:22:39Z</dcterms:created>
  <dcterms:modified xsi:type="dcterms:W3CDTF">2025-03-13T09:36:00Z</dcterms:modified>
</cp:coreProperties>
</file>