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ierroton\MAULUN Frédéric - ROMAGNE (33)\Dossier déposé 26 02 2025\"/>
    </mc:Choice>
  </mc:AlternateContent>
  <xr:revisionPtr revIDLastSave="0" documentId="13_ncr:1_{25770575-C344-463C-9643-3600B27B8A35}" xr6:coauthVersionLast="36" xr6:coauthVersionMax="36" xr10:uidLastSave="{00000000-0000-0000-0000-000000000000}"/>
  <bookViews>
    <workbookView xWindow="0" yWindow="0" windowWidth="28800" windowHeight="12612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6" l="1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R4" i="2"/>
  <c r="EC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FS18" i="2"/>
  <c r="EW18" i="2"/>
  <c r="EV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G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HI45" i="2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FS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V60" i="2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FS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EV105" i="2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C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C113" i="2"/>
  <c r="HI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HG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FR145" i="2"/>
  <c r="HH145" i="2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ED154" i="2"/>
  <c r="EX155" i="2"/>
  <c r="EY154" i="2"/>
  <c r="EA155" i="2"/>
  <c r="DI154" i="2"/>
  <c r="HJ154" i="2"/>
  <c r="HG155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X156" i="2"/>
  <c r="DH156" i="2"/>
  <c r="ED155" i="2"/>
  <c r="HG156" i="2"/>
  <c r="FS156" i="2"/>
  <c r="EB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H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ED159" i="2"/>
  <c r="DG160" i="2"/>
  <c r="HG160" i="2"/>
  <c r="HI160" i="2"/>
  <c r="HH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EB161" i="2"/>
  <c r="FS161" i="2"/>
  <c r="HH161" i="2"/>
  <c r="EX161" i="2"/>
  <c r="EA161" i="2"/>
  <c r="ED160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Y161" i="2"/>
  <c r="EW162" i="2"/>
  <c r="EC162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EY162" i="2"/>
  <c r="ED162" i="2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 l="1"/>
  <c r="DI163" i="2"/>
  <c r="FR164" i="2"/>
  <c r="EX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FS166" i="2"/>
  <c r="CN165" i="2"/>
  <c r="HG166" i="2"/>
  <c r="HI166" i="2"/>
  <c r="EX166" i="2"/>
  <c r="EW166" i="2"/>
  <c r="EY165" i="2"/>
  <c r="FR166" i="2"/>
  <c r="GN166" i="2"/>
  <c r="HH166" i="2"/>
  <c r="HJ166" i="2" s="1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FR167" i="2"/>
  <c r="EY166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HI168" i="2"/>
  <c r="EC168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B172" i="2"/>
  <c r="HI172" i="2"/>
  <c r="HG172" i="2"/>
  <c r="EW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B175" i="2" l="1"/>
  <c r="HI175" i="2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Y175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FS177" i="2"/>
  <c r="FQ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ED177" i="2"/>
  <c r="FQ178" i="2"/>
  <c r="FS178" i="2"/>
  <c r="HG178" i="2"/>
  <c r="EB178" i="2"/>
  <c r="EA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I179" i="2"/>
  <c r="HH179" i="2"/>
  <c r="EV179" i="2"/>
  <c r="DF179" i="2"/>
  <c r="EA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EY182" i="2" s="1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EV185" i="2"/>
  <c r="EW185" i="2"/>
  <c r="EA185" i="2"/>
  <c r="EB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D185" i="2"/>
  <c r="FS186" i="2"/>
  <c r="EB186" i="2"/>
  <c r="HH186" i="2"/>
  <c r="FR186" i="2"/>
  <c r="EA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HH187" i="2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EY188" i="2"/>
  <c r="AA189" i="2"/>
  <c r="EB189" i="2"/>
  <c r="HH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HH190" i="2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I191" i="2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EA193" i="2"/>
  <c r="HI193" i="2"/>
  <c r="DI192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D193" i="2"/>
  <c r="EB194" i="2"/>
  <c r="HG194" i="2"/>
  <c r="FQ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ED194" i="2"/>
  <c r="FQ195" i="2"/>
  <c r="HI195" i="2"/>
  <c r="EY194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EW197" i="2"/>
  <c r="EY196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W199" i="2"/>
  <c r="EV199" i="2"/>
  <c r="EB199" i="2"/>
  <c r="HH199" i="2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J199" i="2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FS201" i="2"/>
  <c r="ED200" i="2"/>
  <c r="EB201" i="2"/>
  <c r="EA201" i="2"/>
  <c r="HH201" i="2"/>
  <c r="HG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X202" i="2" l="1"/>
  <c r="HI202" i="2"/>
  <c r="EY201" i="2"/>
  <c r="ED201" i="2"/>
  <c r="FS202" i="2"/>
  <c r="FZ6" i="2"/>
  <c r="EW202" i="2"/>
  <c r="FR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50" i="2" a="1"/>
  <c r="FY50" i="2" s="1"/>
  <c r="FY140" i="2" a="1"/>
  <c r="FY140" i="2" s="1"/>
  <c r="FY71" i="2" a="1"/>
  <c r="FY71" i="2" s="1"/>
  <c r="FY191" i="2" a="1"/>
  <c r="FY191" i="2" s="1"/>
  <c r="FY159" i="2" a="1"/>
  <c r="FY159" i="2" s="1"/>
  <c r="FY152" i="2" a="1"/>
  <c r="FY152" i="2" s="1"/>
  <c r="FY78" i="2" a="1"/>
  <c r="FY78" i="2" s="1"/>
  <c r="FY188" i="2" a="1"/>
  <c r="FY188" i="2" s="1"/>
  <c r="FY178" i="2" a="1"/>
  <c r="FY178" i="2" s="1"/>
  <c r="FY169" i="2" a="1"/>
  <c r="FY169" i="2" s="1"/>
  <c r="FY149" i="2" a="1"/>
  <c r="FY149" i="2" s="1"/>
  <c r="FY164" i="2" a="1"/>
  <c r="FY164" i="2" s="1"/>
  <c r="FY34" i="2" a="1"/>
  <c r="FY34" i="2" s="1"/>
  <c r="DN56" i="2" a="1"/>
  <c r="DN56" i="2" s="1"/>
  <c r="GT11" i="2" a="1"/>
  <c r="GT11" i="2" s="1"/>
  <c r="EI162" i="2" a="1"/>
  <c r="EI162" i="2" s="1"/>
  <c r="EI178" i="2" a="1"/>
  <c r="EI178" i="2" s="1"/>
  <c r="EI142" i="2" a="1"/>
  <c r="EI142" i="2" s="1"/>
  <c r="DN155" i="2" a="1"/>
  <c r="DN155" i="2" s="1"/>
  <c r="DN29" i="2" a="1"/>
  <c r="DN29" i="2" s="1"/>
  <c r="DN129" i="2" a="1"/>
  <c r="DN129" i="2" s="1"/>
  <c r="DN115" i="2" a="1"/>
  <c r="DN115" i="2" s="1"/>
  <c r="DN188" i="2" a="1"/>
  <c r="DN188" i="2" s="1"/>
  <c r="DN123" i="2" a="1"/>
  <c r="DN123" i="2" s="1"/>
  <c r="FY86" i="2" a="1"/>
  <c r="FY86" i="2" s="1"/>
  <c r="FY82" i="2" a="1"/>
  <c r="FY82" i="2" s="1"/>
  <c r="FY196" i="2" a="1"/>
  <c r="FY196" i="2" s="1"/>
  <c r="FY42" i="2" a="1"/>
  <c r="FY42" i="2" s="1"/>
  <c r="FY142" i="2" a="1"/>
  <c r="FY142" i="2" s="1"/>
  <c r="FD60" i="2" a="1"/>
  <c r="FD60" i="2" s="1"/>
  <c r="FD188" i="2" a="1"/>
  <c r="FD188" i="2" s="1"/>
  <c r="FD44" i="2" a="1"/>
  <c r="FD44" i="2" s="1"/>
  <c r="FD48" i="2" a="1"/>
  <c r="FD48" i="2" s="1"/>
  <c r="FD159" i="2" a="1"/>
  <c r="FD159" i="2" s="1"/>
  <c r="FD160" i="2" a="1"/>
  <c r="FD160" i="2" s="1"/>
  <c r="FD19" i="2" a="1"/>
  <c r="FD19" i="2" s="1"/>
  <c r="BC7" i="2" a="1"/>
  <c r="BC7" i="2" s="1"/>
  <c r="BC18" i="2" a="1"/>
  <c r="BC18" i="2" s="1"/>
  <c r="DN63" i="2" a="1"/>
  <c r="DN63" i="2" s="1"/>
  <c r="EI38" i="2" a="1"/>
  <c r="EI38" i="2" s="1"/>
  <c r="EI109" i="2" a="1"/>
  <c r="EI109" i="2" s="1"/>
  <c r="EI87" i="2" a="1"/>
  <c r="EI87" i="2" s="1"/>
  <c r="EI128" i="2" a="1"/>
  <c r="EI128" i="2" s="1"/>
  <c r="EI16" i="2" a="1"/>
  <c r="EI16" i="2" s="1"/>
  <c r="EI170" i="2" a="1"/>
  <c r="EI170" i="2" s="1"/>
  <c r="EI67" i="2" a="1"/>
  <c r="EI67" i="2" s="1"/>
  <c r="DN80" i="2" a="1"/>
  <c r="DN80" i="2" s="1"/>
  <c r="DN164" i="2" a="1"/>
  <c r="DN164" i="2" s="1"/>
  <c r="DN16" i="2" a="1"/>
  <c r="DN16" i="2" s="1"/>
  <c r="DN167" i="2" a="1"/>
  <c r="DN167" i="2" s="1"/>
  <c r="DN110" i="2" a="1"/>
  <c r="DN110" i="2" s="1"/>
  <c r="DN65" i="2" a="1"/>
  <c r="DN65" i="2" s="1"/>
  <c r="DN176" i="2" a="1"/>
  <c r="DN176" i="2" s="1"/>
  <c r="DN6" i="2" a="1"/>
  <c r="DN6" i="2" s="1"/>
  <c r="DO6" i="2" s="1"/>
  <c r="DN30" i="2" a="1"/>
  <c r="DN30" i="2" s="1"/>
  <c r="DN132" i="2" a="1"/>
  <c r="DN132" i="2" s="1"/>
  <c r="FD82" i="2" a="1"/>
  <c r="FD82" i="2" s="1"/>
  <c r="HJ202" i="2"/>
  <c r="AX200" i="2"/>
  <c r="EI150" i="2" l="1" a="1"/>
  <c r="EI150" i="2" s="1"/>
  <c r="EI37" i="2" a="1"/>
  <c r="EI37" i="2" s="1"/>
  <c r="EI35" i="2" a="1"/>
  <c r="EI35" i="2" s="1"/>
  <c r="EI139" i="2" a="1"/>
  <c r="EI139" i="2" s="1"/>
  <c r="EI145" i="2" a="1"/>
  <c r="EI145" i="2" s="1"/>
  <c r="EI29" i="2" a="1"/>
  <c r="EI29" i="2" s="1"/>
  <c r="EI195" i="2" a="1"/>
  <c r="EI195" i="2" s="1"/>
  <c r="EI20" i="2" a="1"/>
  <c r="EI20" i="2" s="1"/>
  <c r="EI34" i="2" a="1"/>
  <c r="EI34" i="2" s="1"/>
  <c r="EI71" i="2" a="1"/>
  <c r="EI71" i="2" s="1"/>
  <c r="EI36" i="2" a="1"/>
  <c r="EI36" i="2" s="1"/>
  <c r="GT33" i="2" a="1"/>
  <c r="GT33" i="2" s="1"/>
  <c r="GT147" i="2" a="1"/>
  <c r="GT147" i="2" s="1"/>
  <c r="GT38" i="2" a="1"/>
  <c r="GT38" i="2" s="1"/>
  <c r="HG203" i="2"/>
  <c r="GT133" i="2" a="1"/>
  <c r="GT133" i="2" s="1"/>
  <c r="GT122" i="2" a="1"/>
  <c r="GT122" i="2" s="1"/>
  <c r="GT126" i="2" a="1"/>
  <c r="GT126" i="2" s="1"/>
  <c r="GT74" i="2" a="1"/>
  <c r="GT74" i="2" s="1"/>
  <c r="GT178" i="2" a="1"/>
  <c r="GT178" i="2" s="1"/>
  <c r="GT198" i="2" a="1"/>
  <c r="GT198" i="2" s="1"/>
  <c r="GT189" i="2" a="1"/>
  <c r="GT189" i="2" s="1"/>
  <c r="GT121" i="2" a="1"/>
  <c r="GT121" i="2" s="1"/>
  <c r="GT51" i="2" a="1"/>
  <c r="GT51" i="2" s="1"/>
  <c r="GT12" i="2" a="1"/>
  <c r="GT12" i="2" s="1"/>
  <c r="GT68" i="2" a="1"/>
  <c r="GT68" i="2" s="1"/>
  <c r="GT15" i="2" a="1"/>
  <c r="GT15" i="2" s="1"/>
  <c r="GT107" i="2" a="1"/>
  <c r="GT107" i="2" s="1"/>
  <c r="GT181" i="2" a="1"/>
  <c r="GT181" i="2" s="1"/>
  <c r="GT138" i="2" a="1"/>
  <c r="GT138" i="2" s="1"/>
  <c r="GT174" i="2" a="1"/>
  <c r="GT174" i="2" s="1"/>
  <c r="GT21" i="2" a="1"/>
  <c r="GT21" i="2" s="1"/>
  <c r="GT190" i="2" a="1"/>
  <c r="GT190" i="2" s="1"/>
  <c r="GT191" i="2" a="1"/>
  <c r="GT191" i="2" s="1"/>
  <c r="GT184" i="2" a="1"/>
  <c r="GT184" i="2" s="1"/>
  <c r="GT115" i="2" a="1"/>
  <c r="GT115" i="2" s="1"/>
  <c r="GT102" i="2" a="1"/>
  <c r="GT102" i="2" s="1"/>
  <c r="GT152" i="2" a="1"/>
  <c r="GT152" i="2" s="1"/>
  <c r="FY28" i="2" a="1"/>
  <c r="FY28" i="2" s="1"/>
  <c r="FY143" i="2" a="1"/>
  <c r="FY143" i="2" s="1"/>
  <c r="FY29" i="2" a="1"/>
  <c r="FY29" i="2" s="1"/>
  <c r="FY35" i="2" a="1"/>
  <c r="FY35" i="2" s="1"/>
  <c r="FY182" i="2" a="1"/>
  <c r="FY182" i="2" s="1"/>
  <c r="FY24" i="2" a="1"/>
  <c r="FY24" i="2" s="1"/>
  <c r="FY174" i="2" a="1"/>
  <c r="FY174" i="2" s="1"/>
  <c r="FY110" i="2" a="1"/>
  <c r="FY110" i="2" s="1"/>
  <c r="FY165" i="2" a="1"/>
  <c r="FY165" i="2" s="1"/>
  <c r="FY115" i="2" a="1"/>
  <c r="FY115" i="2" s="1"/>
  <c r="FY124" i="2" a="1"/>
  <c r="FY124" i="2" s="1"/>
  <c r="FY99" i="2" a="1"/>
  <c r="FY99" i="2" s="1"/>
  <c r="FY153" i="2" a="1"/>
  <c r="FY153" i="2" s="1"/>
  <c r="FY146" i="2" a="1"/>
  <c r="FY146" i="2" s="1"/>
  <c r="FY116" i="2" a="1"/>
  <c r="FY116" i="2" s="1"/>
  <c r="FY102" i="2" a="1"/>
  <c r="FY102" i="2" s="1"/>
  <c r="FY32" i="2" a="1"/>
  <c r="FY32" i="2" s="1"/>
  <c r="FY58" i="2" a="1"/>
  <c r="FY58" i="2" s="1"/>
  <c r="FY62" i="2" a="1"/>
  <c r="FY62" i="2" s="1"/>
  <c r="FY92" i="2" a="1"/>
  <c r="FY92" i="2" s="1"/>
  <c r="FY69" i="2" a="1"/>
  <c r="FY69" i="2" s="1"/>
  <c r="FY22" i="2" a="1"/>
  <c r="FY22" i="2" s="1"/>
  <c r="FY121" i="2" a="1"/>
  <c r="FY121" i="2" s="1"/>
  <c r="FY190" i="2" a="1"/>
  <c r="FY190" i="2" s="1"/>
  <c r="FY111" i="2" a="1"/>
  <c r="FY111" i="2" s="1"/>
  <c r="FY66" i="2" a="1"/>
  <c r="FY66" i="2" s="1"/>
  <c r="FY57" i="2" a="1"/>
  <c r="FY57" i="2" s="1"/>
  <c r="FY167" i="2" a="1"/>
  <c r="FY167" i="2" s="1"/>
  <c r="FY72" i="2" a="1"/>
  <c r="FY72" i="2" s="1"/>
  <c r="FY73" i="2" a="1"/>
  <c r="FY73" i="2" s="1"/>
  <c r="FY120" i="2" a="1"/>
  <c r="FY120" i="2" s="1"/>
  <c r="FY54" i="2" a="1"/>
  <c r="FY54" i="2" s="1"/>
  <c r="FY80" i="2" a="1"/>
  <c r="FY80" i="2" s="1"/>
  <c r="FY172" i="2" a="1"/>
  <c r="FY172" i="2" s="1"/>
  <c r="FY55" i="2" a="1"/>
  <c r="FY55" i="2" s="1"/>
  <c r="FY186" i="2" a="1"/>
  <c r="FY186" i="2" s="1"/>
  <c r="FY18" i="2" a="1"/>
  <c r="FY18" i="2" s="1"/>
  <c r="FY109" i="2" a="1"/>
  <c r="FY109" i="2" s="1"/>
  <c r="FY30" i="2" a="1"/>
  <c r="FY30" i="2" s="1"/>
  <c r="FY104" i="2" a="1"/>
  <c r="FY104" i="2" s="1"/>
  <c r="FY126" i="2" a="1"/>
  <c r="FY126" i="2" s="1"/>
  <c r="FY173" i="2" a="1"/>
  <c r="FY173" i="2" s="1"/>
  <c r="FY133" i="2" a="1"/>
  <c r="FY133" i="2" s="1"/>
  <c r="FY79" i="2" a="1"/>
  <c r="FY79" i="2" s="1"/>
  <c r="BC38" i="2" a="1"/>
  <c r="BC38" i="2" s="1"/>
  <c r="BC83" i="2" a="1"/>
  <c r="BC83" i="2" s="1"/>
  <c r="BC151" i="2" a="1"/>
  <c r="BC151" i="2" s="1"/>
  <c r="BC55" i="2" a="1"/>
  <c r="BC55" i="2" s="1"/>
  <c r="BC117" i="2" a="1"/>
  <c r="BC117" i="2" s="1"/>
  <c r="BC181" i="2" a="1"/>
  <c r="BC181" i="2" s="1"/>
  <c r="BC114" i="2" a="1"/>
  <c r="BC114" i="2" s="1"/>
  <c r="BC126" i="2" a="1"/>
  <c r="BC126" i="2" s="1"/>
  <c r="BC130" i="2" a="1"/>
  <c r="BC130" i="2" s="1"/>
  <c r="BC65" i="2" a="1"/>
  <c r="BC65" i="2" s="1"/>
  <c r="BC82" i="2" a="1"/>
  <c r="BC82" i="2" s="1"/>
  <c r="BC143" i="2" a="1"/>
  <c r="BC143" i="2" s="1"/>
  <c r="BC47" i="2" a="1"/>
  <c r="BC47" i="2" s="1"/>
  <c r="BC31" i="2" a="1"/>
  <c r="BC31" i="2" s="1"/>
  <c r="BC68" i="2" a="1"/>
  <c r="BC68" i="2" s="1"/>
  <c r="BC84" i="2" a="1"/>
  <c r="BC84" i="2" s="1"/>
  <c r="BC58" i="2" a="1"/>
  <c r="BC58" i="2" s="1"/>
  <c r="BC32" i="2" a="1"/>
  <c r="BC32" i="2" s="1"/>
  <c r="BC34" i="2" a="1"/>
  <c r="BC34" i="2" s="1"/>
  <c r="BC185" i="2" a="1"/>
  <c r="BC185" i="2" s="1"/>
  <c r="BC164" i="2" a="1"/>
  <c r="BC164" i="2" s="1"/>
  <c r="BC192" i="2" a="1"/>
  <c r="BC192" i="2" s="1"/>
  <c r="EI106" i="2" a="1"/>
  <c r="EI106" i="2" s="1"/>
  <c r="EI153" i="2" a="1"/>
  <c r="EI153" i="2" s="1"/>
  <c r="EI113" i="2" a="1"/>
  <c r="EI113" i="2" s="1"/>
  <c r="EI166" i="2" a="1"/>
  <c r="EI166" i="2" s="1"/>
  <c r="EI198" i="2" a="1"/>
  <c r="EI198" i="2" s="1"/>
  <c r="EI165" i="2" a="1"/>
  <c r="EI165" i="2" s="1"/>
  <c r="DN186" i="2" a="1"/>
  <c r="DN186" i="2" s="1"/>
  <c r="EI57" i="2" a="1"/>
  <c r="EI57" i="2" s="1"/>
  <c r="CS116" i="2" a="1"/>
  <c r="CS116" i="2" s="1"/>
  <c r="DN50" i="2" a="1"/>
  <c r="DN50" i="2" s="1"/>
  <c r="DN190" i="2" a="1"/>
  <c r="DN190" i="2" s="1"/>
  <c r="DN135" i="2" a="1"/>
  <c r="DN135" i="2" s="1"/>
  <c r="DN133" i="2" a="1"/>
  <c r="DN133" i="2" s="1"/>
  <c r="DN38" i="2" a="1"/>
  <c r="DN38" i="2" s="1"/>
  <c r="DN113" i="2" a="1"/>
  <c r="DN113" i="2" s="1"/>
  <c r="DN150" i="2" a="1"/>
  <c r="DN150" i="2" s="1"/>
  <c r="DN70" i="2" a="1"/>
  <c r="DN70" i="2" s="1"/>
  <c r="DN168" i="2" a="1"/>
  <c r="DN168" i="2" s="1"/>
  <c r="DN192" i="2" a="1"/>
  <c r="DN192" i="2" s="1"/>
  <c r="DN184" i="2" a="1"/>
  <c r="DN184" i="2" s="1"/>
  <c r="DN25" i="2" a="1"/>
  <c r="DN25" i="2" s="1"/>
  <c r="DN187" i="2" a="1"/>
  <c r="DN187" i="2" s="1"/>
  <c r="DN55" i="2" a="1"/>
  <c r="DN55" i="2" s="1"/>
  <c r="DN66" i="2" a="1"/>
  <c r="DN66" i="2" s="1"/>
  <c r="DN152" i="2" a="1"/>
  <c r="DN152" i="2" s="1"/>
  <c r="DN45" i="2" a="1"/>
  <c r="DN45" i="2" s="1"/>
  <c r="DN31" i="2" a="1"/>
  <c r="DN31" i="2" s="1"/>
  <c r="DN86" i="2" a="1"/>
  <c r="DN86" i="2" s="1"/>
  <c r="DN41" i="2" a="1"/>
  <c r="DN41" i="2" s="1"/>
  <c r="DN177" i="2" a="1"/>
  <c r="DN177" i="2" s="1"/>
  <c r="DN43" i="2" a="1"/>
  <c r="DN43" i="2" s="1"/>
  <c r="DN46" i="2" a="1"/>
  <c r="DN46" i="2" s="1"/>
  <c r="DN162" i="2" a="1"/>
  <c r="DN162" i="2" s="1"/>
  <c r="DN114" i="2" a="1"/>
  <c r="DN114" i="2" s="1"/>
  <c r="DN153" i="2" a="1"/>
  <c r="DN153" i="2" s="1"/>
  <c r="DN137" i="2" a="1"/>
  <c r="DN137" i="2" s="1"/>
  <c r="DN49" i="2" a="1"/>
  <c r="DN49" i="2" s="1"/>
  <c r="DN103" i="2" a="1"/>
  <c r="DN103" i="2" s="1"/>
  <c r="DN170" i="2" a="1"/>
  <c r="DN170" i="2" s="1"/>
  <c r="DN124" i="2" a="1"/>
  <c r="DN124" i="2" s="1"/>
  <c r="CS38" i="2" a="1"/>
  <c r="CS38" i="2" s="1"/>
  <c r="CS66" i="2" a="1"/>
  <c r="CS66" i="2" s="1"/>
  <c r="CS105" i="2" a="1"/>
  <c r="CS105" i="2" s="1"/>
  <c r="CS161" i="2" a="1"/>
  <c r="CS161" i="2" s="1"/>
  <c r="CS77" i="2" a="1"/>
  <c r="CS77" i="2" s="1"/>
  <c r="CS72" i="2" a="1"/>
  <c r="CS72" i="2" s="1"/>
  <c r="CS185" i="2" a="1"/>
  <c r="CS185" i="2" s="1"/>
  <c r="CS114" i="2" a="1"/>
  <c r="CS114" i="2" s="1"/>
  <c r="CS24" i="2" a="1"/>
  <c r="CS24" i="2" s="1"/>
  <c r="CS120" i="2" a="1"/>
  <c r="CS120" i="2" s="1"/>
  <c r="CS134" i="2" a="1"/>
  <c r="CS134" i="2" s="1"/>
  <c r="CS129" i="2" a="1"/>
  <c r="CS129" i="2" s="1"/>
  <c r="CS56" i="2" a="1"/>
  <c r="CS56" i="2" s="1"/>
  <c r="CS52" i="2" a="1"/>
  <c r="CS52" i="2" s="1"/>
  <c r="CS137" i="2" a="1"/>
  <c r="CS137" i="2" s="1"/>
  <c r="AH199" i="2" a="1"/>
  <c r="AH199" i="2" s="1"/>
  <c r="FD167" i="2" a="1"/>
  <c r="FD167" i="2" s="1"/>
  <c r="FD187" i="2" a="1"/>
  <c r="FD187" i="2" s="1"/>
  <c r="FD64" i="2" a="1"/>
  <c r="FD64" i="2" s="1"/>
  <c r="FD194" i="2" a="1"/>
  <c r="FD194" i="2" s="1"/>
  <c r="FD137" i="2" a="1"/>
  <c r="FD137" i="2" s="1"/>
  <c r="FD14" i="2" a="1"/>
  <c r="FD14" i="2" s="1"/>
  <c r="FD107" i="2" a="1"/>
  <c r="FD107" i="2" s="1"/>
  <c r="FD131" i="2" a="1"/>
  <c r="FD131" i="2" s="1"/>
  <c r="FD43" i="2" a="1"/>
  <c r="FD43" i="2" s="1"/>
  <c r="FD189" i="2" a="1"/>
  <c r="FD189" i="2" s="1"/>
  <c r="FD59" i="2" a="1"/>
  <c r="FD59" i="2" s="1"/>
  <c r="FD144" i="2" a="1"/>
  <c r="FD144" i="2" s="1"/>
  <c r="FD21" i="2" a="1"/>
  <c r="FD21" i="2" s="1"/>
  <c r="BX107" i="2" a="1"/>
  <c r="BX107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DI203" i="2"/>
  <c r="ED203" i="2"/>
  <c r="FT203" i="2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J36" i="2" l="1"/>
  <c r="FJ95" i="2"/>
  <c r="FJ116" i="2"/>
  <c r="FJ171" i="2"/>
  <c r="FJ49" i="2"/>
  <c r="FJ201" i="2"/>
  <c r="FJ52" i="2"/>
  <c r="FJ61" i="2"/>
  <c r="FJ56" i="2"/>
  <c r="FJ32" i="2"/>
  <c r="FJ89" i="2"/>
  <c r="FJ125" i="2"/>
  <c r="FJ85" i="2"/>
  <c r="FJ17" i="2"/>
  <c r="FJ187" i="2"/>
  <c r="FJ203" i="2"/>
  <c r="FE84" i="2"/>
  <c r="FF83" i="2"/>
  <c r="FG83" i="2" s="1"/>
  <c r="FH83" i="2" s="1"/>
  <c r="FI83" i="2" s="1"/>
  <c r="FJ186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90" i="2" l="1"/>
  <c r="FJ24" i="2"/>
  <c r="FJ196" i="2"/>
  <c r="FJ5" i="2"/>
  <c r="FJ139" i="2"/>
  <c r="FJ55" i="2"/>
  <c r="FJ140" i="2"/>
  <c r="FJ43" i="2"/>
  <c r="FJ64" i="2"/>
  <c r="FJ48" i="2"/>
  <c r="FJ108" i="2"/>
  <c r="FJ148" i="2"/>
  <c r="FJ174" i="2"/>
  <c r="FJ126" i="2"/>
  <c r="FJ104" i="2"/>
  <c r="FJ153" i="2"/>
  <c r="FJ70" i="2"/>
  <c r="FJ20" i="2"/>
  <c r="FJ29" i="2"/>
  <c r="FJ25" i="2"/>
  <c r="FJ157" i="2"/>
  <c r="FJ143" i="2"/>
  <c r="FJ106" i="2"/>
  <c r="FJ44" i="2"/>
  <c r="FJ117" i="2"/>
  <c r="FJ121" i="2"/>
  <c r="FJ71" i="2"/>
  <c r="FJ184" i="2"/>
  <c r="FJ202" i="2"/>
  <c r="FJ92" i="2"/>
  <c r="FJ30" i="2"/>
  <c r="FJ83" i="2"/>
  <c r="FJ72" i="2"/>
  <c r="FJ93" i="2"/>
  <c r="FJ155" i="2"/>
  <c r="FJ189" i="2"/>
  <c r="FJ197" i="2"/>
  <c r="FJ122" i="2"/>
  <c r="FJ63" i="2"/>
  <c r="FJ40" i="2"/>
  <c r="FJ134" i="2"/>
  <c r="FJ31" i="2"/>
  <c r="FJ190" i="2"/>
  <c r="FJ16" i="2"/>
  <c r="FJ164" i="2"/>
  <c r="FJ193" i="2"/>
  <c r="FJ145" i="2"/>
  <c r="FJ154" i="2"/>
  <c r="FJ87" i="2"/>
  <c r="FJ127" i="2"/>
  <c r="FJ82" i="2"/>
  <c r="FJ15" i="2"/>
  <c r="FJ3" i="2"/>
  <c r="C13" i="4" s="1"/>
  <c r="E13" i="4" s="1"/>
  <c r="F13" i="4" s="1"/>
  <c r="G13" i="4" s="1"/>
  <c r="L13" i="4" s="1"/>
  <c r="FJ128" i="2"/>
  <c r="FJ50" i="2"/>
  <c r="FJ168" i="2"/>
  <c r="FJ66" i="2"/>
  <c r="FJ13" i="2"/>
  <c r="FJ80" i="2"/>
  <c r="FJ147" i="2"/>
  <c r="FJ9" i="2"/>
  <c r="FJ173" i="2"/>
  <c r="FJ73" i="2"/>
  <c r="FJ84" i="2"/>
  <c r="FJ67" i="2"/>
  <c r="FJ135" i="2"/>
  <c r="FJ166" i="2"/>
  <c r="FJ149" i="2"/>
  <c r="FJ156" i="2"/>
  <c r="FJ115" i="2"/>
  <c r="FJ105" i="2"/>
  <c r="FJ144" i="2"/>
  <c r="FJ37" i="2"/>
  <c r="FJ65" i="2"/>
  <c r="FJ129" i="2"/>
  <c r="FJ53" i="2"/>
  <c r="FJ133" i="2"/>
  <c r="FJ132" i="2"/>
  <c r="FJ185" i="2"/>
  <c r="FJ180" i="2"/>
  <c r="FJ142" i="2"/>
  <c r="FJ41" i="2"/>
  <c r="FJ151" i="2"/>
  <c r="FJ118" i="2"/>
  <c r="FJ163" i="2"/>
  <c r="FJ46" i="2"/>
  <c r="FJ114" i="2"/>
  <c r="FJ19" i="2"/>
  <c r="FJ183" i="2"/>
  <c r="FJ4" i="2"/>
  <c r="FJ62" i="2"/>
  <c r="FJ22" i="2"/>
  <c r="FJ101" i="2"/>
  <c r="FJ91" i="2"/>
  <c r="FJ112" i="2"/>
  <c r="FJ47" i="2"/>
  <c r="FJ120" i="2"/>
  <c r="FJ138" i="2"/>
  <c r="FJ199" i="2"/>
  <c r="FJ113" i="2"/>
  <c r="FJ137" i="2"/>
  <c r="FJ181" i="2"/>
  <c r="FJ110" i="2"/>
  <c r="FJ159" i="2"/>
  <c r="FJ26" i="2"/>
  <c r="FJ111" i="2"/>
  <c r="FJ6" i="2"/>
  <c r="FJ51" i="2"/>
  <c r="FJ194" i="2"/>
  <c r="FJ60" i="2"/>
  <c r="FJ167" i="2"/>
  <c r="FJ119" i="2"/>
  <c r="FJ158" i="2"/>
  <c r="FJ76" i="2"/>
  <c r="FJ39" i="2"/>
  <c r="FJ35" i="2"/>
  <c r="FJ161" i="2"/>
  <c r="FJ165" i="2"/>
  <c r="FJ170" i="2"/>
  <c r="FJ169" i="2"/>
  <c r="FJ100" i="2"/>
  <c r="FJ21" i="2"/>
  <c r="FJ192" i="2"/>
  <c r="FJ98" i="2"/>
  <c r="FJ172" i="2"/>
  <c r="FJ162" i="2"/>
  <c r="FJ179" i="2"/>
  <c r="FJ130" i="2"/>
  <c r="FJ10" i="2"/>
  <c r="FJ59" i="2"/>
  <c r="FJ68" i="2"/>
  <c r="FJ12" i="2"/>
  <c r="FJ176" i="2"/>
  <c r="FJ177" i="2"/>
  <c r="FJ94" i="2"/>
  <c r="FJ195" i="2"/>
  <c r="FJ99" i="2"/>
  <c r="FJ141" i="2"/>
  <c r="FJ33" i="2"/>
  <c r="FJ18" i="2"/>
  <c r="FJ42" i="2"/>
  <c r="FJ27" i="2"/>
  <c r="FJ182" i="2"/>
  <c r="FJ178" i="2"/>
  <c r="FJ188" i="2"/>
  <c r="FJ107" i="2"/>
  <c r="FJ198" i="2"/>
  <c r="FJ191" i="2"/>
  <c r="FJ23" i="2"/>
  <c r="FJ146" i="2"/>
  <c r="FJ81" i="2"/>
  <c r="FJ96" i="2"/>
  <c r="FJ45" i="2"/>
  <c r="FJ11" i="2"/>
  <c r="FJ131" i="2"/>
  <c r="FJ28" i="2"/>
  <c r="FJ58" i="2"/>
  <c r="FJ102" i="2"/>
  <c r="FJ124" i="2"/>
  <c r="FJ160" i="2"/>
  <c r="FJ57" i="2"/>
  <c r="FJ75" i="2"/>
  <c r="FJ123" i="2"/>
  <c r="FJ38" i="2"/>
  <c r="FJ97" i="2"/>
  <c r="FJ54" i="2"/>
  <c r="FJ88" i="2"/>
  <c r="FJ77" i="2"/>
  <c r="FJ8" i="2"/>
  <c r="FJ175" i="2"/>
  <c r="FJ79" i="2"/>
  <c r="FJ7" i="2"/>
  <c r="FJ200" i="2"/>
  <c r="FJ150" i="2"/>
  <c r="FJ74" i="2"/>
  <c r="FJ86" i="2"/>
  <c r="FJ136" i="2"/>
  <c r="FJ34" i="2"/>
  <c r="FJ109" i="2"/>
  <c r="FJ14" i="2"/>
  <c r="FJ78" i="2"/>
  <c r="FJ103" i="2"/>
  <c r="FJ69" i="2"/>
  <c r="FJ152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GZ8" i="2" l="1"/>
  <c r="GZ188" i="2"/>
  <c r="GZ139" i="2"/>
  <c r="GZ101" i="2"/>
  <c r="GZ157" i="2"/>
  <c r="GZ150" i="2"/>
  <c r="GZ96" i="2"/>
  <c r="GZ133" i="2"/>
  <c r="GZ58" i="2"/>
  <c r="GZ94" i="2"/>
  <c r="GZ125" i="2"/>
  <c r="GZ178" i="2"/>
  <c r="GZ100" i="2"/>
  <c r="GZ28" i="2"/>
  <c r="GZ202" i="2"/>
  <c r="GZ112" i="2"/>
  <c r="GZ4" i="2"/>
  <c r="GZ152" i="2"/>
  <c r="GZ98" i="2"/>
  <c r="GZ22" i="2"/>
  <c r="GZ154" i="2"/>
  <c r="GZ97" i="2"/>
  <c r="GZ60" i="2"/>
  <c r="GZ183" i="2"/>
  <c r="GZ76" i="2"/>
  <c r="GZ10" i="2"/>
  <c r="GZ177" i="2"/>
  <c r="GZ38" i="2"/>
  <c r="GZ142" i="2"/>
  <c r="GZ124" i="2"/>
  <c r="GZ186" i="2"/>
  <c r="GZ171" i="2"/>
  <c r="GZ70" i="2"/>
  <c r="GZ25" i="2"/>
  <c r="GZ172" i="2"/>
  <c r="GZ191" i="2"/>
  <c r="GZ143" i="2"/>
  <c r="GZ146" i="2"/>
  <c r="GZ99" i="2"/>
  <c r="GZ81" i="2"/>
  <c r="GZ85" i="2"/>
  <c r="GZ121" i="2"/>
  <c r="GZ170" i="2"/>
  <c r="GZ102" i="2"/>
  <c r="GZ123" i="2"/>
  <c r="GZ116" i="2"/>
  <c r="GZ160" i="2"/>
  <c r="GZ194" i="2"/>
  <c r="GZ41" i="2"/>
  <c r="GZ43" i="2"/>
  <c r="GZ92" i="2"/>
  <c r="GZ36" i="2"/>
  <c r="GZ106" i="2"/>
  <c r="GZ137" i="2"/>
  <c r="GZ77" i="2"/>
  <c r="GZ159" i="2"/>
  <c r="GZ71" i="2"/>
  <c r="GZ49" i="2"/>
  <c r="GZ197" i="2"/>
  <c r="GZ118" i="2"/>
  <c r="GZ73" i="2"/>
  <c r="GZ30" i="2"/>
  <c r="GZ110" i="2"/>
  <c r="GZ12" i="2"/>
  <c r="GZ72" i="2"/>
  <c r="GZ14" i="2"/>
  <c r="GZ158" i="2"/>
  <c r="GZ111" i="2"/>
  <c r="GZ56" i="2"/>
  <c r="GZ136" i="2"/>
  <c r="GZ61" i="2"/>
  <c r="GZ190" i="2"/>
  <c r="GZ120" i="2"/>
  <c r="GZ129" i="2"/>
  <c r="GZ168" i="2"/>
  <c r="GZ26" i="2"/>
  <c r="GZ176" i="2"/>
  <c r="GZ109" i="2"/>
  <c r="GZ126" i="2"/>
  <c r="GZ105" i="2"/>
  <c r="GZ193" i="2"/>
  <c r="GZ131" i="2"/>
  <c r="GZ198" i="2"/>
  <c r="GZ156" i="2"/>
  <c r="GZ82" i="2"/>
  <c r="GZ31" i="2"/>
  <c r="GZ147" i="2"/>
  <c r="GZ29" i="2"/>
  <c r="GZ192" i="2"/>
  <c r="GZ79" i="2"/>
  <c r="GZ66" i="2"/>
  <c r="GZ45" i="2"/>
  <c r="GZ140" i="2"/>
  <c r="GZ35" i="2"/>
  <c r="GZ108" i="2"/>
  <c r="GZ196" i="2"/>
  <c r="GZ117" i="2"/>
  <c r="GZ151" i="2"/>
  <c r="GZ11" i="2"/>
  <c r="GZ169" i="2"/>
  <c r="GZ113" i="2"/>
  <c r="GZ90" i="2"/>
  <c r="GZ69" i="2"/>
  <c r="GZ62" i="2"/>
  <c r="GZ40" i="2"/>
  <c r="GZ134" i="2"/>
  <c r="GZ141" i="2"/>
  <c r="GZ195" i="2"/>
  <c r="GZ20" i="2"/>
  <c r="GZ15" i="2"/>
  <c r="GZ174" i="2"/>
  <c r="GZ50" i="2"/>
  <c r="GZ86" i="2"/>
  <c r="GZ34" i="2"/>
  <c r="GZ83" i="2"/>
  <c r="GZ180" i="2"/>
  <c r="GZ201" i="2"/>
  <c r="GZ23" i="2"/>
  <c r="GZ185" i="2"/>
  <c r="GZ64" i="2"/>
  <c r="GZ84" i="2"/>
  <c r="GZ47" i="2"/>
  <c r="GZ127" i="2"/>
  <c r="GZ107" i="2"/>
  <c r="GZ7" i="2"/>
  <c r="GZ75" i="2"/>
  <c r="GZ162" i="2"/>
  <c r="GZ37" i="2"/>
  <c r="GZ163" i="2"/>
  <c r="GZ67" i="2"/>
  <c r="GZ203" i="2"/>
  <c r="GZ53" i="2"/>
  <c r="GZ65" i="2"/>
  <c r="GZ165" i="2"/>
  <c r="GZ21" i="2"/>
  <c r="GZ52" i="2"/>
  <c r="GZ166" i="2"/>
  <c r="GZ91" i="2"/>
  <c r="GZ161" i="2"/>
  <c r="GZ19" i="2"/>
  <c r="GZ167" i="2"/>
  <c r="GZ189" i="2"/>
  <c r="GZ173" i="2"/>
  <c r="GZ17" i="2"/>
  <c r="GZ179" i="2"/>
  <c r="GZ145" i="2"/>
  <c r="GZ114" i="2"/>
  <c r="GZ164" i="2"/>
  <c r="GZ6" i="2"/>
  <c r="GZ55" i="2"/>
  <c r="GZ44" i="2"/>
  <c r="GZ57" i="2"/>
  <c r="GZ199" i="2"/>
  <c r="GZ200" i="2"/>
  <c r="GZ63" i="2"/>
  <c r="GZ104" i="2"/>
  <c r="GZ74" i="2"/>
  <c r="GZ24" i="2"/>
  <c r="GZ32" i="2"/>
  <c r="GZ42" i="2"/>
  <c r="GZ119" i="2"/>
  <c r="GZ135" i="2"/>
  <c r="GZ175" i="2"/>
  <c r="GZ68" i="2"/>
  <c r="GZ144" i="2"/>
  <c r="GZ132" i="2"/>
  <c r="GZ9" i="2"/>
  <c r="GZ122" i="2"/>
  <c r="GZ138" i="2"/>
  <c r="GZ182" i="2"/>
  <c r="GZ155" i="2"/>
  <c r="GZ93" i="2"/>
  <c r="GZ87" i="2"/>
  <c r="GZ184" i="2"/>
  <c r="GZ51" i="2"/>
  <c r="GZ187" i="2"/>
  <c r="GZ5" i="2"/>
  <c r="GZ181" i="2"/>
  <c r="GZ115" i="2"/>
  <c r="GZ54" i="2"/>
  <c r="GZ13" i="2"/>
  <c r="GZ130" i="2"/>
  <c r="GZ78" i="2"/>
  <c r="GZ148" i="2"/>
  <c r="GZ39" i="2"/>
  <c r="GZ128" i="2"/>
  <c r="GZ18" i="2"/>
  <c r="GZ33" i="2"/>
  <c r="GZ16" i="2"/>
  <c r="GZ95" i="2"/>
  <c r="GZ27" i="2"/>
  <c r="GZ46" i="2"/>
  <c r="GZ89" i="2"/>
  <c r="GZ88" i="2"/>
  <c r="GZ149" i="2"/>
  <c r="GZ48" i="2"/>
  <c r="GZ153" i="2"/>
  <c r="GZ103" i="2"/>
  <c r="GZ59" i="2"/>
  <c r="GZ80" i="2"/>
  <c r="GZ3" i="2"/>
  <c r="C15" i="4" s="1"/>
  <c r="E15" i="4" s="1"/>
  <c r="F15" i="4" s="1"/>
  <c r="G15" i="4" s="1"/>
  <c r="L15" i="4" s="1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D162" i="2" l="1"/>
  <c r="CD170" i="2"/>
  <c r="CD103" i="2"/>
  <c r="CD87" i="2"/>
  <c r="CD119" i="2"/>
  <c r="CD195" i="2"/>
  <c r="CD6" i="2"/>
  <c r="CD52" i="2"/>
  <c r="CD154" i="2"/>
  <c r="CD187" i="2"/>
  <c r="CD164" i="2"/>
  <c r="CD46" i="2"/>
  <c r="CD188" i="2"/>
  <c r="CD56" i="2"/>
  <c r="CD177" i="2"/>
  <c r="CD82" i="2"/>
  <c r="CD39" i="2"/>
  <c r="CD152" i="2"/>
  <c r="CD123" i="2"/>
  <c r="CD136" i="2"/>
  <c r="CD141" i="2"/>
  <c r="CD17" i="2"/>
  <c r="CD191" i="2"/>
  <c r="CD171" i="2"/>
  <c r="CD199" i="2"/>
  <c r="CD169" i="2"/>
  <c r="CD40" i="2"/>
  <c r="CD62" i="2"/>
  <c r="CD99" i="2"/>
  <c r="CD3" i="2"/>
  <c r="C9" i="4" s="1"/>
  <c r="E9" i="4" s="1"/>
  <c r="F9" i="4" s="1"/>
  <c r="G9" i="4" s="1"/>
  <c r="L9" i="4" s="1"/>
  <c r="CD110" i="2"/>
  <c r="CD109" i="2"/>
  <c r="CD31" i="2"/>
  <c r="CD130" i="2"/>
  <c r="CD54" i="2"/>
  <c r="CD117" i="2"/>
  <c r="CD21" i="2"/>
  <c r="CD34" i="2"/>
  <c r="CD90" i="2"/>
  <c r="CD183" i="2"/>
  <c r="CD198" i="2"/>
  <c r="CD67" i="2"/>
  <c r="CD176" i="2"/>
  <c r="CD185" i="2"/>
  <c r="CD68" i="2"/>
  <c r="CD75" i="2"/>
  <c r="CD7" i="2"/>
  <c r="CD134" i="2"/>
  <c r="CD63" i="2"/>
  <c r="CD45" i="2"/>
  <c r="CD12" i="2"/>
  <c r="CD96" i="2"/>
  <c r="CD94" i="2"/>
  <c r="CD127" i="2"/>
  <c r="CD89" i="2"/>
  <c r="CD47" i="2"/>
  <c r="CD15" i="2"/>
  <c r="CD49" i="2"/>
  <c r="CD124" i="2"/>
  <c r="CD100" i="2"/>
  <c r="CD65" i="2"/>
  <c r="CD163" i="2"/>
  <c r="CD202" i="2"/>
  <c r="CD92" i="2"/>
  <c r="CD57" i="2"/>
  <c r="CD180" i="2"/>
  <c r="CD151" i="2"/>
  <c r="CD98" i="2"/>
  <c r="CD132" i="2"/>
  <c r="CD60" i="2"/>
  <c r="CD86" i="2"/>
  <c r="CD129" i="2"/>
  <c r="CD79" i="2"/>
  <c r="CD20" i="2"/>
  <c r="CD26" i="2"/>
  <c r="CD138" i="2"/>
  <c r="CD72" i="2"/>
  <c r="CD125" i="2"/>
  <c r="CD55" i="2"/>
  <c r="CD8" i="2"/>
  <c r="CD84" i="2"/>
  <c r="CD174" i="2"/>
  <c r="CD30" i="2"/>
  <c r="CD184" i="2"/>
  <c r="CD35" i="2"/>
  <c r="CD135" i="2"/>
  <c r="CD81" i="2"/>
  <c r="CD186" i="2"/>
  <c r="CD102" i="2"/>
  <c r="CD190" i="2"/>
  <c r="CD146" i="2"/>
  <c r="CD25" i="2"/>
  <c r="CD10" i="2"/>
  <c r="CD153" i="2"/>
  <c r="CD192" i="2"/>
  <c r="CD122" i="2"/>
  <c r="CD44" i="2"/>
  <c r="CD23" i="2"/>
  <c r="CD157" i="2"/>
  <c r="CD126" i="2"/>
  <c r="CD95" i="2"/>
  <c r="CD116" i="2"/>
  <c r="CD189" i="2"/>
  <c r="CD80" i="2"/>
  <c r="CD53" i="2"/>
  <c r="CD73" i="2"/>
  <c r="CD167" i="2"/>
  <c r="CD166" i="2"/>
  <c r="CD175" i="2"/>
  <c r="CD61" i="2"/>
  <c r="CD142" i="2"/>
  <c r="CD150" i="2"/>
  <c r="CD24" i="2"/>
  <c r="CD120" i="2"/>
  <c r="CD173" i="2"/>
  <c r="CD77" i="2"/>
  <c r="CD140" i="2"/>
  <c r="CD147" i="2"/>
  <c r="CD70" i="2"/>
  <c r="CD42" i="2"/>
  <c r="CD182" i="2"/>
  <c r="CD145" i="2"/>
  <c r="CD115" i="2"/>
  <c r="CD137" i="2"/>
  <c r="CD43" i="2"/>
  <c r="CD22" i="2"/>
  <c r="CD37" i="2"/>
  <c r="CD111" i="2"/>
  <c r="CD69" i="2"/>
  <c r="CD78" i="2"/>
  <c r="CD93" i="2"/>
  <c r="CD148" i="2"/>
  <c r="CD196" i="2"/>
  <c r="CD143" i="2"/>
  <c r="CD48" i="2"/>
  <c r="CD104" i="2"/>
  <c r="CD107" i="2"/>
  <c r="CD19" i="2"/>
  <c r="CD18" i="2"/>
  <c r="CD200" i="2"/>
  <c r="CD133" i="2"/>
  <c r="CD197" i="2"/>
  <c r="CD178" i="2"/>
  <c r="CD128" i="2"/>
  <c r="CD59" i="2"/>
  <c r="CD160" i="2"/>
  <c r="CD88" i="2"/>
  <c r="CD58" i="2"/>
  <c r="CD106" i="2"/>
  <c r="CD165" i="2"/>
  <c r="CD38" i="2"/>
  <c r="CD181" i="2"/>
  <c r="CD74" i="2"/>
  <c r="CD179" i="2"/>
  <c r="CD76" i="2"/>
  <c r="CD121" i="2"/>
  <c r="CD158" i="2"/>
  <c r="CD156" i="2"/>
  <c r="CD113" i="2"/>
  <c r="CD97" i="2"/>
  <c r="CD101" i="2"/>
  <c r="CD91" i="2"/>
  <c r="CD36" i="2"/>
  <c r="CD131" i="2"/>
  <c r="CD5" i="2"/>
  <c r="CD161" i="2"/>
  <c r="CD71" i="2"/>
  <c r="CD64" i="2"/>
  <c r="CD168" i="2"/>
  <c r="CD159" i="2"/>
  <c r="CD201" i="2"/>
  <c r="CD9" i="2"/>
  <c r="CD33" i="2"/>
  <c r="CD144" i="2"/>
  <c r="CD27" i="2"/>
  <c r="CD139" i="2"/>
  <c r="CD149" i="2"/>
  <c r="CD114" i="2"/>
  <c r="CD4" i="2"/>
  <c r="CD50" i="2"/>
  <c r="CD194" i="2"/>
  <c r="CD41" i="2"/>
  <c r="CD85" i="2"/>
  <c r="CD11" i="2"/>
  <c r="CD14" i="2"/>
  <c r="CD29" i="2"/>
  <c r="CD172" i="2"/>
  <c r="CD112" i="2"/>
  <c r="CD16" i="2"/>
  <c r="CD51" i="2"/>
  <c r="CD13" i="2"/>
  <c r="CD203" i="2"/>
  <c r="CD105" i="2"/>
  <c r="CD83" i="2"/>
  <c r="CD118" i="2"/>
  <c r="CD108" i="2"/>
  <c r="CD155" i="2"/>
  <c r="CD32" i="2"/>
  <c r="CD193" i="2"/>
  <c r="CD28" i="2"/>
  <c r="CD66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127" i="2" l="1"/>
  <c r="CY58" i="2"/>
  <c r="CY140" i="2"/>
  <c r="CY138" i="2"/>
  <c r="CY187" i="2"/>
  <c r="CY109" i="2"/>
  <c r="CY36" i="2"/>
  <c r="CY37" i="2"/>
  <c r="CY162" i="2"/>
  <c r="CY107" i="2"/>
  <c r="CY135" i="2"/>
  <c r="CY146" i="2"/>
  <c r="CY143" i="2"/>
  <c r="CY152" i="2"/>
  <c r="CY172" i="2"/>
  <c r="CY132" i="2"/>
  <c r="CY112" i="2"/>
  <c r="CY155" i="2"/>
  <c r="CY122" i="2"/>
  <c r="CY87" i="2"/>
  <c r="CY30" i="2"/>
  <c r="CY82" i="2"/>
  <c r="CY63" i="2"/>
  <c r="CY98" i="2"/>
  <c r="CY201" i="2"/>
  <c r="CY14" i="2"/>
  <c r="CY39" i="2"/>
  <c r="CY126" i="2"/>
  <c r="CY50" i="2"/>
  <c r="CY19" i="2"/>
  <c r="CY159" i="2"/>
  <c r="CY81" i="2"/>
  <c r="CY129" i="2"/>
  <c r="CY131" i="2"/>
  <c r="CY193" i="2"/>
  <c r="CY71" i="2"/>
  <c r="CY21" i="2"/>
  <c r="CY56" i="2"/>
  <c r="CY153" i="2"/>
  <c r="CY180" i="2"/>
  <c r="CY57" i="2"/>
  <c r="CY61" i="2"/>
  <c r="CY102" i="2"/>
  <c r="CY72" i="2"/>
  <c r="CY177" i="2"/>
  <c r="CY62" i="2"/>
  <c r="CY46" i="2"/>
  <c r="CY169" i="2"/>
  <c r="CY199" i="2"/>
  <c r="CY149" i="2"/>
  <c r="CY166" i="2"/>
  <c r="CY32" i="2"/>
  <c r="CY134" i="2"/>
  <c r="CY85" i="2"/>
  <c r="CY95" i="2"/>
  <c r="CY105" i="2"/>
  <c r="CY12" i="2"/>
  <c r="CY13" i="2"/>
  <c r="CY191" i="2"/>
  <c r="CY23" i="2"/>
  <c r="CY110" i="2"/>
  <c r="CY43" i="2"/>
  <c r="CY26" i="2"/>
  <c r="CY97" i="2"/>
  <c r="CY203" i="2"/>
  <c r="CY33" i="2"/>
  <c r="CY148" i="2"/>
  <c r="CY28" i="2"/>
  <c r="CY65" i="2"/>
  <c r="CY22" i="2"/>
  <c r="CY113" i="2"/>
  <c r="CY70" i="2"/>
  <c r="CY184" i="2"/>
  <c r="CY15" i="2"/>
  <c r="CY192" i="2"/>
  <c r="CY170" i="2"/>
  <c r="CY42" i="2"/>
  <c r="CY189" i="2"/>
  <c r="CY84" i="2"/>
  <c r="CY174" i="2"/>
  <c r="CY45" i="2"/>
  <c r="CY41" i="2"/>
  <c r="CY4" i="2"/>
  <c r="CY154" i="2"/>
  <c r="CY186" i="2"/>
  <c r="CY147" i="2"/>
  <c r="CY115" i="2"/>
  <c r="CY53" i="2"/>
  <c r="CY120" i="2"/>
  <c r="CY196" i="2"/>
  <c r="CY75" i="2"/>
  <c r="CY77" i="2"/>
  <c r="CY194" i="2"/>
  <c r="CY117" i="2"/>
  <c r="CY92" i="2"/>
  <c r="CY59" i="2"/>
  <c r="CY173" i="2"/>
  <c r="CY93" i="2"/>
  <c r="CY18" i="2"/>
  <c r="CY150" i="2"/>
  <c r="CY139" i="2"/>
  <c r="CY34" i="2"/>
  <c r="CY31" i="2"/>
  <c r="CY151" i="2"/>
  <c r="CY100" i="2"/>
  <c r="CY200" i="2"/>
  <c r="CY167" i="2"/>
  <c r="CY141" i="2"/>
  <c r="CY179" i="2"/>
  <c r="CY51" i="2"/>
  <c r="CY86" i="2"/>
  <c r="CY181" i="2"/>
  <c r="CY74" i="2"/>
  <c r="CY64" i="2"/>
  <c r="CY99" i="2"/>
  <c r="CY124" i="2"/>
  <c r="CY83" i="2"/>
  <c r="CY73" i="2"/>
  <c r="CY11" i="2"/>
  <c r="CY168" i="2"/>
  <c r="CY197" i="2"/>
  <c r="CY25" i="2"/>
  <c r="CY176" i="2"/>
  <c r="CY6" i="2"/>
  <c r="CY137" i="2"/>
  <c r="CY198" i="2"/>
  <c r="CY119" i="2"/>
  <c r="CY10" i="2"/>
  <c r="CY60" i="2"/>
  <c r="CY5" i="2"/>
  <c r="CY156" i="2"/>
  <c r="CY164" i="2"/>
  <c r="CY123" i="2"/>
  <c r="CY20" i="2"/>
  <c r="CY24" i="2"/>
  <c r="CY29" i="2"/>
  <c r="CY67" i="2"/>
  <c r="CY182" i="2"/>
  <c r="CY114" i="2"/>
  <c r="CY47" i="2"/>
  <c r="CY157" i="2"/>
  <c r="CY7" i="2"/>
  <c r="CY66" i="2"/>
  <c r="CY16" i="2"/>
  <c r="CY106" i="2"/>
  <c r="CY202" i="2"/>
  <c r="CY38" i="2"/>
  <c r="CY96" i="2"/>
  <c r="CY175" i="2"/>
  <c r="CY69" i="2"/>
  <c r="CY49" i="2"/>
  <c r="CY44" i="2"/>
  <c r="CY171" i="2"/>
  <c r="CY158" i="2"/>
  <c r="CY76" i="2"/>
  <c r="CY185" i="2"/>
  <c r="CY125" i="2"/>
  <c r="CY183" i="2"/>
  <c r="CY79" i="2"/>
  <c r="CY9" i="2"/>
  <c r="CY190" i="2"/>
  <c r="CY188" i="2"/>
  <c r="CY144" i="2"/>
  <c r="CY88" i="2"/>
  <c r="CY48" i="2"/>
  <c r="CY104" i="2"/>
  <c r="CY27" i="2"/>
  <c r="CY68" i="2"/>
  <c r="CY94" i="2"/>
  <c r="CY133" i="2"/>
  <c r="CY80" i="2"/>
  <c r="CY121" i="2"/>
  <c r="CY54" i="2"/>
  <c r="CY128" i="2"/>
  <c r="CY178" i="2"/>
  <c r="CY52" i="2"/>
  <c r="CY3" i="2"/>
  <c r="C10" i="4" s="1"/>
  <c r="E10" i="4" s="1"/>
  <c r="F10" i="4" s="1"/>
  <c r="G10" i="4" s="1"/>
  <c r="L10" i="4" s="1"/>
  <c r="CY116" i="2"/>
  <c r="CY90" i="2"/>
  <c r="CY130" i="2"/>
  <c r="CY8" i="2"/>
  <c r="CY118" i="2"/>
  <c r="CY111" i="2"/>
  <c r="CY142" i="2"/>
  <c r="CY163" i="2"/>
  <c r="CY55" i="2"/>
  <c r="CY91" i="2"/>
  <c r="CY161" i="2"/>
  <c r="CY101" i="2"/>
  <c r="CY195" i="2"/>
  <c r="CY108" i="2"/>
  <c r="CY40" i="2"/>
  <c r="CY136" i="2"/>
  <c r="CY35" i="2"/>
  <c r="CY17" i="2"/>
  <c r="CY103" i="2"/>
  <c r="CY160" i="2"/>
  <c r="CY145" i="2"/>
  <c r="CY78" i="2"/>
  <c r="CY165" i="2"/>
  <c r="CY89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GE11" i="2" l="1"/>
  <c r="GE189" i="2"/>
  <c r="GE40" i="2"/>
  <c r="GE10" i="2"/>
  <c r="GE5" i="2"/>
  <c r="GE144" i="2"/>
  <c r="GE39" i="2"/>
  <c r="GE7" i="2"/>
  <c r="GE156" i="2"/>
  <c r="GE200" i="2"/>
  <c r="GE48" i="2"/>
  <c r="GE69" i="2"/>
  <c r="GE79" i="2"/>
  <c r="GE197" i="2"/>
  <c r="GE172" i="2"/>
  <c r="GE132" i="2"/>
  <c r="GE23" i="2"/>
  <c r="GE141" i="2"/>
  <c r="GE184" i="2"/>
  <c r="GE177" i="2"/>
  <c r="GE149" i="2"/>
  <c r="GE160" i="2"/>
  <c r="GE67" i="2"/>
  <c r="GE55" i="2"/>
  <c r="GE171" i="2"/>
  <c r="GE165" i="2"/>
  <c r="GE110" i="2"/>
  <c r="GE98" i="2"/>
  <c r="GE186" i="2"/>
  <c r="GE83" i="2"/>
  <c r="GE52" i="2"/>
  <c r="GE183" i="2"/>
  <c r="GE148" i="2"/>
  <c r="GE203" i="2"/>
  <c r="GE25" i="2"/>
  <c r="GE72" i="2"/>
  <c r="GE151" i="2"/>
  <c r="GE92" i="2"/>
  <c r="GE155" i="2"/>
  <c r="GE96" i="2"/>
  <c r="GE3" i="2"/>
  <c r="C14" i="4" s="1"/>
  <c r="E14" i="4" s="1"/>
  <c r="F14" i="4" s="1"/>
  <c r="G14" i="4" s="1"/>
  <c r="L14" i="4" s="1"/>
  <c r="GE109" i="2"/>
  <c r="GE108" i="2"/>
  <c r="GE159" i="2"/>
  <c r="GE43" i="2"/>
  <c r="GE82" i="2"/>
  <c r="GE178" i="2"/>
  <c r="GE152" i="2"/>
  <c r="GE102" i="2"/>
  <c r="GE195" i="2"/>
  <c r="GE194" i="2"/>
  <c r="GE139" i="2"/>
  <c r="GE87" i="2"/>
  <c r="GE124" i="2"/>
  <c r="GE59" i="2"/>
  <c r="GE123" i="2"/>
  <c r="GE154" i="2"/>
  <c r="GE198" i="2"/>
  <c r="GE20" i="2"/>
  <c r="GE45" i="2"/>
  <c r="GE199" i="2"/>
  <c r="GE60" i="2"/>
  <c r="GE174" i="2"/>
  <c r="GE94" i="2"/>
  <c r="GE31" i="2"/>
  <c r="GE130" i="2"/>
  <c r="GE163" i="2"/>
  <c r="GE147" i="2"/>
  <c r="GE187" i="2"/>
  <c r="GE9" i="2"/>
  <c r="GE46" i="2"/>
  <c r="GE145" i="2"/>
  <c r="GE64" i="2"/>
  <c r="GE50" i="2"/>
  <c r="GE12" i="2"/>
  <c r="GE89" i="2"/>
  <c r="GE78" i="2"/>
  <c r="GE38" i="2"/>
  <c r="GE179" i="2"/>
  <c r="GE118" i="2"/>
  <c r="GE42" i="2"/>
  <c r="GE18" i="2"/>
  <c r="GE106" i="2"/>
  <c r="GE88" i="2"/>
  <c r="GE153" i="2"/>
  <c r="GE119" i="2"/>
  <c r="GE37" i="2"/>
  <c r="GE24" i="2"/>
  <c r="GE97" i="2"/>
  <c r="GE77" i="2"/>
  <c r="GE93" i="2"/>
  <c r="GE201" i="2"/>
  <c r="GE107" i="2"/>
  <c r="GE192" i="2"/>
  <c r="GE75" i="2"/>
  <c r="GE125" i="2"/>
  <c r="GE185" i="2"/>
  <c r="GE180" i="2"/>
  <c r="GE113" i="2"/>
  <c r="GE164" i="2"/>
  <c r="GE191" i="2"/>
  <c r="GE135" i="2"/>
  <c r="GE6" i="2"/>
  <c r="GE117" i="2"/>
  <c r="GE21" i="2"/>
  <c r="GE104" i="2"/>
  <c r="GE76" i="2"/>
  <c r="GE112" i="2"/>
  <c r="GE170" i="2"/>
  <c r="GE157" i="2"/>
  <c r="GE34" i="2"/>
  <c r="GE84" i="2"/>
  <c r="GE167" i="2"/>
  <c r="GE51" i="2"/>
  <c r="GE173" i="2"/>
  <c r="GE57" i="2"/>
  <c r="GE196" i="2"/>
  <c r="GE134" i="2"/>
  <c r="GE122" i="2"/>
  <c r="GE162" i="2"/>
  <c r="GE91" i="2"/>
  <c r="GE140" i="2"/>
  <c r="GE116" i="2"/>
  <c r="GE188" i="2"/>
  <c r="GE103" i="2"/>
  <c r="GE136" i="2"/>
  <c r="GE193" i="2"/>
  <c r="GE68" i="2"/>
  <c r="GE115" i="2"/>
  <c r="GE127" i="2"/>
  <c r="GE90" i="2"/>
  <c r="GE32" i="2"/>
  <c r="GE101" i="2"/>
  <c r="GE16" i="2"/>
  <c r="GE81" i="2"/>
  <c r="GE65" i="2"/>
  <c r="GE131" i="2"/>
  <c r="GE14" i="2"/>
  <c r="GE138" i="2"/>
  <c r="GE142" i="2"/>
  <c r="GE111" i="2"/>
  <c r="GE202" i="2"/>
  <c r="GE36" i="2"/>
  <c r="GE63" i="2"/>
  <c r="GE120" i="2"/>
  <c r="GE29" i="2"/>
  <c r="GE166" i="2"/>
  <c r="GE73" i="2"/>
  <c r="GE54" i="2"/>
  <c r="GE181" i="2"/>
  <c r="GE70" i="2"/>
  <c r="GE66" i="2"/>
  <c r="GE86" i="2"/>
  <c r="GE71" i="2"/>
  <c r="GE30" i="2"/>
  <c r="GE4" i="2"/>
  <c r="GE13" i="2"/>
  <c r="GE58" i="2"/>
  <c r="GE85" i="2"/>
  <c r="GE26" i="2"/>
  <c r="GE41" i="2"/>
  <c r="GE95" i="2"/>
  <c r="GE61" i="2"/>
  <c r="GE129" i="2"/>
  <c r="GE27" i="2"/>
  <c r="GE121" i="2"/>
  <c r="GE28" i="2"/>
  <c r="GE190" i="2"/>
  <c r="GE114" i="2"/>
  <c r="GE80" i="2"/>
  <c r="GE47" i="2"/>
  <c r="GE35" i="2"/>
  <c r="GE8" i="2"/>
  <c r="GE150" i="2"/>
  <c r="GE168" i="2"/>
  <c r="GE128" i="2"/>
  <c r="GE56" i="2"/>
  <c r="GE137" i="2"/>
  <c r="GE100" i="2"/>
  <c r="GE146" i="2"/>
  <c r="GE161" i="2"/>
  <c r="GE17" i="2"/>
  <c r="GE99" i="2"/>
  <c r="GE19" i="2"/>
  <c r="GE22" i="2"/>
  <c r="GE15" i="2"/>
  <c r="GE182" i="2"/>
  <c r="GE105" i="2"/>
  <c r="GE49" i="2"/>
  <c r="GE133" i="2"/>
  <c r="GE175" i="2"/>
  <c r="GE44" i="2"/>
  <c r="GE126" i="2"/>
  <c r="GE169" i="2"/>
  <c r="GE53" i="2"/>
  <c r="GE176" i="2"/>
  <c r="GE158" i="2"/>
  <c r="GE62" i="2"/>
  <c r="GE143" i="2"/>
  <c r="GE74" i="2"/>
  <c r="GE33" i="2"/>
  <c r="FE136" i="2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<sst xmlns="http://schemas.openxmlformats.org/spreadsheetml/2006/main" count="1178" uniqueCount="324">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</sst>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1.8872166199460507</c:v>
                </c:pt>
                <c:pt idx="2">
                  <c:v>2.2964597670016897</c:v>
                </c:pt>
                <c:pt idx="3">
                  <c:v>2.7947887476451427</c:v>
                </c:pt>
                <c:pt idx="4">
                  <c:v>3.4016664353083708</c:v>
                </c:pt>
                <c:pt idx="5">
                  <c:v>4.1408222331583096</c:v>
                </c:pt>
                <c:pt idx="6">
                  <c:v>5.0411903008954377</c:v>
                </c:pt>
                <c:pt idx="7">
                  <c:v>6.1380547009993505</c:v>
                </c:pt>
                <c:pt idx="8">
                  <c:v>7.4744472208053194</c:v>
                </c:pt>
                <c:pt idx="9">
                  <c:v>9.1028537696068188</c:v>
                </c:pt>
                <c:pt idx="10">
                  <c:v>11.087297646119426</c:v>
                </c:pt>
                <c:pt idx="11">
                  <c:v>13.505883122712893</c:v>
                </c:pt>
                <c:pt idx="12">
                  <c:v>16.453901312282458</c:v>
                </c:pt>
                <c:pt idx="13">
                  <c:v>20.047622921795863</c:v>
                </c:pt>
                <c:pt idx="14">
                  <c:v>24.428930171147528</c:v>
                </c:pt>
                <c:pt idx="15">
                  <c:v>29.770973989542124</c:v>
                </c:pt>
                <c:pt idx="16">
                  <c:v>36.28508396740807</c:v>
                </c:pt>
                <c:pt idx="17">
                  <c:v>44.229209119664233</c:v>
                </c:pt>
                <c:pt idx="18">
                  <c:v>53.918229361138849</c:v>
                </c:pt>
                <c:pt idx="19">
                  <c:v>65.736553221372674</c:v>
                </c:pt>
                <c:pt idx="20">
                  <c:v>80.153509810179131</c:v>
                </c:pt>
                <c:pt idx="21">
                  <c:v>89.391965719110203</c:v>
                </c:pt>
                <c:pt idx="22">
                  <c:v>102.54887213283676</c:v>
                </c:pt>
                <c:pt idx="23">
                  <c:v>115.66397937972845</c:v>
                </c:pt>
                <c:pt idx="24">
                  <c:v>128.74270297836009</c:v>
                </c:pt>
                <c:pt idx="25">
                  <c:v>141.78926461478019</c:v>
                </c:pt>
                <c:pt idx="26">
                  <c:v>154.80704360145447</c:v>
                </c:pt>
                <c:pt idx="27">
                  <c:v>167.79880331835713</c:v>
                </c:pt>
                <c:pt idx="28">
                  <c:v>180.76684356318125</c:v>
                </c:pt>
                <c:pt idx="29">
                  <c:v>193.71310674706146</c:v>
                </c:pt>
                <c:pt idx="30">
                  <c:v>206.63925413557971</c:v>
                </c:pt>
                <c:pt idx="31">
                  <c:v>204.44316393691588</c:v>
                </c:pt>
                <c:pt idx="32">
                  <c:v>217.74075246919756</c:v>
                </c:pt>
                <c:pt idx="33">
                  <c:v>231.01967692884918</c:v>
                </c:pt>
                <c:pt idx="34">
                  <c:v>244.28116165814291</c:v>
                </c:pt>
                <c:pt idx="35">
                  <c:v>257.52628712281688</c:v>
                </c:pt>
                <c:pt idx="36">
                  <c:v>270.75601350883994</c:v>
                </c:pt>
                <c:pt idx="37">
                  <c:v>283.9711994609832</c:v>
                </c:pt>
                <c:pt idx="38">
                  <c:v>297.17261714760809</c:v>
                </c:pt>
                <c:pt idx="39">
                  <c:v>310.36096450648392</c:v>
                </c:pt>
                <c:pt idx="40">
                  <c:v>323.53687529895308</c:v>
                </c:pt>
                <c:pt idx="41">
                  <c:v>308.82510968141406</c:v>
                </c:pt>
                <c:pt idx="42">
                  <c:v>320.97939105673305</c:v>
                </c:pt>
                <c:pt idx="43">
                  <c:v>333.12349285380219</c:v>
                </c:pt>
                <c:pt idx="44">
                  <c:v>345.25783856692919</c:v>
                </c:pt>
                <c:pt idx="45">
                  <c:v>357.38281948405944</c:v>
                </c:pt>
                <c:pt idx="46">
                  <c:v>369.49879816887761</c:v>
                </c:pt>
                <c:pt idx="47">
                  <c:v>381.60611146221294</c:v>
                </c:pt>
                <c:pt idx="48">
                  <c:v>393.7050730825656</c:v>
                </c:pt>
                <c:pt idx="49">
                  <c:v>405.79597589022273</c:v>
                </c:pt>
                <c:pt idx="50">
                  <c:v>417.87909386741279</c:v>
                </c:pt>
                <c:pt idx="51">
                  <c:v>396.63307293686029</c:v>
                </c:pt>
                <c:pt idx="52">
                  <c:v>407.19546723786488</c:v>
                </c:pt>
                <c:pt idx="53">
                  <c:v>417.75194279221722</c:v>
                </c:pt>
                <c:pt idx="54">
                  <c:v>428.30267028767508</c:v>
                </c:pt>
                <c:pt idx="55">
                  <c:v>438.84781131453877</c:v>
                </c:pt>
                <c:pt idx="56">
                  <c:v>449.38751906216925</c:v>
                </c:pt>
                <c:pt idx="57">
                  <c:v>459.92193894675114</c:v>
                </c:pt>
                <c:pt idx="58">
                  <c:v>470.45120917853865</c:v>
                </c:pt>
                <c:pt idx="59">
                  <c:v>480.97546127567131</c:v>
                </c:pt>
                <c:pt idx="60">
                  <c:v>491.4948205306743</c:v>
                </c:pt>
                <c:pt idx="61">
                  <c:v>466.13862825055907</c:v>
                </c:pt>
                <c:pt idx="62">
                  <c:v>475.01655378575714</c:v>
                </c:pt>
                <c:pt idx="63">
                  <c:v>483.89094931012534</c:v>
                </c:pt>
                <c:pt idx="64">
                  <c:v>492.76188870967707</c:v>
                </c:pt>
                <c:pt idx="65">
                  <c:v>501.62944299248142</c:v>
                </c:pt>
                <c:pt idx="66">
                  <c:v>510.49368045075363</c:v>
                </c:pt>
                <c:pt idx="67">
                  <c:v>519.35466681110222</c:v>
                </c:pt>
                <c:pt idx="68">
                  <c:v>528.21246537398599</c:v>
                </c:pt>
                <c:pt idx="69">
                  <c:v>537.06713714333182</c:v>
                </c:pt>
                <c:pt idx="70">
                  <c:v>545.91874094715649</c:v>
                </c:pt>
                <c:pt idx="71">
                  <c:v>520.62026032995118</c:v>
                </c:pt>
                <c:pt idx="72">
                  <c:v>528.21246537398599</c:v>
                </c:pt>
                <c:pt idx="73">
                  <c:v>535.80237321728134</c:v>
                </c:pt>
                <c:pt idx="74">
                  <c:v>543.39002099916354</c:v>
                </c:pt>
                <c:pt idx="75">
                  <c:v>550.97544473689754</c:v>
                </c:pt>
                <c:pt idx="76">
                  <c:v>558.55867937490291</c:v>
                </c:pt>
                <c:pt idx="77">
                  <c:v>566.13975883115938</c:v>
                </c:pt>
                <c:pt idx="78">
                  <c:v>573.71871604099545</c:v>
                </c:pt>
                <c:pt idx="79">
                  <c:v>581.29558299844462</c:v>
                </c:pt>
                <c:pt idx="80">
                  <c:v>588.87039079533201</c:v>
                </c:pt>
                <c:pt idx="81">
                  <c:v>565.38174692254552</c:v>
                </c:pt>
                <c:pt idx="82">
                  <c:v>572.20309282979531</c:v>
                </c:pt>
                <c:pt idx="83">
                  <c:v>579.02274052069447</c:v>
                </c:pt>
                <c:pt idx="84">
                  <c:v>585.8407128223779</c:v>
                </c:pt>
                <c:pt idx="85">
                  <c:v>592.65703198720189</c:v>
                </c:pt>
                <c:pt idx="86">
                  <c:v>599.47171971380715</c:v>
                </c:pt>
                <c:pt idx="87">
                  <c:v>606.28479716717118</c:v>
                </c:pt>
                <c:pt idx="88">
                  <c:v>613.0962849977135</c:v>
                </c:pt>
                <c:pt idx="89">
                  <c:v>619.90620335950769</c:v>
                </c:pt>
                <c:pt idx="90">
                  <c:v>626.71457192765126</c:v>
                </c:pt>
                <c:pt idx="91">
                  <c:v>603.13079349515147</c:v>
                </c:pt>
                <c:pt idx="92">
                  <c:v>609.81687689141643</c:v>
                </c:pt>
                <c:pt idx="93">
                  <c:v>616.50143912148258</c:v>
                </c:pt>
                <c:pt idx="94">
                  <c:v>623.18449900766041</c:v>
                </c:pt>
                <c:pt idx="95">
                  <c:v>629.86607493557597</c:v>
                </c:pt>
                <c:pt idx="96">
                  <c:v>636.54618486892696</c:v>
                </c:pt>
                <c:pt idx="97">
                  <c:v>643.22484636358752</c:v>
                </c:pt>
                <c:pt idx="98">
                  <c:v>649.90207658109875</c:v>
                </c:pt>
                <c:pt idx="99">
                  <c:v>656.57789230157209</c:v>
                </c:pt>
                <c:pt idx="100">
                  <c:v>663.25230993604498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182.85768498984825</c:v>
                </c:pt>
                <c:pt idx="22">
                  <c:v>205.9114029973158</c:v>
                </c:pt>
                <c:pt idx="23">
                  <c:v>228.90543935922889</c:v>
                </c:pt>
                <c:pt idx="24">
                  <c:v>251.84663251620748</c:v>
                </c:pt>
                <c:pt idx="25">
                  <c:v>274.74047191396772</c:v>
                </c:pt>
                <c:pt idx="26">
                  <c:v>226.64617327952342</c:v>
                </c:pt>
                <c:pt idx="27">
                  <c:v>248.08915865906408</c:v>
                </c:pt>
                <c:pt idx="28">
                  <c:v>269.49008678800777</c:v>
                </c:pt>
                <c:pt idx="29">
                  <c:v>290.85276623666175</c:v>
                </c:pt>
                <c:pt idx="30">
                  <c:v>312.18040027213078</c:v>
                </c:pt>
                <c:pt idx="31">
                  <c:v>262.7361980255701</c:v>
                </c:pt>
                <c:pt idx="32">
                  <c:v>282.61183805625041</c:v>
                </c:pt>
                <c:pt idx="33">
                  <c:v>302.45616879398887</c:v>
                </c:pt>
                <c:pt idx="34">
                  <c:v>322.27153269112591</c:v>
                </c:pt>
                <c:pt idx="35">
                  <c:v>342.05996063814399</c:v>
                </c:pt>
                <c:pt idx="36">
                  <c:v>292.72497100977256</c:v>
                </c:pt>
                <c:pt idx="37">
                  <c:v>310.68480797043964</c:v>
                </c:pt>
                <c:pt idx="38">
                  <c:v>328.62160871118186</c:v>
                </c:pt>
                <c:pt idx="39">
                  <c:v>346.53680717558655</c:v>
                </c:pt>
                <c:pt idx="40">
                  <c:v>364.43167696167421</c:v>
                </c:pt>
                <c:pt idx="41">
                  <c:v>318.90861058050911</c:v>
                </c:pt>
                <c:pt idx="42">
                  <c:v>334.96897652893739</c:v>
                </c:pt>
                <c:pt idx="43">
                  <c:v>351.01238382795628</c:v>
                </c:pt>
                <c:pt idx="44">
                  <c:v>367.03971658708974</c:v>
                </c:pt>
                <c:pt idx="45">
                  <c:v>383.05177541071203</c:v>
                </c:pt>
                <c:pt idx="46">
                  <c:v>339.82105523856922</c:v>
                </c:pt>
                <c:pt idx="47">
                  <c:v>354.36824410252279</c:v>
                </c:pt>
                <c:pt idx="48">
                  <c:v>368.90235411823818</c:v>
                </c:pt>
                <c:pt idx="49">
                  <c:v>383.42397311131032</c:v>
                </c:pt>
                <c:pt idx="50">
                  <c:v>397.93364074958498</c:v>
                </c:pt>
                <c:pt idx="51">
                  <c:v>358.46890629665108</c:v>
                </c:pt>
                <c:pt idx="52">
                  <c:v>371.1372483365563</c:v>
                </c:pt>
                <c:pt idx="53">
                  <c:v>383.79616295666915</c:v>
                </c:pt>
                <c:pt idx="54">
                  <c:v>396.44600495131112</c:v>
                </c:pt>
                <c:pt idx="55">
                  <c:v>409.08710462349336</c:v>
                </c:pt>
                <c:pt idx="56">
                  <c:v>373.74425409046017</c:v>
                </c:pt>
                <c:pt idx="57">
                  <c:v>384.91268544829819</c:v>
                </c:pt>
                <c:pt idx="58">
                  <c:v>396.07407711953482</c:v>
                </c:pt>
                <c:pt idx="59">
                  <c:v>407.22865549260922</c:v>
                </c:pt>
                <c:pt idx="60">
                  <c:v>418.37663353903241</c:v>
                </c:pt>
                <c:pt idx="61">
                  <c:v>387.145519509954</c:v>
                </c:pt>
                <c:pt idx="62">
                  <c:v>396.81792522211191</c:v>
                </c:pt>
                <c:pt idx="63">
                  <c:v>406.48522456571504</c:v>
                </c:pt>
                <c:pt idx="64">
                  <c:v>416.14755615430454</c:v>
                </c:pt>
                <c:pt idx="65">
                  <c:v>425.80505163704908</c:v>
                </c:pt>
                <c:pt idx="66">
                  <c:v>397.18983794003793</c:v>
                </c:pt>
                <c:pt idx="67">
                  <c:v>405.74176424723129</c:v>
                </c:pt>
                <c:pt idx="68">
                  <c:v>414.28979501974965</c:v>
                </c:pt>
                <c:pt idx="69">
                  <c:v>422.83402201018413</c:v>
                </c:pt>
                <c:pt idx="70">
                  <c:v>431.37453295867726</c:v>
                </c:pt>
                <c:pt idx="71">
                  <c:v>407.22865549260905</c:v>
                </c:pt>
                <c:pt idx="72">
                  <c:v>414.66136159701688</c:v>
                </c:pt>
                <c:pt idx="73">
                  <c:v>422.091194503304</c:v>
                </c:pt>
                <c:pt idx="74">
                  <c:v>429.51821195249204</c:v>
                </c:pt>
                <c:pt idx="75">
                  <c:v>436.94246952460418</c:v>
                </c:pt>
                <c:pt idx="76">
                  <c:v>415.77601826307938</c:v>
                </c:pt>
                <c:pt idx="77">
                  <c:v>422.46261177230502</c:v>
                </c:pt>
                <c:pt idx="78">
                  <c:v>429.14692708065189</c:v>
                </c:pt>
                <c:pt idx="79">
                  <c:v>435.82900470393224</c:v>
                </c:pt>
                <c:pt idx="80">
                  <c:v>442.5088838133741</c:v>
                </c:pt>
                <c:pt idx="81">
                  <c:v>423.9482106076087</c:v>
                </c:pt>
                <c:pt idx="82">
                  <c:v>429.51821195249204</c:v>
                </c:pt>
                <c:pt idx="83">
                  <c:v>435.0866609084182</c:v>
                </c:pt>
                <c:pt idx="84">
                  <c:v>440.65358016358778</c:v>
                </c:pt>
                <c:pt idx="85">
                  <c:v>446.21899178570357</c:v>
                </c:pt>
                <c:pt idx="86">
                  <c:v>428.77563530272073</c:v>
                </c:pt>
                <c:pt idx="87">
                  <c:v>433.60189168293056</c:v>
                </c:pt>
                <c:pt idx="88">
                  <c:v>438.42699459967213</c:v>
                </c:pt>
                <c:pt idx="89">
                  <c:v>443.25095855050739</c:v>
                </c:pt>
                <c:pt idx="90">
                  <c:v>448.07379769140431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2.7230187432202917</c:v>
                </c:pt>
                <c:pt idx="2">
                  <c:v>3.209337976607936</c:v>
                </c:pt>
                <c:pt idx="3">
                  <c:v>3.7828300891783795</c:v>
                </c:pt>
                <c:pt idx="4">
                  <c:v>4.459174737767909</c:v>
                </c:pt>
                <c:pt idx="5">
                  <c:v>5.2568809438883566</c:v>
                </c:pt>
                <c:pt idx="6">
                  <c:v>6.1977991746015464</c:v>
                </c:pt>
                <c:pt idx="7">
                  <c:v>7.3077263597114817</c:v>
                </c:pt>
                <c:pt idx="8">
                  <c:v>8.6171207547947688</c:v>
                </c:pt>
                <c:pt idx="9">
                  <c:v>10.161946643350502</c:v>
                </c:pt>
                <c:pt idx="10">
                  <c:v>11.984672518674538</c:v>
                </c:pt>
                <c:pt idx="11">
                  <c:v>14.135450700137341</c:v>
                </c:pt>
                <c:pt idx="12">
                  <c:v>16.673511441484454</c:v>
                </c:pt>
                <c:pt idx="13">
                  <c:v>19.668810625100239</c:v>
                </c:pt>
                <c:pt idx="14">
                  <c:v>23.203977276915577</c:v>
                </c:pt>
                <c:pt idx="15">
                  <c:v>27.376615584226887</c:v>
                </c:pt>
                <c:pt idx="16">
                  <c:v>32.302026092718499</c:v>
                </c:pt>
                <c:pt idx="17">
                  <c:v>38.11642258302998</c:v>
                </c:pt>
                <c:pt idx="18">
                  <c:v>44.980735116955863</c:v>
                </c:pt>
                <c:pt idx="19">
                  <c:v>53.085106296146058</c:v>
                </c:pt>
                <c:pt idx="20">
                  <c:v>62.654207362334567</c:v>
                </c:pt>
                <c:pt idx="21">
                  <c:v>73.953523944453949</c:v>
                </c:pt>
                <c:pt idx="22">
                  <c:v>87.2967886836296</c:v>
                </c:pt>
                <c:pt idx="23">
                  <c:v>103.0547704223186</c:v>
                </c:pt>
                <c:pt idx="24">
                  <c:v>121.66566805259345</c:v>
                </c:pt>
                <c:pt idx="25">
                  <c:v>143.6474025745157</c:v>
                </c:pt>
                <c:pt idx="26">
                  <c:v>141.67594470663133</c:v>
                </c:pt>
                <c:pt idx="27">
                  <c:v>155.46288225618903</c:v>
                </c:pt>
                <c:pt idx="28">
                  <c:v>169.22076873606747</c:v>
                </c:pt>
                <c:pt idx="29">
                  <c:v>182.95230030612535</c:v>
                </c:pt>
                <c:pt idx="30">
                  <c:v>196.65973476943884</c:v>
                </c:pt>
                <c:pt idx="31">
                  <c:v>170.79137460696458</c:v>
                </c:pt>
                <c:pt idx="32">
                  <c:v>186.08747857758416</c:v>
                </c:pt>
                <c:pt idx="33">
                  <c:v>201.35423252127552</c:v>
                </c:pt>
                <c:pt idx="34">
                  <c:v>216.59417586765153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223.61956111075634</c:v>
                </c:pt>
                <c:pt idx="38">
                  <c:v>239.99275146392384</c:v>
                </c:pt>
                <c:pt idx="39">
                  <c:v>256.34051411178768</c:v>
                </c:pt>
                <c:pt idx="40">
                  <c:v>272.6646989766358</c:v>
                </c:pt>
                <c:pt idx="41">
                  <c:v>248.16968942779488</c:v>
                </c:pt>
                <c:pt idx="42">
                  <c:v>264.50544806917611</c:v>
                </c:pt>
                <c:pt idx="43">
                  <c:v>280.81846105391611</c:v>
                </c:pt>
                <c:pt idx="44">
                  <c:v>297.11023564036316</c:v>
                </c:pt>
                <c:pt idx="45">
                  <c:v>313.38210026249641</c:v>
                </c:pt>
                <c:pt idx="46">
                  <c:v>288.96691630985219</c:v>
                </c:pt>
                <c:pt idx="47">
                  <c:v>305.24857979967953</c:v>
                </c:pt>
                <c:pt idx="48">
                  <c:v>321.51093999187805</c:v>
                </c:pt>
                <c:pt idx="49">
                  <c:v>337.75511058999291</c:v>
                </c:pt>
                <c:pt idx="50">
                  <c:v>353.9820894286774</c:v>
                </c:pt>
                <c:pt idx="51">
                  <c:v>328.86168411801799</c:v>
                </c:pt>
                <c:pt idx="52">
                  <c:v>344.32519168762178</c:v>
                </c:pt>
                <c:pt idx="53">
                  <c:v>359.77344653568485</c:v>
                </c:pt>
                <c:pt idx="54">
                  <c:v>375.2071957314734</c:v>
                </c:pt>
                <c:pt idx="55">
                  <c:v>390.62711987432004</c:v>
                </c:pt>
                <c:pt idx="56">
                  <c:v>364.40506221560395</c:v>
                </c:pt>
                <c:pt idx="57">
                  <c:v>378.67786100909797</c:v>
                </c:pt>
                <c:pt idx="58">
                  <c:v>392.93895526469413</c:v>
                </c:pt>
                <c:pt idx="59">
                  <c:v>407.18882957990081</c:v>
                </c:pt>
                <c:pt idx="60">
                  <c:v>421.42793186976115</c:v>
                </c:pt>
                <c:pt idx="61">
                  <c:v>394.86525935006421</c:v>
                </c:pt>
                <c:pt idx="62">
                  <c:v>408.72870365690954</c:v>
                </c:pt>
                <c:pt idx="63">
                  <c:v>422.58199440092818</c:v>
                </c:pt>
                <c:pt idx="64">
                  <c:v>436.42551129808612</c:v>
                </c:pt>
                <c:pt idx="65">
                  <c:v>450.25960801246742</c:v>
                </c:pt>
                <c:pt idx="66">
                  <c:v>422.96666682108616</c:v>
                </c:pt>
                <c:pt idx="67">
                  <c:v>436.04109794385869</c:v>
                </c:pt>
                <c:pt idx="68">
                  <c:v>449.10711821530089</c:v>
                </c:pt>
                <c:pt idx="69">
                  <c:v>462.16500679362139</c:v>
                </c:pt>
                <c:pt idx="70">
                  <c:v>475.21502577729046</c:v>
                </c:pt>
                <c:pt idx="71">
                  <c:v>447.18616113243934</c:v>
                </c:pt>
                <c:pt idx="72">
                  <c:v>459.47726966137287</c:v>
                </c:pt>
                <c:pt idx="73">
                  <c:v>471.76136070205121</c:v>
                </c:pt>
                <c:pt idx="74">
                  <c:v>484.03864272240349</c:v>
                </c:pt>
                <c:pt idx="75">
                  <c:v>496.30931275327725</c:v>
                </c:pt>
                <c:pt idx="76">
                  <c:v>467.53948269999205</c:v>
                </c:pt>
                <c:pt idx="77">
                  <c:v>479.05180523598909</c:v>
                </c:pt>
                <c:pt idx="78">
                  <c:v>490.55824735832448</c:v>
                </c:pt>
                <c:pt idx="79">
                  <c:v>502.05896643512574</c:v>
                </c:pt>
                <c:pt idx="80">
                  <c:v>513.55411203705955</c:v>
                </c:pt>
                <c:pt idx="81">
                  <c:v>484.03864272240349</c:v>
                </c:pt>
                <c:pt idx="82">
                  <c:v>494.77583412162312</c:v>
                </c:pt>
                <c:pt idx="83">
                  <c:v>505.50808871924113</c:v>
                </c:pt>
                <c:pt idx="84">
                  <c:v>516.23552610410366</c:v>
                </c:pt>
                <c:pt idx="85">
                  <c:v>526.95826048952097</c:v>
                </c:pt>
                <c:pt idx="86">
                  <c:v>497.07601440225977</c:v>
                </c:pt>
                <c:pt idx="87">
                  <c:v>507.42405248193273</c:v>
                </c:pt>
                <c:pt idx="88">
                  <c:v>517.76763064125009</c:v>
                </c:pt>
                <c:pt idx="89">
                  <c:v>528.10685054075077</c:v>
                </c:pt>
                <c:pt idx="90">
                  <c:v>538.44180953565865</c:v>
                </c:pt>
                <c:pt idx="91">
                  <c:v>507.80722686130639</c:v>
                </c:pt>
                <c:pt idx="92">
                  <c:v>517.3846134864898</c:v>
                </c:pt>
                <c:pt idx="93">
                  <c:v>526.95826048952074</c:v>
                </c:pt>
                <c:pt idx="94">
                  <c:v>536.52824539615131</c:v>
                </c:pt>
                <c:pt idx="95">
                  <c:v>546.09464274073594</c:v>
                </c:pt>
                <c:pt idx="96">
                  <c:v>515.08638473795338</c:v>
                </c:pt>
                <c:pt idx="97">
                  <c:v>524.2780117454289</c:v>
                </c:pt>
                <c:pt idx="98">
                  <c:v>533.4662440625948</c:v>
                </c:pt>
                <c:pt idx="99">
                  <c:v>542.65114840915612</c:v>
                </c:pt>
                <c:pt idx="100">
                  <c:v>551.83278906179737</c:v>
                </c:pt>
                <c:pt idx="101">
                  <c:v>520.06560820994309</c:v>
                </c:pt>
                <c:pt idx="102">
                  <c:v>528.48970219589717</c:v>
                </c:pt>
                <c:pt idx="103">
                  <c:v>536.91096968482668</c:v>
                </c:pt>
                <c:pt idx="104">
                  <c:v>545.32946126916988</c:v>
                </c:pt>
                <c:pt idx="105">
                  <c:v>553.74522585166335</c:v>
                </c:pt>
                <c:pt idx="106">
                  <c:v>523.5121734248288</c:v>
                </c:pt>
                <c:pt idx="107">
                  <c:v>531.55230561741564</c:v>
                </c:pt>
                <c:pt idx="108">
                  <c:v>539.58987938497648</c:v>
                </c:pt>
                <c:pt idx="109">
                  <c:v>547.62493821970588</c:v>
                </c:pt>
                <c:pt idx="110">
                  <c:v>555.65752423315928</c:v>
                </c:pt>
                <c:pt idx="111">
                  <c:v>526.57538542767463</c:v>
                </c:pt>
                <c:pt idx="112">
                  <c:v>533.84901440052897</c:v>
                </c:pt>
                <c:pt idx="113">
                  <c:v>541.12055937003322</c:v>
                </c:pt>
                <c:pt idx="114">
                  <c:v>548.39005229891859</c:v>
                </c:pt>
                <c:pt idx="115">
                  <c:v>555.65752423315951</c:v>
                </c:pt>
                <c:pt idx="116">
                  <c:v>528.10685054075066</c:v>
                </c:pt>
                <c:pt idx="117">
                  <c:v>534.99729079736949</c:v>
                </c:pt>
                <c:pt idx="118">
                  <c:v>541.88586523948368</c:v>
                </c:pt>
                <c:pt idx="119">
                  <c:v>548.77260093911138</c:v>
                </c:pt>
                <c:pt idx="120">
                  <c:v>555.65752423315973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1.8872166199460507</c:v>
                </c:pt>
                <c:pt idx="2">
                  <c:v>2.2964597670016897</c:v>
                </c:pt>
                <c:pt idx="3">
                  <c:v>2.7947887476451427</c:v>
                </c:pt>
                <c:pt idx="4">
                  <c:v>3.4016664353083708</c:v>
                </c:pt>
                <c:pt idx="5">
                  <c:v>4.1408222331583096</c:v>
                </c:pt>
                <c:pt idx="6">
                  <c:v>5.0411903008954377</c:v>
                </c:pt>
                <c:pt idx="7">
                  <c:v>6.1380547009993505</c:v>
                </c:pt>
                <c:pt idx="8">
                  <c:v>7.4744472208053194</c:v>
                </c:pt>
                <c:pt idx="9">
                  <c:v>9.1028537696068188</c:v>
                </c:pt>
                <c:pt idx="10">
                  <c:v>11.087297646119426</c:v>
                </c:pt>
                <c:pt idx="11">
                  <c:v>13.505883122712893</c:v>
                </c:pt>
                <c:pt idx="12">
                  <c:v>16.453901312282458</c:v>
                </c:pt>
                <c:pt idx="13">
                  <c:v>20.047622921795863</c:v>
                </c:pt>
                <c:pt idx="14">
                  <c:v>24.428930171147528</c:v>
                </c:pt>
                <c:pt idx="15">
                  <c:v>29.770973989542124</c:v>
                </c:pt>
                <c:pt idx="16">
                  <c:v>36.28508396740807</c:v>
                </c:pt>
                <c:pt idx="17">
                  <c:v>44.229209119664233</c:v>
                </c:pt>
                <c:pt idx="18">
                  <c:v>53.918229361138849</c:v>
                </c:pt>
                <c:pt idx="19">
                  <c:v>65.736553221372674</c:v>
                </c:pt>
                <c:pt idx="20">
                  <c:v>80.153509810179131</c:v>
                </c:pt>
                <c:pt idx="21">
                  <c:v>89.391965719110203</c:v>
                </c:pt>
                <c:pt idx="22">
                  <c:v>102.54887213283676</c:v>
                </c:pt>
                <c:pt idx="23">
                  <c:v>115.66397937972845</c:v>
                </c:pt>
                <c:pt idx="24">
                  <c:v>128.74270297836009</c:v>
                </c:pt>
                <c:pt idx="25">
                  <c:v>141.78926461478019</c:v>
                </c:pt>
                <c:pt idx="26">
                  <c:v>154.80704360145447</c:v>
                </c:pt>
                <c:pt idx="27">
                  <c:v>167.79880331835713</c:v>
                </c:pt>
                <c:pt idx="28">
                  <c:v>180.76684356318125</c:v>
                </c:pt>
                <c:pt idx="29">
                  <c:v>193.71310674706146</c:v>
                </c:pt>
                <c:pt idx="30">
                  <c:v>206.63925413557971</c:v>
                </c:pt>
                <c:pt idx="31">
                  <c:v>204.44316393691588</c:v>
                </c:pt>
                <c:pt idx="32">
                  <c:v>217.74075246919756</c:v>
                </c:pt>
                <c:pt idx="33">
                  <c:v>231.01967692884918</c:v>
                </c:pt>
                <c:pt idx="34">
                  <c:v>244.28116165814291</c:v>
                </c:pt>
                <c:pt idx="35">
                  <c:v>257.52628712281688</c:v>
                </c:pt>
                <c:pt idx="36">
                  <c:v>270.75601350883994</c:v>
                </c:pt>
                <c:pt idx="37">
                  <c:v>283.9711994609832</c:v>
                </c:pt>
                <c:pt idx="38">
                  <c:v>297.17261714760809</c:v>
                </c:pt>
                <c:pt idx="39">
                  <c:v>310.36096450648392</c:v>
                </c:pt>
                <c:pt idx="40">
                  <c:v>323.53687529895308</c:v>
                </c:pt>
                <c:pt idx="41">
                  <c:v>308.82510968141406</c:v>
                </c:pt>
                <c:pt idx="42">
                  <c:v>320.97939105673305</c:v>
                </c:pt>
                <c:pt idx="43">
                  <c:v>333.12349285380219</c:v>
                </c:pt>
                <c:pt idx="44">
                  <c:v>345.25783856692919</c:v>
                </c:pt>
                <c:pt idx="45">
                  <c:v>357.38281948405944</c:v>
                </c:pt>
                <c:pt idx="46">
                  <c:v>369.49879816887761</c:v>
                </c:pt>
                <c:pt idx="47">
                  <c:v>381.60611146221294</c:v>
                </c:pt>
                <c:pt idx="48">
                  <c:v>393.7050730825656</c:v>
                </c:pt>
                <c:pt idx="49">
                  <c:v>405.79597589022273</c:v>
                </c:pt>
                <c:pt idx="50">
                  <c:v>417.87909386741279</c:v>
                </c:pt>
                <c:pt idx="51">
                  <c:v>396.63307293686029</c:v>
                </c:pt>
                <c:pt idx="52">
                  <c:v>407.19546723786488</c:v>
                </c:pt>
                <c:pt idx="53">
                  <c:v>417.75194279221722</c:v>
                </c:pt>
                <c:pt idx="54">
                  <c:v>428.30267028767508</c:v>
                </c:pt>
                <c:pt idx="55">
                  <c:v>438.84781131453877</c:v>
                </c:pt>
                <c:pt idx="56">
                  <c:v>449.38751906216925</c:v>
                </c:pt>
                <c:pt idx="57">
                  <c:v>459.92193894675114</c:v>
                </c:pt>
                <c:pt idx="58">
                  <c:v>470.45120917853865</c:v>
                </c:pt>
                <c:pt idx="59">
                  <c:v>480.97546127567131</c:v>
                </c:pt>
                <c:pt idx="60">
                  <c:v>491.4948205306743</c:v>
                </c:pt>
                <c:pt idx="61">
                  <c:v>466.13862825055907</c:v>
                </c:pt>
                <c:pt idx="62">
                  <c:v>475.01655378575714</c:v>
                </c:pt>
                <c:pt idx="63">
                  <c:v>483.89094931012534</c:v>
                </c:pt>
                <c:pt idx="64">
                  <c:v>492.76188870967707</c:v>
                </c:pt>
                <c:pt idx="65">
                  <c:v>501.62944299248142</c:v>
                </c:pt>
                <c:pt idx="66">
                  <c:v>510.49368045075363</c:v>
                </c:pt>
                <c:pt idx="67">
                  <c:v>519.35466681110222</c:v>
                </c:pt>
                <c:pt idx="68">
                  <c:v>528.21246537398599</c:v>
                </c:pt>
                <c:pt idx="69">
                  <c:v>537.06713714333182</c:v>
                </c:pt>
                <c:pt idx="70">
                  <c:v>545.91874094715649</c:v>
                </c:pt>
                <c:pt idx="71">
                  <c:v>520.62026032995118</c:v>
                </c:pt>
                <c:pt idx="72">
                  <c:v>528.21246537398599</c:v>
                </c:pt>
                <c:pt idx="73">
                  <c:v>535.80237321728134</c:v>
                </c:pt>
                <c:pt idx="74">
                  <c:v>543.39002099916354</c:v>
                </c:pt>
                <c:pt idx="75">
                  <c:v>550.97544473689754</c:v>
                </c:pt>
                <c:pt idx="76">
                  <c:v>558.55867937490291</c:v>
                </c:pt>
                <c:pt idx="77">
                  <c:v>566.13975883115938</c:v>
                </c:pt>
                <c:pt idx="78">
                  <c:v>573.71871604099545</c:v>
                </c:pt>
                <c:pt idx="79">
                  <c:v>581.29558299844462</c:v>
                </c:pt>
                <c:pt idx="80">
                  <c:v>588.87039079533201</c:v>
                </c:pt>
                <c:pt idx="81">
                  <c:v>565.38174692254552</c:v>
                </c:pt>
                <c:pt idx="82">
                  <c:v>572.20309282979531</c:v>
                </c:pt>
                <c:pt idx="83">
                  <c:v>579.02274052069447</c:v>
                </c:pt>
                <c:pt idx="84">
                  <c:v>585.8407128223779</c:v>
                </c:pt>
                <c:pt idx="85">
                  <c:v>592.65703198720189</c:v>
                </c:pt>
                <c:pt idx="86">
                  <c:v>599.47171971380715</c:v>
                </c:pt>
                <c:pt idx="87">
                  <c:v>606.28479716717118</c:v>
                </c:pt>
                <c:pt idx="88">
                  <c:v>613.0962849977135</c:v>
                </c:pt>
                <c:pt idx="89">
                  <c:v>619.90620335950769</c:v>
                </c:pt>
                <c:pt idx="90">
                  <c:v>626.71457192765126</c:v>
                </c:pt>
                <c:pt idx="91">
                  <c:v>603.13079349515147</c:v>
                </c:pt>
                <c:pt idx="92">
                  <c:v>609.81687689141643</c:v>
                </c:pt>
                <c:pt idx="93">
                  <c:v>616.50143912148258</c:v>
                </c:pt>
                <c:pt idx="94">
                  <c:v>623.18449900766041</c:v>
                </c:pt>
                <c:pt idx="95">
                  <c:v>629.86607493557597</c:v>
                </c:pt>
                <c:pt idx="96">
                  <c:v>636.54618486892696</c:v>
                </c:pt>
                <c:pt idx="97">
                  <c:v>643.22484636358752</c:v>
                </c:pt>
                <c:pt idx="98">
                  <c:v>649.90207658109875</c:v>
                </c:pt>
                <c:pt idx="99">
                  <c:v>656.57789230157209</c:v>
                </c:pt>
                <c:pt idx="100">
                  <c:v>663.25230993604498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3.3988447655877327</c:v>
                </c:pt>
                <c:pt idx="2">
                  <c:v>4.0063178504214578</c:v>
                </c:pt>
                <c:pt idx="3">
                  <c:v>4.7227575716915684</c:v>
                </c:pt>
                <c:pt idx="4">
                  <c:v>5.5677765638419956</c:v>
                </c:pt>
                <c:pt idx="5">
                  <c:v>6.5645287036091462</c:v>
                </c:pt>
                <c:pt idx="6">
                  <c:v>7.74035039721337</c:v>
                </c:pt>
                <c:pt idx="7">
                  <c:v>9.1275183141814384</c:v>
                </c:pt>
                <c:pt idx="8">
                  <c:v>10.7641447651161</c:v>
                </c:pt>
                <c:pt idx="9">
                  <c:v>12.695235788134896</c:v>
                </c:pt>
                <c:pt idx="10">
                  <c:v>14.973941583161505</c:v>
                </c:pt>
                <c:pt idx="11">
                  <c:v>17.663034344276738</c:v>
                </c:pt>
                <c:pt idx="12">
                  <c:v>20.83665494119186</c:v>
                </c:pt>
                <c:pt idx="13">
                  <c:v>24.582377472990316</c:v>
                </c:pt>
                <c:pt idx="14">
                  <c:v>29.003649675287779</c:v>
                </c:pt>
                <c:pt idx="15">
                  <c:v>34.222677759995427</c:v>
                </c:pt>
                <c:pt idx="16">
                  <c:v>40.383836805712463</c:v>
                </c:pt>
                <c:pt idx="17">
                  <c:v>47.657702652443085</c:v>
                </c:pt>
                <c:pt idx="18">
                  <c:v>56.245818808260594</c:v>
                </c:pt>
                <c:pt idx="19">
                  <c:v>66.386332646599115</c:v>
                </c:pt>
                <c:pt idx="20">
                  <c:v>78.360659751606121</c:v>
                </c:pt>
                <c:pt idx="21">
                  <c:v>92.501364354563762</c:v>
                </c:pt>
                <c:pt idx="22">
                  <c:v>109.20147822446989</c:v>
                </c:pt>
                <c:pt idx="23">
                  <c:v>128.9255211103534</c:v>
                </c:pt>
                <c:pt idx="24">
                  <c:v>152.22253404193577</c:v>
                </c:pt>
                <c:pt idx="25">
                  <c:v>179.7414938524295</c:v>
                </c:pt>
                <c:pt idx="26">
                  <c:v>177.27333024872806</c:v>
                </c:pt>
                <c:pt idx="27">
                  <c:v>194.53421785197463</c:v>
                </c:pt>
                <c:pt idx="28">
                  <c:v>211.75950715739978</c:v>
                </c:pt>
                <c:pt idx="29">
                  <c:v>228.952501957349</c:v>
                </c:pt>
                <c:pt idx="30">
                  <c:v>246.11596889508897</c:v>
                </c:pt>
                <c:pt idx="31">
                  <c:v>213.72599909690823</c:v>
                </c:pt>
                <c:pt idx="32">
                  <c:v>232.87809260519506</c:v>
                </c:pt>
                <c:pt idx="33">
                  <c:v>251.99422148253385</c:v>
                </c:pt>
                <c:pt idx="34">
                  <c:v>271.07749746879057</c:v>
                </c:pt>
                <c:pt idx="35">
                  <c:v>290.13055823222999</c:v>
                </c:pt>
                <c:pt idx="36">
                  <c:v>259.33767759130296</c:v>
                </c:pt>
                <c:pt idx="37">
                  <c:v>279.87482760648737</c:v>
                </c:pt>
                <c:pt idx="38">
                  <c:v>300.37818946266395</c:v>
                </c:pt>
                <c:pt idx="39">
                  <c:v>320.8503929815983</c:v>
                </c:pt>
                <c:pt idx="40">
                  <c:v>341.29370500183649</c:v>
                </c:pt>
                <c:pt idx="41">
                  <c:v>310.61803673581045</c:v>
                </c:pt>
                <c:pt idx="42">
                  <c:v>331.07553091004479</c:v>
                </c:pt>
                <c:pt idx="43">
                  <c:v>351.50515324795106</c:v>
                </c:pt>
                <c:pt idx="44">
                  <c:v>371.90875069809857</c:v>
                </c:pt>
                <c:pt idx="45">
                  <c:v>392.28795108310914</c:v>
                </c:pt>
                <c:pt idx="46">
                  <c:v>361.71009867648337</c:v>
                </c:pt>
                <c:pt idx="47">
                  <c:v>382.10130629614451</c:v>
                </c:pt>
                <c:pt idx="48">
                  <c:v>402.46886024158624</c:v>
                </c:pt>
                <c:pt idx="49">
                  <c:v>422.81412521128323</c:v>
                </c:pt>
                <c:pt idx="50">
                  <c:v>443.1383239214918</c:v>
                </c:pt>
                <c:pt idx="51">
                  <c:v>411.67535507613934</c:v>
                </c:pt>
                <c:pt idx="52">
                  <c:v>431.04305967702021</c:v>
                </c:pt>
                <c:pt idx="53">
                  <c:v>450.39207405650882</c:v>
                </c:pt>
                <c:pt idx="54">
                  <c:v>469.72331365057767</c:v>
                </c:pt>
                <c:pt idx="55">
                  <c:v>489.03761244496371</c:v>
                </c:pt>
                <c:pt idx="56">
                  <c:v>456.19327286423237</c:v>
                </c:pt>
                <c:pt idx="57">
                  <c:v>474.07047968953492</c:v>
                </c:pt>
                <c:pt idx="58">
                  <c:v>491.93334412983972</c:v>
                </c:pt>
                <c:pt idx="59">
                  <c:v>509.78245999620441</c:v>
                </c:pt>
                <c:pt idx="60">
                  <c:v>527.61837615010927</c:v>
                </c:pt>
                <c:pt idx="61">
                  <c:v>494.34617766082982</c:v>
                </c:pt>
                <c:pt idx="62">
                  <c:v>511.71129412952865</c:v>
                </c:pt>
                <c:pt idx="63">
                  <c:v>529.06396873094207</c:v>
                </c:pt>
                <c:pt idx="64">
                  <c:v>546.40466675747416</c:v>
                </c:pt>
                <c:pt idx="65">
                  <c:v>563.73382157834374</c:v>
                </c:pt>
                <c:pt idx="66">
                  <c:v>529.54581443344262</c:v>
                </c:pt>
                <c:pt idx="67">
                  <c:v>545.92313850649077</c:v>
                </c:pt>
                <c:pt idx="68">
                  <c:v>562.29015617795403</c:v>
                </c:pt>
                <c:pt idx="69">
                  <c:v>578.64720951981633</c:v>
                </c:pt>
                <c:pt idx="70">
                  <c:v>594.99461969957758</c:v>
                </c:pt>
                <c:pt idx="71">
                  <c:v>559.88387470132386</c:v>
                </c:pt>
                <c:pt idx="72">
                  <c:v>575.28037945503661</c:v>
                </c:pt>
                <c:pt idx="73">
                  <c:v>590.66828519192734</c:v>
                </c:pt>
                <c:pt idx="74">
                  <c:v>606.04784736226065</c:v>
                </c:pt>
                <c:pt idx="75">
                  <c:v>621.41930740164844</c:v>
                </c:pt>
                <c:pt idx="76">
                  <c:v>585.37964629167152</c:v>
                </c:pt>
                <c:pt idx="77">
                  <c:v>599.80089073891179</c:v>
                </c:pt>
                <c:pt idx="78">
                  <c:v>614.21492950597724</c:v>
                </c:pt>
                <c:pt idx="79">
                  <c:v>628.62195542698873</c:v>
                </c:pt>
                <c:pt idx="80">
                  <c:v>643.02215178129484</c:v>
                </c:pt>
                <c:pt idx="81">
                  <c:v>606.04784736226065</c:v>
                </c:pt>
                <c:pt idx="82">
                  <c:v>619.49831005268175</c:v>
                </c:pt>
                <c:pt idx="83">
                  <c:v>632.94272333646688</c:v>
                </c:pt>
                <c:pt idx="84">
                  <c:v>646.3812337541533</c:v>
                </c:pt>
                <c:pt idx="85">
                  <c:v>659.81398125926046</c:v>
                </c:pt>
                <c:pt idx="86">
                  <c:v>622.37975992032568</c:v>
                </c:pt>
                <c:pt idx="87">
                  <c:v>635.3428861503254</c:v>
                </c:pt>
                <c:pt idx="88">
                  <c:v>648.30054732947394</c:v>
                </c:pt>
                <c:pt idx="89">
                  <c:v>661.25286802950598</c:v>
                </c:pt>
                <c:pt idx="90">
                  <c:v>674.19996754655403</c:v>
                </c:pt>
                <c:pt idx="91">
                  <c:v>635.82289619917935</c:v>
                </c:pt>
                <c:pt idx="92">
                  <c:v>647.82072993888221</c:v>
                </c:pt>
                <c:pt idx="93">
                  <c:v>659.81398125926</c:v>
                </c:pt>
                <c:pt idx="94">
                  <c:v>671.80274515801261</c:v>
                </c:pt>
                <c:pt idx="95">
                  <c:v>683.78711296727249</c:v>
                </c:pt>
                <c:pt idx="96">
                  <c:v>644.94167141936043</c:v>
                </c:pt>
                <c:pt idx="97">
                  <c:v>656.45632723772906</c:v>
                </c:pt>
                <c:pt idx="98">
                  <c:v>667.96682330576868</c:v>
                </c:pt>
                <c:pt idx="99">
                  <c:v>679.4732413797783</c:v>
                </c:pt>
                <c:pt idx="100">
                  <c:v>690.97566022245337</c:v>
                </c:pt>
                <c:pt idx="101">
                  <c:v>651.17929806084999</c:v>
                </c:pt>
                <c:pt idx="102">
                  <c:v>661.73248262190066</c:v>
                </c:pt>
                <c:pt idx="103">
                  <c:v>672.28220367940514</c:v>
                </c:pt>
                <c:pt idx="104">
                  <c:v>682.82852322779843</c:v>
                </c:pt>
                <c:pt idx="105">
                  <c:v>693.37150119100806</c:v>
                </c:pt>
                <c:pt idx="106">
                  <c:v>655.49693261541245</c:v>
                </c:pt>
                <c:pt idx="107">
                  <c:v>665.56914225443347</c:v>
                </c:pt>
                <c:pt idx="108">
                  <c:v>675.63821687718735</c:v>
                </c:pt>
                <c:pt idx="109">
                  <c:v>685.70420977768742</c:v>
                </c:pt>
                <c:pt idx="110">
                  <c:v>695.76717255815322</c:v>
                </c:pt>
                <c:pt idx="111">
                  <c:v>659.33433798500698</c:v>
                </c:pt>
                <c:pt idx="112">
                  <c:v>668.44633825452308</c:v>
                </c:pt>
                <c:pt idx="113">
                  <c:v>677.5557848496743</c:v>
                </c:pt>
                <c:pt idx="114">
                  <c:v>686.66271693662009</c:v>
                </c:pt>
                <c:pt idx="115">
                  <c:v>695.76717255815345</c:v>
                </c:pt>
                <c:pt idx="116">
                  <c:v>661.25286802950575</c:v>
                </c:pt>
                <c:pt idx="117">
                  <c:v>669.88484068221362</c:v>
                </c:pt>
                <c:pt idx="118">
                  <c:v>678.51452702253539</c:v>
                </c:pt>
                <c:pt idx="119">
                  <c:v>687.14196022370061</c:v>
                </c:pt>
                <c:pt idx="120">
                  <c:v>695.76717255815367</c:v>
                </c:pt>
                <c:pt idx="121">
                  <c:v>3.5126381983529106E-12</c:v>
                </c:pt>
                <c:pt idx="122">
                  <c:v>3.5126381983529106E-12</c:v>
                </c:pt>
                <c:pt idx="123">
                  <c:v>3.5126381983529106E-12</c:v>
                </c:pt>
                <c:pt idx="124">
                  <c:v>3.5126381983529106E-12</c:v>
                </c:pt>
                <c:pt idx="125">
                  <c:v>3.5126381983529106E-12</c:v>
                </c:pt>
                <c:pt idx="126">
                  <c:v>3.5126381983529106E-12</c:v>
                </c:pt>
                <c:pt idx="127">
                  <c:v>3.5126381983529106E-12</c:v>
                </c:pt>
                <c:pt idx="128">
                  <c:v>3.5126381983529106E-12</c:v>
                </c:pt>
                <c:pt idx="129">
                  <c:v>3.5126381983529106E-12</c:v>
                </c:pt>
                <c:pt idx="130">
                  <c:v>3.5126381983529106E-12</c:v>
                </c:pt>
                <c:pt idx="131">
                  <c:v>3.5126381983529106E-12</c:v>
                </c:pt>
                <c:pt idx="132">
                  <c:v>3.5126381983529106E-12</c:v>
                </c:pt>
                <c:pt idx="133">
                  <c:v>3.5126381983529106E-12</c:v>
                </c:pt>
                <c:pt idx="134">
                  <c:v>3.5126381983529106E-12</c:v>
                </c:pt>
                <c:pt idx="135">
                  <c:v>3.5126381983529106E-12</c:v>
                </c:pt>
                <c:pt idx="136">
                  <c:v>3.5126381983529106E-12</c:v>
                </c:pt>
                <c:pt idx="137">
                  <c:v>3.5126381983529106E-12</c:v>
                </c:pt>
                <c:pt idx="138">
                  <c:v>3.5126381983529106E-12</c:v>
                </c:pt>
                <c:pt idx="139">
                  <c:v>3.5126381983529106E-12</c:v>
                </c:pt>
                <c:pt idx="140">
                  <c:v>3.5126381983529106E-12</c:v>
                </c:pt>
                <c:pt idx="141">
                  <c:v>3.5126381983529106E-12</c:v>
                </c:pt>
                <c:pt idx="142">
                  <c:v>3.5126381983529106E-12</c:v>
                </c:pt>
                <c:pt idx="143">
                  <c:v>3.5126381983529106E-12</c:v>
                </c:pt>
                <c:pt idx="144">
                  <c:v>3.5126381983529106E-12</c:v>
                </c:pt>
                <c:pt idx="145">
                  <c:v>3.5126381983529106E-12</c:v>
                </c:pt>
                <c:pt idx="146">
                  <c:v>3.5126381983529106E-12</c:v>
                </c:pt>
                <c:pt idx="147">
                  <c:v>3.5126381983529106E-12</c:v>
                </c:pt>
                <c:pt idx="148">
                  <c:v>3.5126381983529106E-12</c:v>
                </c:pt>
                <c:pt idx="149">
                  <c:v>3.5126381983529106E-12</c:v>
                </c:pt>
                <c:pt idx="150">
                  <c:v>3.5126381983529106E-12</c:v>
                </c:pt>
                <c:pt idx="151">
                  <c:v>3.5126381983529106E-12</c:v>
                </c:pt>
                <c:pt idx="152">
                  <c:v>3.5126381983529106E-12</c:v>
                </c:pt>
                <c:pt idx="153">
                  <c:v>3.5126381983529106E-12</c:v>
                </c:pt>
                <c:pt idx="154">
                  <c:v>3.5126381983529106E-12</c:v>
                </c:pt>
                <c:pt idx="155">
                  <c:v>3.5126381983529106E-12</c:v>
                </c:pt>
                <c:pt idx="156">
                  <c:v>3.5126381983529106E-12</c:v>
                </c:pt>
                <c:pt idx="157">
                  <c:v>3.5126381983529106E-12</c:v>
                </c:pt>
                <c:pt idx="158">
                  <c:v>3.5126381983529106E-12</c:v>
                </c:pt>
                <c:pt idx="159">
                  <c:v>3.5126381983529106E-12</c:v>
                </c:pt>
                <c:pt idx="160">
                  <c:v>3.5126381983529106E-12</c:v>
                </c:pt>
                <c:pt idx="161">
                  <c:v>3.5126381983529106E-12</c:v>
                </c:pt>
                <c:pt idx="162">
                  <c:v>3.5126381983529106E-12</c:v>
                </c:pt>
                <c:pt idx="163">
                  <c:v>3.5126381983529106E-12</c:v>
                </c:pt>
                <c:pt idx="164">
                  <c:v>3.5126381983529106E-12</c:v>
                </c:pt>
                <c:pt idx="165">
                  <c:v>3.5126381983529106E-12</c:v>
                </c:pt>
                <c:pt idx="166">
                  <c:v>3.5126381983529106E-12</c:v>
                </c:pt>
                <c:pt idx="167">
                  <c:v>3.5126381983529106E-12</c:v>
                </c:pt>
                <c:pt idx="168">
                  <c:v>3.5126381983529106E-12</c:v>
                </c:pt>
                <c:pt idx="169">
                  <c:v>3.5126381983529106E-12</c:v>
                </c:pt>
                <c:pt idx="170">
                  <c:v>3.5126381983529106E-12</c:v>
                </c:pt>
                <c:pt idx="171">
                  <c:v>3.5126381983529106E-12</c:v>
                </c:pt>
                <c:pt idx="172">
                  <c:v>3.5126381983529106E-12</c:v>
                </c:pt>
                <c:pt idx="173">
                  <c:v>3.5126381983529106E-12</c:v>
                </c:pt>
                <c:pt idx="174">
                  <c:v>3.5126381983529106E-12</c:v>
                </c:pt>
                <c:pt idx="175">
                  <c:v>3.5126381983529106E-12</c:v>
                </c:pt>
                <c:pt idx="176">
                  <c:v>3.5126381983529106E-12</c:v>
                </c:pt>
                <c:pt idx="177">
                  <c:v>3.5126381983529106E-12</c:v>
                </c:pt>
                <c:pt idx="178">
                  <c:v>3.5126381983529106E-12</c:v>
                </c:pt>
                <c:pt idx="179">
                  <c:v>3.5126381983529106E-12</c:v>
                </c:pt>
                <c:pt idx="180">
                  <c:v>3.5126381983529106E-12</c:v>
                </c:pt>
                <c:pt idx="181">
                  <c:v>3.5126381983529106E-12</c:v>
                </c:pt>
                <c:pt idx="182">
                  <c:v>3.5126381983529106E-12</c:v>
                </c:pt>
                <c:pt idx="183">
                  <c:v>3.5126381983529106E-12</c:v>
                </c:pt>
                <c:pt idx="184">
                  <c:v>3.5126381983529106E-12</c:v>
                </c:pt>
                <c:pt idx="185">
                  <c:v>3.5126381983529106E-12</c:v>
                </c:pt>
                <c:pt idx="186">
                  <c:v>3.5126381983529106E-12</c:v>
                </c:pt>
                <c:pt idx="187">
                  <c:v>3.5126381983529106E-12</c:v>
                </c:pt>
                <c:pt idx="188">
                  <c:v>3.5126381983529106E-12</c:v>
                </c:pt>
                <c:pt idx="189">
                  <c:v>3.5126381983529106E-12</c:v>
                </c:pt>
                <c:pt idx="190">
                  <c:v>3.5126381983529106E-12</c:v>
                </c:pt>
                <c:pt idx="191">
                  <c:v>3.5126381983529106E-12</c:v>
                </c:pt>
                <c:pt idx="192">
                  <c:v>3.5126381983529106E-12</c:v>
                </c:pt>
                <c:pt idx="193">
                  <c:v>3.5126381983529106E-12</c:v>
                </c:pt>
                <c:pt idx="194">
                  <c:v>3.5126381983529106E-12</c:v>
                </c:pt>
                <c:pt idx="195">
                  <c:v>3.5126381983529106E-12</c:v>
                </c:pt>
                <c:pt idx="196">
                  <c:v>3.5126381983529106E-12</c:v>
                </c:pt>
                <c:pt idx="197">
                  <c:v>3.5126381983529106E-12</c:v>
                </c:pt>
                <c:pt idx="198">
                  <c:v>3.5126381983529106E-12</c:v>
                </c:pt>
                <c:pt idx="199">
                  <c:v>3.5126381983529106E-12</c:v>
                </c:pt>
                <c:pt idx="200">
                  <c:v>3.5126381983529106E-12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167.56178150748116</c:v>
                </c:pt>
                <c:pt idx="22">
                  <c:v>183.39157071786599</c:v>
                </c:pt>
                <c:pt idx="23">
                  <c:v>199.18941693696172</c:v>
                </c:pt>
                <c:pt idx="24">
                  <c:v>214.95821110174333</c:v>
                </c:pt>
                <c:pt idx="25">
                  <c:v>230.70038494007636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232.44796515158808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302.99732658461176</c:v>
                </c:pt>
                <c:pt idx="35">
                  <c:v>326.42740643086182</c:v>
                </c:pt>
                <c:pt idx="36">
                  <c:v>289.96337472940422</c:v>
                </c:pt>
                <c:pt idx="37">
                  <c:v>314.28330815365302</c:v>
                </c:pt>
                <c:pt idx="38">
                  <c:v>338.56152844098665</c:v>
                </c:pt>
                <c:pt idx="39">
                  <c:v>362.80144525672227</c:v>
                </c:pt>
                <c:pt idx="40">
                  <c:v>387.0059755941316</c:v>
                </c:pt>
                <c:pt idx="41">
                  <c:v>351.11892985232771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424.97612632602949</c:v>
                </c:pt>
                <c:pt idx="45">
                  <c:v>449.53102985794379</c:v>
                </c:pt>
                <c:pt idx="46">
                  <c:v>412.90299192267599</c:v>
                </c:pt>
                <c:pt idx="47">
                  <c:v>436.61108755732994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469.3262695994801</c:v>
                </c:pt>
                <c:pt idx="52">
                  <c:v>491.25241699045142</c:v>
                </c:pt>
                <c:pt idx="53">
                  <c:v>513.15781891487757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556.48174822611588</c:v>
                </c:pt>
                <c:pt idx="62">
                  <c:v>575.33309228627434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631.81162251582646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615.99151338618674</c:v>
                </c:pt>
                <c:pt idx="72">
                  <c:v>632.23907832556176</c:v>
                </c:pt>
                <c:pt idx="73">
                  <c:v>648.4780121795651</c:v>
                </c:pt>
                <c:pt idx="74">
                  <c:v>664.70856137271755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652.75001250200114</c:v>
                </c:pt>
                <c:pt idx="82">
                  <c:v>667.27052872062916</c:v>
                </c:pt>
                <c:pt idx="83">
                  <c:v>681.78454819307183</c:v>
                </c:pt>
                <c:pt idx="84">
                  <c:v>696.29222861974176</c:v>
                </c:pt>
                <c:pt idx="85">
                  <c:v>710.79372059813113</c:v>
                </c:pt>
                <c:pt idx="86">
                  <c:v>664.70856137271755</c:v>
                </c:pt>
                <c:pt idx="87">
                  <c:v>678.37006080489357</c:v>
                </c:pt>
                <c:pt idx="88">
                  <c:v>692.0259128007566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672.39385739452007</c:v>
                </c:pt>
                <c:pt idx="92">
                  <c:v>685.19868466154992</c:v>
                </c:pt>
                <c:pt idx="93">
                  <c:v>697.99860485695478</c:v>
                </c:pt>
                <c:pt idx="94">
                  <c:v>710.79372059813079</c:v>
                </c:pt>
                <c:pt idx="95">
                  <c:v>723.58413050890977</c:v>
                </c:pt>
                <c:pt idx="96">
                  <c:v>676.23582709036771</c:v>
                </c:pt>
                <c:pt idx="97">
                  <c:v>688.61247220601751</c:v>
                </c:pt>
                <c:pt idx="98">
                  <c:v>700.98455790524156</c:v>
                </c:pt>
                <c:pt idx="99">
                  <c:v>713.3521759584537</c:v>
                </c:pt>
                <c:pt idx="100">
                  <c:v>725.71541469625208</c:v>
                </c:pt>
                <c:pt idx="101">
                  <c:v>679.6505348264443</c:v>
                </c:pt>
                <c:pt idx="102">
                  <c:v>691.17258507143549</c:v>
                </c:pt>
                <c:pt idx="103">
                  <c:v>702.69069984530972</c:v>
                </c:pt>
                <c:pt idx="104">
                  <c:v>714.20495271831226</c:v>
                </c:pt>
                <c:pt idx="105">
                  <c:v>725.71541469625174</c:v>
                </c:pt>
                <c:pt idx="106">
                  <c:v>680.93095932318067</c:v>
                </c:pt>
                <c:pt idx="107">
                  <c:v>691.59925163326625</c:v>
                </c:pt>
                <c:pt idx="108">
                  <c:v>702.26417231534106</c:v>
                </c:pt>
                <c:pt idx="109">
                  <c:v>712.92577976987479</c:v>
                </c:pt>
                <c:pt idx="110">
                  <c:v>723.58413050890942</c:v>
                </c:pt>
                <c:pt idx="111">
                  <c:v>680.07734848952111</c:v>
                </c:pt>
                <c:pt idx="112">
                  <c:v>689.89255298185071</c:v>
                </c:pt>
                <c:pt idx="113">
                  <c:v>699.70489568745631</c:v>
                </c:pt>
                <c:pt idx="114">
                  <c:v>709.51442238342361</c:v>
                </c:pt>
                <c:pt idx="115">
                  <c:v>719.32117747825214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3.5374471334522148</c:v>
                </c:pt>
                <c:pt idx="2">
                  <c:v>4.7144055132876943</c:v>
                </c:pt>
                <c:pt idx="3">
                  <c:v>6.2845380916357998</c:v>
                </c:pt>
                <c:pt idx="4">
                  <c:v>8.379685173176826</c:v>
                </c:pt>
                <c:pt idx="5">
                  <c:v>11.176051299699397</c:v>
                </c:pt>
                <c:pt idx="6">
                  <c:v>14.909182097388436</c:v>
                </c:pt>
                <c:pt idx="7">
                  <c:v>19.894012108502114</c:v>
                </c:pt>
                <c:pt idx="8">
                  <c:v>26.551705212601146</c:v>
                </c:pt>
                <c:pt idx="9">
                  <c:v>35.445595156337177</c:v>
                </c:pt>
                <c:pt idx="10">
                  <c:v>47.329319467290361</c:v>
                </c:pt>
                <c:pt idx="11">
                  <c:v>63.211293922996155</c:v>
                </c:pt>
                <c:pt idx="12">
                  <c:v>84.441088459233811</c:v>
                </c:pt>
                <c:pt idx="13">
                  <c:v>112.82516200891757</c:v>
                </c:pt>
                <c:pt idx="14">
                  <c:v>150.7819585107822</c:v>
                </c:pt>
                <c:pt idx="15">
                  <c:v>201.54978110052437</c:v>
                </c:pt>
                <c:pt idx="16">
                  <c:v>186.17529975179778</c:v>
                </c:pt>
                <c:pt idx="17">
                  <c:v>218.25004817377183</c:v>
                </c:pt>
                <c:pt idx="18">
                  <c:v>250.2163145680897</c:v>
                </c:pt>
                <c:pt idx="19">
                  <c:v>282.08991144052067</c:v>
                </c:pt>
                <c:pt idx="20">
                  <c:v>313.88277839914394</c:v>
                </c:pt>
                <c:pt idx="21">
                  <c:v>248.41798889769305</c:v>
                </c:pt>
                <c:pt idx="22">
                  <c:v>279.39963766111288</c:v>
                </c:pt>
                <c:pt idx="23">
                  <c:v>310.3042076629925</c:v>
                </c:pt>
                <c:pt idx="24">
                  <c:v>341.1404493366004</c:v>
                </c:pt>
                <c:pt idx="25">
                  <c:v>371.91540142867393</c:v>
                </c:pt>
                <c:pt idx="26">
                  <c:v>303.14430399634131</c:v>
                </c:pt>
                <c:pt idx="27">
                  <c:v>332.65569753778635</c:v>
                </c:pt>
                <c:pt idx="28">
                  <c:v>362.10938015631001</c:v>
                </c:pt>
                <c:pt idx="29">
                  <c:v>391.51070110892812</c:v>
                </c:pt>
                <c:pt idx="30">
                  <c:v>420.86414095510594</c:v>
                </c:pt>
                <c:pt idx="31">
                  <c:v>349.620561140088</c:v>
                </c:pt>
                <c:pt idx="32">
                  <c:v>376.37081053726496</c:v>
                </c:pt>
                <c:pt idx="33">
                  <c:v>403.07966884306717</c:v>
                </c:pt>
                <c:pt idx="34">
                  <c:v>429.75026149342511</c:v>
                </c:pt>
                <c:pt idx="35">
                  <c:v>456.38529460741069</c:v>
                </c:pt>
                <c:pt idx="36">
                  <c:v>387.50434170651465</c:v>
                </c:pt>
                <c:pt idx="37">
                  <c:v>411.97397670838626</c:v>
                </c:pt>
                <c:pt idx="38">
                  <c:v>436.41225578619895</c:v>
                </c:pt>
                <c:pt idx="39">
                  <c:v>460.82118005626131</c:v>
                </c:pt>
                <c:pt idx="40">
                  <c:v>485.20252151676596</c:v>
                </c:pt>
                <c:pt idx="41">
                  <c:v>420.41972959273056</c:v>
                </c:pt>
                <c:pt idx="42">
                  <c:v>442.18421773144979</c:v>
                </c:pt>
                <c:pt idx="43">
                  <c:v>463.92575704181439</c:v>
                </c:pt>
                <c:pt idx="44">
                  <c:v>485.64557342314242</c:v>
                </c:pt>
                <c:pt idx="45">
                  <c:v>507.34477426054764</c:v>
                </c:pt>
                <c:pt idx="46">
                  <c:v>446.62308854196868</c:v>
                </c:pt>
                <c:pt idx="47">
                  <c:v>465.69960186105914</c:v>
                </c:pt>
                <c:pt idx="48">
                  <c:v>484.75946101874098</c:v>
                </c:pt>
                <c:pt idx="49">
                  <c:v>503.80341255966511</c:v>
                </c:pt>
                <c:pt idx="50">
                  <c:v>522.83214202266061</c:v>
                </c:pt>
                <c:pt idx="51">
                  <c:v>467.029890898953</c:v>
                </c:pt>
                <c:pt idx="52">
                  <c:v>484.31639192009385</c:v>
                </c:pt>
                <c:pt idx="53">
                  <c:v>501.58979428236398</c:v>
                </c:pt>
                <c:pt idx="54">
                  <c:v>518.85061233269846</c:v>
                </c:pt>
                <c:pt idx="55">
                  <c:v>536.09932342421223</c:v>
                </c:pt>
                <c:pt idx="56">
                  <c:v>486.9746776818447</c:v>
                </c:pt>
                <c:pt idx="57">
                  <c:v>502.03253444791261</c:v>
                </c:pt>
                <c:pt idx="58">
                  <c:v>517.0808370063063</c:v>
                </c:pt>
                <c:pt idx="59">
                  <c:v>532.11990246351104</c:v>
                </c:pt>
                <c:pt idx="60">
                  <c:v>547.15002854720262</c:v>
                </c:pt>
                <c:pt idx="61">
                  <c:v>502.91798999726478</c:v>
                </c:pt>
                <c:pt idx="62">
                  <c:v>516.19590143920129</c:v>
                </c:pt>
                <c:pt idx="63">
                  <c:v>529.46660755485061</c:v>
                </c:pt>
                <c:pt idx="64">
                  <c:v>542.73031433948165</c:v>
                </c:pt>
                <c:pt idx="65">
                  <c:v>555.98721690157777</c:v>
                </c:pt>
                <c:pt idx="66">
                  <c:v>516.63837322125164</c:v>
                </c:pt>
                <c:pt idx="67">
                  <c:v>528.13985522390874</c:v>
                </c:pt>
                <c:pt idx="68">
                  <c:v>539.63606502832988</c:v>
                </c:pt>
                <c:pt idx="69">
                  <c:v>551.12713076815714</c:v>
                </c:pt>
                <c:pt idx="70">
                  <c:v>562.61317479886077</c:v>
                </c:pt>
                <c:pt idx="71">
                  <c:v>1.7551237327173916E-12</c:v>
                </c:pt>
                <c:pt idx="72">
                  <c:v>1.7551237327173916E-12</c:v>
                </c:pt>
                <c:pt idx="73">
                  <c:v>1.7551237327173916E-12</c:v>
                </c:pt>
                <c:pt idx="74">
                  <c:v>1.7551237327173916E-12</c:v>
                </c:pt>
                <c:pt idx="75">
                  <c:v>1.7551237327173916E-12</c:v>
                </c:pt>
                <c:pt idx="76">
                  <c:v>1.7551237327173916E-12</c:v>
                </c:pt>
                <c:pt idx="77">
                  <c:v>1.7551237327173916E-12</c:v>
                </c:pt>
                <c:pt idx="78">
                  <c:v>1.7551237327173916E-12</c:v>
                </c:pt>
                <c:pt idx="79">
                  <c:v>1.7551237327173916E-12</c:v>
                </c:pt>
                <c:pt idx="80">
                  <c:v>1.7551237327173916E-12</c:v>
                </c:pt>
                <c:pt idx="81">
                  <c:v>1.7551237327173916E-12</c:v>
                </c:pt>
                <c:pt idx="82">
                  <c:v>1.7551237327173916E-12</c:v>
                </c:pt>
                <c:pt idx="83">
                  <c:v>1.7551237327173916E-12</c:v>
                </c:pt>
                <c:pt idx="84">
                  <c:v>1.7551237327173916E-12</c:v>
                </c:pt>
                <c:pt idx="85">
                  <c:v>1.7551237327173916E-12</c:v>
                </c:pt>
                <c:pt idx="86">
                  <c:v>1.7551237327173916E-12</c:v>
                </c:pt>
                <c:pt idx="87">
                  <c:v>1.7551237327173916E-12</c:v>
                </c:pt>
                <c:pt idx="88">
                  <c:v>1.7551237327173916E-12</c:v>
                </c:pt>
                <c:pt idx="89">
                  <c:v>1.7551237327173916E-12</c:v>
                </c:pt>
                <c:pt idx="90">
                  <c:v>1.7551237327173916E-12</c:v>
                </c:pt>
                <c:pt idx="91">
                  <c:v>1.7551237327173916E-12</c:v>
                </c:pt>
                <c:pt idx="92">
                  <c:v>1.7551237327173916E-12</c:v>
                </c:pt>
                <c:pt idx="93">
                  <c:v>1.7551237327173916E-12</c:v>
                </c:pt>
                <c:pt idx="94">
                  <c:v>1.7551237327173916E-12</c:v>
                </c:pt>
                <c:pt idx="95">
                  <c:v>1.7551237327173916E-12</c:v>
                </c:pt>
                <c:pt idx="96">
                  <c:v>1.7551237327173916E-12</c:v>
                </c:pt>
                <c:pt idx="97">
                  <c:v>1.7551237327173916E-12</c:v>
                </c:pt>
                <c:pt idx="98">
                  <c:v>1.7551237327173916E-12</c:v>
                </c:pt>
                <c:pt idx="99">
                  <c:v>1.7551237327173916E-12</c:v>
                </c:pt>
                <c:pt idx="100">
                  <c:v>1.7551237327173916E-12</c:v>
                </c:pt>
                <c:pt idx="101">
                  <c:v>1.7551237327173916E-12</c:v>
                </c:pt>
                <c:pt idx="102">
                  <c:v>1.7551237327173916E-12</c:v>
                </c:pt>
                <c:pt idx="103">
                  <c:v>1.7551237327173916E-12</c:v>
                </c:pt>
                <c:pt idx="104">
                  <c:v>1.7551237327173916E-12</c:v>
                </c:pt>
                <c:pt idx="105">
                  <c:v>1.7551237327173916E-12</c:v>
                </c:pt>
                <c:pt idx="106">
                  <c:v>1.7551237327173916E-12</c:v>
                </c:pt>
                <c:pt idx="107">
                  <c:v>1.7551237327173916E-12</c:v>
                </c:pt>
                <c:pt idx="108">
                  <c:v>1.7551237327173916E-12</c:v>
                </c:pt>
                <c:pt idx="109">
                  <c:v>1.7551237327173916E-12</c:v>
                </c:pt>
                <c:pt idx="110">
                  <c:v>1.7551237327173916E-12</c:v>
                </c:pt>
                <c:pt idx="111">
                  <c:v>1.7551237327173916E-12</c:v>
                </c:pt>
                <c:pt idx="112">
                  <c:v>1.7551237327173916E-12</c:v>
                </c:pt>
                <c:pt idx="113">
                  <c:v>1.7551237327173916E-12</c:v>
                </c:pt>
                <c:pt idx="114">
                  <c:v>1.7551237327173916E-12</c:v>
                </c:pt>
                <c:pt idx="115">
                  <c:v>1.7551237327173916E-12</c:v>
                </c:pt>
                <c:pt idx="116">
                  <c:v>1.7551237327173916E-12</c:v>
                </c:pt>
                <c:pt idx="117">
                  <c:v>1.7551237327173916E-12</c:v>
                </c:pt>
                <c:pt idx="118">
                  <c:v>1.7551237327173916E-12</c:v>
                </c:pt>
                <c:pt idx="119">
                  <c:v>1.7551237327173916E-12</c:v>
                </c:pt>
                <c:pt idx="120">
                  <c:v>1.7551237327173916E-12</c:v>
                </c:pt>
                <c:pt idx="121">
                  <c:v>1.7551237327173916E-12</c:v>
                </c:pt>
                <c:pt idx="122">
                  <c:v>1.7551237327173916E-12</c:v>
                </c:pt>
                <c:pt idx="123">
                  <c:v>1.7551237327173916E-12</c:v>
                </c:pt>
                <c:pt idx="124">
                  <c:v>1.7551237327173916E-12</c:v>
                </c:pt>
                <c:pt idx="125">
                  <c:v>1.7551237327173916E-12</c:v>
                </c:pt>
                <c:pt idx="126">
                  <c:v>1.7551237327173916E-12</c:v>
                </c:pt>
                <c:pt idx="127">
                  <c:v>1.7551237327173916E-12</c:v>
                </c:pt>
                <c:pt idx="128">
                  <c:v>1.7551237327173916E-12</c:v>
                </c:pt>
                <c:pt idx="129">
                  <c:v>1.7551237327173916E-12</c:v>
                </c:pt>
                <c:pt idx="130">
                  <c:v>1.7551237327173916E-12</c:v>
                </c:pt>
                <c:pt idx="131">
                  <c:v>1.7551237327173916E-12</c:v>
                </c:pt>
                <c:pt idx="132">
                  <c:v>1.7551237327173916E-12</c:v>
                </c:pt>
                <c:pt idx="133">
                  <c:v>1.7551237327173916E-12</c:v>
                </c:pt>
                <c:pt idx="134">
                  <c:v>1.7551237327173916E-12</c:v>
                </c:pt>
                <c:pt idx="135">
                  <c:v>1.7551237327173916E-12</c:v>
                </c:pt>
                <c:pt idx="136">
                  <c:v>1.7551237327173916E-12</c:v>
                </c:pt>
                <c:pt idx="137">
                  <c:v>1.7551237327173916E-12</c:v>
                </c:pt>
                <c:pt idx="138">
                  <c:v>1.7551237327173916E-12</c:v>
                </c:pt>
                <c:pt idx="139">
                  <c:v>1.7551237327173916E-12</c:v>
                </c:pt>
                <c:pt idx="140">
                  <c:v>1.7551237327173916E-12</c:v>
                </c:pt>
                <c:pt idx="141">
                  <c:v>1.7551237327173916E-12</c:v>
                </c:pt>
                <c:pt idx="142">
                  <c:v>1.7551237327173916E-12</c:v>
                </c:pt>
                <c:pt idx="143">
                  <c:v>1.7551237327173916E-12</c:v>
                </c:pt>
                <c:pt idx="144">
                  <c:v>1.7551237327173916E-12</c:v>
                </c:pt>
                <c:pt idx="145">
                  <c:v>1.7551237327173916E-12</c:v>
                </c:pt>
                <c:pt idx="146">
                  <c:v>1.7551237327173916E-12</c:v>
                </c:pt>
                <c:pt idx="147">
                  <c:v>1.7551237327173916E-12</c:v>
                </c:pt>
                <c:pt idx="148">
                  <c:v>1.7551237327173916E-12</c:v>
                </c:pt>
                <c:pt idx="149">
                  <c:v>1.7551237327173916E-12</c:v>
                </c:pt>
                <c:pt idx="150">
                  <c:v>1.7551237327173916E-12</c:v>
                </c:pt>
                <c:pt idx="151">
                  <c:v>1.7551237327173916E-12</c:v>
                </c:pt>
                <c:pt idx="152">
                  <c:v>1.7551237327173916E-12</c:v>
                </c:pt>
                <c:pt idx="153">
                  <c:v>1.7551237327173916E-12</c:v>
                </c:pt>
                <c:pt idx="154">
                  <c:v>1.7551237327173916E-12</c:v>
                </c:pt>
                <c:pt idx="155">
                  <c:v>1.7551237327173916E-12</c:v>
                </c:pt>
                <c:pt idx="156">
                  <c:v>1.7551237327173916E-12</c:v>
                </c:pt>
                <c:pt idx="157">
                  <c:v>1.7551237327173916E-12</c:v>
                </c:pt>
                <c:pt idx="158">
                  <c:v>1.7551237327173916E-12</c:v>
                </c:pt>
                <c:pt idx="159">
                  <c:v>1.7551237327173916E-12</c:v>
                </c:pt>
                <c:pt idx="160">
                  <c:v>1.7551237327173916E-12</c:v>
                </c:pt>
                <c:pt idx="161">
                  <c:v>1.7551237327173916E-12</c:v>
                </c:pt>
                <c:pt idx="162">
                  <c:v>1.7551237327173916E-12</c:v>
                </c:pt>
                <c:pt idx="163">
                  <c:v>1.7551237327173916E-12</c:v>
                </c:pt>
                <c:pt idx="164">
                  <c:v>1.7551237327173916E-12</c:v>
                </c:pt>
                <c:pt idx="165">
                  <c:v>1.7551237327173916E-12</c:v>
                </c:pt>
                <c:pt idx="166">
                  <c:v>1.7551237327173916E-12</c:v>
                </c:pt>
                <c:pt idx="167">
                  <c:v>1.7551237327173916E-12</c:v>
                </c:pt>
                <c:pt idx="168">
                  <c:v>1.7551237327173916E-12</c:v>
                </c:pt>
                <c:pt idx="169">
                  <c:v>1.7551237327173916E-12</c:v>
                </c:pt>
                <c:pt idx="170">
                  <c:v>1.7551237327173916E-12</c:v>
                </c:pt>
                <c:pt idx="171">
                  <c:v>1.7551237327173916E-12</c:v>
                </c:pt>
                <c:pt idx="172">
                  <c:v>1.7551237327173916E-12</c:v>
                </c:pt>
                <c:pt idx="173">
                  <c:v>1.7551237327173916E-12</c:v>
                </c:pt>
                <c:pt idx="174">
                  <c:v>1.7551237327173916E-12</c:v>
                </c:pt>
                <c:pt idx="175">
                  <c:v>1.7551237327173916E-12</c:v>
                </c:pt>
                <c:pt idx="176">
                  <c:v>1.7551237327173916E-12</c:v>
                </c:pt>
                <c:pt idx="177">
                  <c:v>1.7551237327173916E-12</c:v>
                </c:pt>
                <c:pt idx="178">
                  <c:v>1.7551237327173916E-12</c:v>
                </c:pt>
                <c:pt idx="179">
                  <c:v>1.7551237327173916E-12</c:v>
                </c:pt>
                <c:pt idx="180">
                  <c:v>1.7551237327173916E-12</c:v>
                </c:pt>
                <c:pt idx="181">
                  <c:v>1.7551237327173916E-12</c:v>
                </c:pt>
                <c:pt idx="182">
                  <c:v>1.7551237327173916E-12</c:v>
                </c:pt>
                <c:pt idx="183">
                  <c:v>1.7551237327173916E-12</c:v>
                </c:pt>
                <c:pt idx="184">
                  <c:v>1.7551237327173916E-12</c:v>
                </c:pt>
                <c:pt idx="185">
                  <c:v>1.7551237327173916E-12</c:v>
                </c:pt>
                <c:pt idx="186">
                  <c:v>1.7551237327173916E-12</c:v>
                </c:pt>
                <c:pt idx="187">
                  <c:v>1.7551237327173916E-12</c:v>
                </c:pt>
                <c:pt idx="188">
                  <c:v>1.7551237327173916E-12</c:v>
                </c:pt>
                <c:pt idx="189">
                  <c:v>1.7551237327173916E-12</c:v>
                </c:pt>
                <c:pt idx="190">
                  <c:v>1.7551237327173916E-12</c:v>
                </c:pt>
                <c:pt idx="191">
                  <c:v>1.7551237327173916E-12</c:v>
                </c:pt>
                <c:pt idx="192">
                  <c:v>1.7551237327173916E-12</c:v>
                </c:pt>
                <c:pt idx="193">
                  <c:v>1.7551237327173916E-12</c:v>
                </c:pt>
                <c:pt idx="194">
                  <c:v>1.7551237327173916E-12</c:v>
                </c:pt>
                <c:pt idx="195">
                  <c:v>1.7551237327173916E-12</c:v>
                </c:pt>
                <c:pt idx="196">
                  <c:v>1.7551237327173916E-12</c:v>
                </c:pt>
                <c:pt idx="197">
                  <c:v>1.7551237327173916E-12</c:v>
                </c:pt>
                <c:pt idx="198">
                  <c:v>1.7551237327173916E-12</c:v>
                </c:pt>
                <c:pt idx="199">
                  <c:v>1.7551237327173916E-12</c:v>
                </c:pt>
                <c:pt idx="200">
                  <c:v>1.7551237327173916E-12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1.8384859337570063</c:v>
                </c:pt>
                <c:pt idx="2">
                  <c:v>2.179328435244706</c:v>
                </c:pt>
                <c:pt idx="3">
                  <c:v>2.5835983685839596</c:v>
                </c:pt>
                <c:pt idx="4">
                  <c:v>3.0631408068451407</c:v>
                </c:pt>
                <c:pt idx="5">
                  <c:v>3.6320202351102231</c:v>
                </c:pt>
                <c:pt idx="6">
                  <c:v>4.3069376861440878</c:v>
                </c:pt>
                <c:pt idx="7">
                  <c:v>5.1077265000259793</c:v>
                </c:pt>
                <c:pt idx="8">
                  <c:v>6.0579415660975471</c:v>
                </c:pt>
                <c:pt idx="9">
                  <c:v>7.1855597202545356</c:v>
                </c:pt>
                <c:pt idx="10">
                  <c:v>8.5238123196371749</c:v>
                </c:pt>
                <c:pt idx="11">
                  <c:v>10.112175001806468</c:v>
                </c:pt>
                <c:pt idx="12">
                  <c:v>11.997544377547372</c:v>
                </c:pt>
                <c:pt idx="13">
                  <c:v>14.235637049599092</c:v>
                </c:pt>
                <c:pt idx="14">
                  <c:v>16.892653065433223</c:v>
                </c:pt>
                <c:pt idx="15">
                  <c:v>20.047253904954317</c:v>
                </c:pt>
                <c:pt idx="16">
                  <c:v>23.79291461692257</c:v>
                </c:pt>
                <c:pt idx="17">
                  <c:v>28.240721040642256</c:v>
                </c:pt>
                <c:pt idx="18">
                  <c:v>33.522696526948565</c:v>
                </c:pt>
                <c:pt idx="19">
                  <c:v>39.79575861552572</c:v>
                </c:pt>
                <c:pt idx="20">
                  <c:v>47.246425223300974</c:v>
                </c:pt>
                <c:pt idx="21">
                  <c:v>56.096412633700432</c:v>
                </c:pt>
                <c:pt idx="22">
                  <c:v>66.60929464284159</c:v>
                </c:pt>
                <c:pt idx="23">
                  <c:v>79.098424442762266</c:v>
                </c:pt>
                <c:pt idx="24">
                  <c:v>93.936359187985758</c:v>
                </c:pt>
                <c:pt idx="25">
                  <c:v>111.56607287269634</c:v>
                </c:pt>
                <c:pt idx="26">
                  <c:v>132.51429753832994</c:v>
                </c:pt>
                <c:pt idx="27">
                  <c:v>157.40739759934175</c:v>
                </c:pt>
                <c:pt idx="28">
                  <c:v>150.47080067026766</c:v>
                </c:pt>
                <c:pt idx="29">
                  <c:v>163.03802518757752</c:v>
                </c:pt>
                <c:pt idx="30">
                  <c:v>175.5823424815143</c:v>
                </c:pt>
                <c:pt idx="31">
                  <c:v>171.69161142115624</c:v>
                </c:pt>
                <c:pt idx="32">
                  <c:v>184.65292865116098</c:v>
                </c:pt>
                <c:pt idx="33">
                  <c:v>197.5929938437981</c:v>
                </c:pt>
                <c:pt idx="34">
                  <c:v>210.51339559418258</c:v>
                </c:pt>
                <c:pt idx="35">
                  <c:v>223.41551137926174</c:v>
                </c:pt>
                <c:pt idx="36">
                  <c:v>209.7386999787991</c:v>
                </c:pt>
                <c:pt idx="37">
                  <c:v>225.7360456637642</c:v>
                </c:pt>
                <c:pt idx="38">
                  <c:v>241.70742778160744</c:v>
                </c:pt>
                <c:pt idx="39">
                  <c:v>257.6548036297558</c:v>
                </c:pt>
                <c:pt idx="40">
                  <c:v>273.57986831240419</c:v>
                </c:pt>
                <c:pt idx="41">
                  <c:v>248.01198278213079</c:v>
                </c:pt>
                <c:pt idx="42">
                  <c:v>266.13372633265288</c:v>
                </c:pt>
                <c:pt idx="43">
                  <c:v>284.22766637577377</c:v>
                </c:pt>
                <c:pt idx="44">
                  <c:v>302.29582160730934</c:v>
                </c:pt>
                <c:pt idx="45">
                  <c:v>320.33994968118049</c:v>
                </c:pt>
                <c:pt idx="46">
                  <c:v>338.36159407720407</c:v>
                </c:pt>
                <c:pt idx="47">
                  <c:v>356.36212045462412</c:v>
                </c:pt>
                <c:pt idx="48">
                  <c:v>374.34274527279507</c:v>
                </c:pt>
                <c:pt idx="49">
                  <c:v>392.30455862375675</c:v>
                </c:pt>
                <c:pt idx="50">
                  <c:v>410.24854266397256</c:v>
                </c:pt>
                <c:pt idx="51">
                  <c:v>329.54521097109392</c:v>
                </c:pt>
                <c:pt idx="52">
                  <c:v>349.59836202746766</c:v>
                </c:pt>
                <c:pt idx="53">
                  <c:v>369.6262881295645</c:v>
                </c:pt>
                <c:pt idx="54">
                  <c:v>389.63054763275704</c:v>
                </c:pt>
                <c:pt idx="55">
                  <c:v>409.61252588018669</c:v>
                </c:pt>
                <c:pt idx="56">
                  <c:v>429.57346208757514</c:v>
                </c:pt>
                <c:pt idx="57">
                  <c:v>449.51447097001227</c:v>
                </c:pt>
                <c:pt idx="58">
                  <c:v>469.43656033129997</c:v>
                </c:pt>
                <c:pt idx="59">
                  <c:v>489.34064551231751</c:v>
                </c:pt>
                <c:pt idx="60">
                  <c:v>509.22756136675412</c:v>
                </c:pt>
                <c:pt idx="61">
                  <c:v>415.71741193017186</c:v>
                </c:pt>
                <c:pt idx="62">
                  <c:v>433.89355138573887</c:v>
                </c:pt>
                <c:pt idx="63">
                  <c:v>452.05334833358802</c:v>
                </c:pt>
                <c:pt idx="64">
                  <c:v>470.19755134133334</c:v>
                </c:pt>
                <c:pt idx="65">
                  <c:v>488.32684652200686</c:v>
                </c:pt>
                <c:pt idx="66">
                  <c:v>506.44186491750776</c:v>
                </c:pt>
                <c:pt idx="67">
                  <c:v>524.54318877098581</c:v>
                </c:pt>
                <c:pt idx="68">
                  <c:v>542.63135688868078</c:v>
                </c:pt>
                <c:pt idx="69">
                  <c:v>560.70686924994277</c:v>
                </c:pt>
                <c:pt idx="70">
                  <c:v>578.77019099216204</c:v>
                </c:pt>
                <c:pt idx="71">
                  <c:v>491.49482053067413</c:v>
                </c:pt>
                <c:pt idx="72">
                  <c:v>502.89596414017234</c:v>
                </c:pt>
                <c:pt idx="73">
                  <c:v>514.29164038230522</c:v>
                </c:pt>
                <c:pt idx="74">
                  <c:v>525.68198747118436</c:v>
                </c:pt>
                <c:pt idx="75">
                  <c:v>537.06713714333159</c:v>
                </c:pt>
                <c:pt idx="76">
                  <c:v>548.447215095052</c:v>
                </c:pt>
                <c:pt idx="77">
                  <c:v>559.82234138161891</c:v>
                </c:pt>
                <c:pt idx="78">
                  <c:v>571.19263078233746</c:v>
                </c:pt>
                <c:pt idx="79">
                  <c:v>582.55819313503196</c:v>
                </c:pt>
                <c:pt idx="80">
                  <c:v>593.91913364308118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1.4289918879799741</c:v>
                </c:pt>
                <c:pt idx="2">
                  <c:v>1.66647930895982</c:v>
                </c:pt>
                <c:pt idx="3">
                  <c:v>1.9435833075898705</c:v>
                </c:pt>
                <c:pt idx="4">
                  <c:v>2.2669359627976253</c:v>
                </c:pt>
                <c:pt idx="5">
                  <c:v>2.6442833000494042</c:v>
                </c:pt>
                <c:pt idx="6">
                  <c:v>3.0846729736617822</c:v>
                </c:pt>
                <c:pt idx="7">
                  <c:v>3.5986736614278314</c:v>
                </c:pt>
                <c:pt idx="8">
                  <c:v>4.198631544103324</c:v>
                </c:pt>
                <c:pt idx="9">
                  <c:v>4.898970154694914</c:v>
                </c:pt>
                <c:pt idx="10">
                  <c:v>5.7165409501803053</c:v>
                </c:pt>
                <c:pt idx="11">
                  <c:v>6.6710332077532799</c:v>
                </c:pt>
                <c:pt idx="12">
                  <c:v>7.7854533099328007</c:v>
                </c:pt>
                <c:pt idx="13">
                  <c:v>9.0866851942130022</c:v>
                </c:pt>
                <c:pt idx="14">
                  <c:v>10.606145745873619</c:v>
                </c:pt>
                <c:pt idx="15">
                  <c:v>12.380551256901116</c:v>
                </c:pt>
                <c:pt idx="16">
                  <c:v>14.452813817985463</c:v>
                </c:pt>
                <c:pt idx="17">
                  <c:v>16.873089722523879</c:v>
                </c:pt>
                <c:pt idx="18">
                  <c:v>19.700005721428607</c:v>
                </c:pt>
                <c:pt idx="19">
                  <c:v>23.002093368929142</c:v>
                </c:pt>
                <c:pt idx="20">
                  <c:v>26.859466852135053</c:v>
                </c:pt>
                <c:pt idx="21">
                  <c:v>31.365785729309867</c:v>
                </c:pt>
                <c:pt idx="22">
                  <c:v>36.630551064018576</c:v>
                </c:pt>
                <c:pt idx="23">
                  <c:v>42.781791710729742</c:v>
                </c:pt>
                <c:pt idx="24">
                  <c:v>49.96920718844018</c:v>
                </c:pt>
                <c:pt idx="25">
                  <c:v>58.367844914162397</c:v>
                </c:pt>
                <c:pt idx="26">
                  <c:v>68.182402840814532</c:v>
                </c:pt>
                <c:pt idx="27">
                  <c:v>79.652264085853858</c:v>
                </c:pt>
                <c:pt idx="28">
                  <c:v>93.057388336431828</c:v>
                </c:pt>
                <c:pt idx="29">
                  <c:v>108.72520612907914</c:v>
                </c:pt>
                <c:pt idx="30">
                  <c:v>127.03868706017148</c:v>
                </c:pt>
                <c:pt idx="31">
                  <c:v>138.78554676063962</c:v>
                </c:pt>
                <c:pt idx="32">
                  <c:v>150.5085198437738</c:v>
                </c:pt>
                <c:pt idx="33">
                  <c:v>162.20973079985336</c:v>
                </c:pt>
                <c:pt idx="34">
                  <c:v>173.89097206104813</c:v>
                </c:pt>
                <c:pt idx="35">
                  <c:v>185.55377522215952</c:v>
                </c:pt>
                <c:pt idx="36">
                  <c:v>197.19946337106239</c:v>
                </c:pt>
                <c:pt idx="37">
                  <c:v>208.829190382782</c:v>
                </c:pt>
                <c:pt idx="38">
                  <c:v>220.44397098530533</c:v>
                </c:pt>
                <c:pt idx="39">
                  <c:v>232.04470414666483</c:v>
                </c:pt>
                <c:pt idx="40">
                  <c:v>243.63219153359822</c:v>
                </c:pt>
                <c:pt idx="41">
                  <c:v>257.81328839290114</c:v>
                </c:pt>
                <c:pt idx="42">
                  <c:v>271.97675460337706</c:v>
                </c:pt>
                <c:pt idx="43">
                  <c:v>286.12363777456983</c:v>
                </c:pt>
                <c:pt idx="44">
                  <c:v>300.25487342735687</c:v>
                </c:pt>
                <c:pt idx="45">
                  <c:v>314.37130180978181</c:v>
                </c:pt>
                <c:pt idx="46">
                  <c:v>328.47368153261738</c:v>
                </c:pt>
                <c:pt idx="47">
                  <c:v>342.56270073961565</c:v>
                </c:pt>
                <c:pt idx="48">
                  <c:v>356.63898634329399</c:v>
                </c:pt>
                <c:pt idx="49">
                  <c:v>370.7031117259408</c:v>
                </c:pt>
                <c:pt idx="50">
                  <c:v>384.75560321061965</c:v>
                </c:pt>
                <c:pt idx="51">
                  <c:v>398.79694553728058</c:v>
                </c:pt>
                <c:pt idx="52">
                  <c:v>241.61789541835142</c:v>
                </c:pt>
                <c:pt idx="53">
                  <c:v>255.7101375325459</c:v>
                </c:pt>
                <c:pt idx="54">
                  <c:v>268.27761873820668</c:v>
                </c:pt>
                <c:pt idx="55">
                  <c:v>280.83184541341677</c:v>
                </c:pt>
                <c:pt idx="56">
                  <c:v>293.37349377346681</c:v>
                </c:pt>
                <c:pt idx="57">
                  <c:v>305.9031774721231</c:v>
                </c:pt>
                <c:pt idx="58">
                  <c:v>318.4214557697631</c:v>
                </c:pt>
                <c:pt idx="59">
                  <c:v>330.92884034916176</c:v>
                </c:pt>
                <c:pt idx="60">
                  <c:v>343.42580104652279</c:v>
                </c:pt>
                <c:pt idx="61">
                  <c:v>355.91277070439475</c:v>
                </c:pt>
                <c:pt idx="62">
                  <c:v>267.77517870928608</c:v>
                </c:pt>
                <c:pt idx="63">
                  <c:v>279.64544880634361</c:v>
                </c:pt>
                <c:pt idx="64">
                  <c:v>291.50442121510713</c:v>
                </c:pt>
                <c:pt idx="65">
                  <c:v>303.35262050359501</c:v>
                </c:pt>
                <c:pt idx="66">
                  <c:v>315.19052689900604</c:v>
                </c:pt>
                <c:pt idx="67">
                  <c:v>327.01858159599476</c:v>
                </c:pt>
                <c:pt idx="68">
                  <c:v>338.83719125642892</c:v>
                </c:pt>
                <c:pt idx="69">
                  <c:v>350.64673184825944</c:v>
                </c:pt>
                <c:pt idx="70">
                  <c:v>362.44755194001556</c:v>
                </c:pt>
                <c:pt idx="71">
                  <c:v>374.23997554369424</c:v>
                </c:pt>
                <c:pt idx="72">
                  <c:v>386.02430458052072</c:v>
                </c:pt>
                <c:pt idx="73">
                  <c:v>397.8008210298305</c:v>
                </c:pt>
                <c:pt idx="74">
                  <c:v>306.90505238979586</c:v>
                </c:pt>
                <c:pt idx="75">
                  <c:v>317.9209370595301</c:v>
                </c:pt>
                <c:pt idx="76">
                  <c:v>328.9283710442341</c:v>
                </c:pt>
                <c:pt idx="77">
                  <c:v>339.92767712366299</c:v>
                </c:pt>
                <c:pt idx="78">
                  <c:v>350.91915547472723</c:v>
                </c:pt>
                <c:pt idx="79">
                  <c:v>361.90308592785345</c:v>
                </c:pt>
                <c:pt idx="80">
                  <c:v>372.87972993501239</c:v>
                </c:pt>
                <c:pt idx="81">
                  <c:v>383.8493322938412</c:v>
                </c:pt>
                <c:pt idx="82">
                  <c:v>394.81212266433687</c:v>
                </c:pt>
                <c:pt idx="83">
                  <c:v>405.76831690826111</c:v>
                </c:pt>
                <c:pt idx="84">
                  <c:v>416.71811827630808</c:v>
                </c:pt>
                <c:pt idx="85">
                  <c:v>427.66171846396452</c:v>
                </c:pt>
                <c:pt idx="86">
                  <c:v>343.92546889640693</c:v>
                </c:pt>
                <c:pt idx="87">
                  <c:v>353.91551010384416</c:v>
                </c:pt>
                <c:pt idx="88">
                  <c:v>363.8993739653975</c:v>
                </c:pt>
                <c:pt idx="89">
                  <c:v>373.8772539350478</c:v>
                </c:pt>
                <c:pt idx="90">
                  <c:v>383.8493322938412</c:v>
                </c:pt>
                <c:pt idx="91">
                  <c:v>393.81578107494539</c:v>
                </c:pt>
                <c:pt idx="92">
                  <c:v>403.77676289014636</c:v>
                </c:pt>
                <c:pt idx="93">
                  <c:v>413.73243167051146</c:v>
                </c:pt>
                <c:pt idx="94">
                  <c:v>423.68293333202672</c:v>
                </c:pt>
                <c:pt idx="95">
                  <c:v>433.62840637542746</c:v>
                </c:pt>
                <c:pt idx="96">
                  <c:v>443.56898242812048</c:v>
                </c:pt>
                <c:pt idx="97">
                  <c:v>453.50478673498719</c:v>
                </c:pt>
                <c:pt idx="98">
                  <c:v>373.8772539350478</c:v>
                </c:pt>
                <c:pt idx="99">
                  <c:v>382.85238055108925</c:v>
                </c:pt>
                <c:pt idx="100">
                  <c:v>391.82293375011415</c:v>
                </c:pt>
                <c:pt idx="101">
                  <c:v>400.7890330574744</c:v>
                </c:pt>
                <c:pt idx="102">
                  <c:v>409.75079221165805</c:v>
                </c:pt>
                <c:pt idx="103">
                  <c:v>418.70831956765005</c:v>
                </c:pt>
                <c:pt idx="104">
                  <c:v>427.66171846396452</c:v>
                </c:pt>
                <c:pt idx="105">
                  <c:v>436.61108755732954</c:v>
                </c:pt>
                <c:pt idx="106">
                  <c:v>445.55652112849543</c:v>
                </c:pt>
                <c:pt idx="107">
                  <c:v>454.49810936219592</c:v>
                </c:pt>
                <c:pt idx="108">
                  <c:v>463.4359386039273</c:v>
                </c:pt>
                <c:pt idx="109">
                  <c:v>472.37009159588212</c:v>
                </c:pt>
                <c:pt idx="110">
                  <c:v>390.82642769673765</c:v>
                </c:pt>
                <c:pt idx="111">
                  <c:v>398.79694553728058</c:v>
                </c:pt>
                <c:pt idx="112">
                  <c:v>406.76401460432777</c:v>
                </c:pt>
                <c:pt idx="113">
                  <c:v>414.7277120155029</c:v>
                </c:pt>
                <c:pt idx="114">
                  <c:v>422.68811168338453</c:v>
                </c:pt>
                <c:pt idx="115">
                  <c:v>430.64528450788202</c:v>
                </c:pt>
                <c:pt idx="116">
                  <c:v>438.59929855364589</c:v>
                </c:pt>
                <c:pt idx="117">
                  <c:v>446.55021921393427</c:v>
                </c:pt>
                <c:pt idx="118">
                  <c:v>454.49810936219592</c:v>
                </c:pt>
                <c:pt idx="119">
                  <c:v>462.44302949249544</c:v>
                </c:pt>
                <c:pt idx="120">
                  <c:v>470.3850378497819</c:v>
                </c:pt>
                <c:pt idx="121">
                  <c:v>478.3241905508998</c:v>
                </c:pt>
                <c:pt idx="122">
                  <c:v>254.70414456356741</c:v>
                </c:pt>
                <c:pt idx="123">
                  <c:v>259.95668058861685</c:v>
                </c:pt>
                <c:pt idx="124">
                  <c:v>265.20681915317715</c:v>
                </c:pt>
                <c:pt idx="125">
                  <c:v>270.45461449361824</c:v>
                </c:pt>
                <c:pt idx="126">
                  <c:v>275.70011856637711</c:v>
                </c:pt>
                <c:pt idx="127">
                  <c:v>280.94338118634357</c:v>
                </c:pt>
                <c:pt idx="128">
                  <c:v>286.18445015436322</c:v>
                </c:pt>
                <c:pt idx="129">
                  <c:v>291.42337137490046</c:v>
                </c:pt>
                <c:pt idx="130">
                  <c:v>296.66018896478818</c:v>
                </c:pt>
                <c:pt idx="131">
                  <c:v>301.894945353889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3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3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3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3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3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3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3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3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3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3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3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3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3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3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3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3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3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8" zoomScale="90" zoomScaleNormal="90" workbookViewId="0">
      <selection activeCell="F20" sqref="F20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5" t="s">
        <v>231</v>
      </c>
      <c r="B5" s="305"/>
      <c r="C5" s="26">
        <v>16.28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40</v>
      </c>
      <c r="C9" s="35">
        <v>0.14000000000000001</v>
      </c>
      <c r="D9" s="36">
        <f t="shared" ref="D9:D18" si="0">C9*$C$5</f>
        <v>2.2792000000000003</v>
      </c>
      <c r="E9" s="37">
        <v>100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14</v>
      </c>
      <c r="C10" s="35">
        <v>0.15</v>
      </c>
      <c r="D10" s="36">
        <f t="shared" si="0"/>
        <v>2.4420000000000002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36</v>
      </c>
      <c r="C11" s="35">
        <v>0.19</v>
      </c>
      <c r="D11" s="36">
        <f t="shared" si="0"/>
        <v>3.0932000000000004</v>
      </c>
      <c r="E11" s="37">
        <v>30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38</v>
      </c>
      <c r="C12" s="35">
        <v>7.3999999999999996E-2</v>
      </c>
      <c r="D12" s="36">
        <f t="shared" si="0"/>
        <v>1.20472</v>
      </c>
      <c r="E12" s="37">
        <v>100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16</v>
      </c>
      <c r="C13" s="35">
        <v>5.3999999999999999E-2</v>
      </c>
      <c r="D13" s="36">
        <f t="shared" si="0"/>
        <v>0.87912000000000001</v>
      </c>
      <c r="E13" s="37">
        <v>120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12</v>
      </c>
      <c r="C14" s="35">
        <v>5.1999999999999998E-2</v>
      </c>
      <c r="D14" s="36">
        <f t="shared" si="0"/>
        <v>0.84655999999999998</v>
      </c>
      <c r="E14" s="37">
        <v>115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9</v>
      </c>
      <c r="C15" s="35">
        <v>0.05</v>
      </c>
      <c r="D15" s="36">
        <f t="shared" si="0"/>
        <v>0.81400000000000006</v>
      </c>
      <c r="E15" s="37">
        <v>70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 t="s">
        <v>35</v>
      </c>
      <c r="C16" s="35">
        <v>0.05</v>
      </c>
      <c r="D16" s="36">
        <f t="shared" si="0"/>
        <v>0.81400000000000006</v>
      </c>
      <c r="E16" s="37">
        <v>80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 t="s">
        <v>164</v>
      </c>
      <c r="C17" s="35">
        <v>0.1</v>
      </c>
      <c r="D17" s="36">
        <f t="shared" si="0"/>
        <v>1.6280000000000001</v>
      </c>
      <c r="E17" s="37">
        <v>131</v>
      </c>
      <c r="F17" s="38" t="str">
        <f t="array" ref="F17">IF(E17="","",IF(INDEX(A:A,MAX(IF(ISNUMBER($A$244:$A$263),ROW($A$244:$A$263),"")))&lt;&gt;E17,"Corrigez : révolution incorrecte","OK"))</f>
        <v>OK</v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 t="s">
        <v>13</v>
      </c>
      <c r="C18" s="35">
        <v>0.14000000000000001</v>
      </c>
      <c r="D18" s="36">
        <f t="shared" si="0"/>
        <v>2.2792000000000003</v>
      </c>
      <c r="E18" s="37">
        <v>90</v>
      </c>
      <c r="F18" s="38" t="str">
        <f t="array" ref="F18">IF(E18="","",IF(INDEX(A:A,MAX(IF(ISNUMBER($A$270:$A$289),ROW($A$270:$A$289),"")))&lt;&gt;E18,"Corrigez : révolution incorrecte","OK"))</f>
        <v>OK</v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1.0000000000000002</v>
      </c>
      <c r="D19" s="41">
        <f>SUM(D9:D18)</f>
        <v>16.28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de Salzmann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59</v>
      </c>
      <c r="C36" s="63">
        <v>1</v>
      </c>
      <c r="D36" s="63">
        <v>3</v>
      </c>
      <c r="E36" s="54"/>
      <c r="F36" s="54"/>
      <c r="G36" s="54">
        <v>1</v>
      </c>
      <c r="H36" s="54"/>
      <c r="I36" s="52">
        <f>IFERROR(B36/A36,"")</f>
        <v>2.95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30</v>
      </c>
      <c r="B37" s="63">
        <v>156</v>
      </c>
      <c r="C37" s="63">
        <v>2</v>
      </c>
      <c r="D37" s="63">
        <v>12</v>
      </c>
      <c r="E37" s="54"/>
      <c r="F37" s="54"/>
      <c r="G37" s="54">
        <v>1</v>
      </c>
      <c r="H37" s="54"/>
      <c r="I37" s="56">
        <f t="shared" ref="I37:I55" si="1">IF(A37&lt;&gt;0,(B37-(B36-D36))/(A37-A36),"")</f>
        <v>10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40</v>
      </c>
      <c r="B38" s="63">
        <v>247</v>
      </c>
      <c r="C38" s="63">
        <v>3</v>
      </c>
      <c r="D38" s="63">
        <v>21</v>
      </c>
      <c r="E38" s="54"/>
      <c r="F38" s="54"/>
      <c r="G38" s="54"/>
      <c r="H38" s="54"/>
      <c r="I38" s="56">
        <f t="shared" si="1"/>
        <v>10.3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50</v>
      </c>
      <c r="B39" s="63">
        <v>321</v>
      </c>
      <c r="C39" s="63">
        <v>4</v>
      </c>
      <c r="D39" s="63">
        <v>25</v>
      </c>
      <c r="E39" s="54"/>
      <c r="F39" s="54"/>
      <c r="G39" s="54"/>
      <c r="H39" s="54"/>
      <c r="I39" s="52">
        <f t="shared" si="1"/>
        <v>9.5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60</v>
      </c>
      <c r="B40" s="63">
        <v>379</v>
      </c>
      <c r="C40" s="63">
        <v>5</v>
      </c>
      <c r="D40" s="63">
        <v>27</v>
      </c>
      <c r="E40" s="54"/>
      <c r="F40" s="54"/>
      <c r="G40" s="54"/>
      <c r="H40" s="54"/>
      <c r="I40" s="52">
        <f t="shared" si="1"/>
        <v>8.3000000000000007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70</v>
      </c>
      <c r="B41" s="63">
        <v>422</v>
      </c>
      <c r="C41" s="63">
        <v>6</v>
      </c>
      <c r="D41" s="63">
        <v>26</v>
      </c>
      <c r="E41" s="54"/>
      <c r="F41" s="54"/>
      <c r="G41" s="54"/>
      <c r="H41" s="54"/>
      <c r="I41" s="56">
        <f t="shared" si="1"/>
        <v>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80</v>
      </c>
      <c r="B42" s="63">
        <v>456</v>
      </c>
      <c r="C42" s="63">
        <v>7</v>
      </c>
      <c r="D42" s="63">
        <v>24</v>
      </c>
      <c r="E42" s="54"/>
      <c r="F42" s="54"/>
      <c r="G42" s="54"/>
      <c r="H42" s="54"/>
      <c r="I42" s="56">
        <f t="shared" si="1"/>
        <v>6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90</v>
      </c>
      <c r="B43" s="63">
        <v>486</v>
      </c>
      <c r="C43" s="63">
        <v>8</v>
      </c>
      <c r="D43" s="63">
        <v>24</v>
      </c>
      <c r="E43" s="54"/>
      <c r="F43" s="54"/>
      <c r="G43" s="54"/>
      <c r="H43" s="54"/>
      <c r="I43" s="52">
        <f t="shared" si="1"/>
        <v>5.4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100</v>
      </c>
      <c r="B44" s="63">
        <v>515</v>
      </c>
      <c r="C44" s="63">
        <v>9</v>
      </c>
      <c r="D44" s="63">
        <v>515</v>
      </c>
      <c r="E44" s="54"/>
      <c r="F44" s="54"/>
      <c r="G44" s="54"/>
      <c r="H44" s="54"/>
      <c r="I44" s="52">
        <f t="shared" si="1"/>
        <v>5.3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sessile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25</v>
      </c>
      <c r="B62" s="63">
        <v>71</v>
      </c>
      <c r="C62" s="63">
        <v>1</v>
      </c>
      <c r="D62" s="63">
        <v>8</v>
      </c>
      <c r="E62" s="54"/>
      <c r="F62" s="54"/>
      <c r="G62" s="54"/>
      <c r="H62" s="54">
        <v>1</v>
      </c>
      <c r="I62" s="56">
        <f>IFERROR(B62/A62,"")</f>
        <v>2.84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30</v>
      </c>
      <c r="B63" s="63">
        <v>98</v>
      </c>
      <c r="C63" s="63">
        <v>2</v>
      </c>
      <c r="D63" s="63">
        <v>21</v>
      </c>
      <c r="E63" s="54"/>
      <c r="F63" s="54"/>
      <c r="G63" s="54"/>
      <c r="H63" s="54">
        <v>1</v>
      </c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35</v>
      </c>
      <c r="B64" s="63">
        <v>116</v>
      </c>
      <c r="C64" s="63">
        <v>3</v>
      </c>
      <c r="D64" s="63">
        <v>21</v>
      </c>
      <c r="E64" s="54"/>
      <c r="F64" s="54"/>
      <c r="G64" s="54"/>
      <c r="H64" s="54"/>
      <c r="I64" s="52">
        <f>IF(A64&lt;&gt;0,(B64-(B63-D63))/(A64-A63),"")</f>
        <v>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40</v>
      </c>
      <c r="B65" s="63">
        <v>137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45</v>
      </c>
      <c r="B66" s="63">
        <v>158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50</v>
      </c>
      <c r="B67" s="63">
        <v>179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55</v>
      </c>
      <c r="B68" s="63">
        <v>198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60</v>
      </c>
      <c r="B69" s="53">
        <v>214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7.4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65</v>
      </c>
      <c r="B70" s="53">
        <v>229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7.2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70</v>
      </c>
      <c r="B71" s="53">
        <v>242</v>
      </c>
      <c r="C71" s="53">
        <v>10</v>
      </c>
      <c r="D71" s="53">
        <v>21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75</v>
      </c>
      <c r="B72" s="53">
        <v>253</v>
      </c>
      <c r="C72" s="53">
        <v>11</v>
      </c>
      <c r="D72" s="53">
        <v>21</v>
      </c>
      <c r="E72" s="54"/>
      <c r="F72" s="54"/>
      <c r="G72" s="54"/>
      <c r="H72" s="54"/>
      <c r="I72" s="52">
        <f t="shared" si="2"/>
        <v>6.4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80</v>
      </c>
      <c r="B73" s="53">
        <v>262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85</v>
      </c>
      <c r="B74" s="53">
        <v>269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5.6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90</v>
      </c>
      <c r="B75" s="53">
        <v>275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95</v>
      </c>
      <c r="B76" s="53">
        <v>279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100</v>
      </c>
      <c r="B77" s="53">
        <v>282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105</v>
      </c>
      <c r="B78" s="53">
        <v>283</v>
      </c>
      <c r="C78" s="53">
        <v>17</v>
      </c>
      <c r="D78" s="53">
        <v>20</v>
      </c>
      <c r="E78" s="54"/>
      <c r="F78" s="54"/>
      <c r="G78" s="54"/>
      <c r="H78" s="54"/>
      <c r="I78" s="52">
        <f t="shared" si="2"/>
        <v>4.4000000000000004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110</v>
      </c>
      <c r="B79" s="53">
        <v>284</v>
      </c>
      <c r="C79" s="53">
        <v>18</v>
      </c>
      <c r="D79" s="53">
        <v>19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115</v>
      </c>
      <c r="B80" s="53">
        <v>284</v>
      </c>
      <c r="C80" s="53">
        <v>19</v>
      </c>
      <c r="D80" s="53">
        <v>18</v>
      </c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120</v>
      </c>
      <c r="B81" s="53">
        <v>284</v>
      </c>
      <c r="C81" s="53">
        <v>20</v>
      </c>
      <c r="D81" s="53">
        <v>284</v>
      </c>
      <c r="E81" s="54"/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Pin maritime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12</v>
      </c>
      <c r="B88" s="63">
        <v>106</v>
      </c>
      <c r="C88" s="63">
        <v>1</v>
      </c>
      <c r="D88" s="63">
        <v>34</v>
      </c>
      <c r="E88" s="54"/>
      <c r="F88" s="54"/>
      <c r="G88" s="54">
        <v>1</v>
      </c>
      <c r="H88" s="93"/>
      <c r="I88" s="56">
        <f>IFERROR(B88/A88,"")</f>
        <v>8.8333333333333339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17</v>
      </c>
      <c r="B89" s="63">
        <v>176</v>
      </c>
      <c r="C89" s="63">
        <v>2</v>
      </c>
      <c r="D89" s="63">
        <v>43</v>
      </c>
      <c r="E89" s="54">
        <v>0.2</v>
      </c>
      <c r="F89" s="54"/>
      <c r="G89" s="54">
        <v>0.8</v>
      </c>
      <c r="H89" s="93"/>
      <c r="I89" s="56">
        <f t="shared" ref="I89:I107" si="3">IF(A89&lt;&gt;0,(B89-(B88-D88))/(A89-A88),"")</f>
        <v>20.8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22</v>
      </c>
      <c r="B90" s="63">
        <v>232</v>
      </c>
      <c r="C90" s="63">
        <v>3</v>
      </c>
      <c r="D90" s="63">
        <v>56</v>
      </c>
      <c r="E90" s="54">
        <v>0.4</v>
      </c>
      <c r="F90" s="54"/>
      <c r="G90" s="54">
        <v>0.6</v>
      </c>
      <c r="H90" s="93"/>
      <c r="I90" s="56">
        <f t="shared" si="3"/>
        <v>19.8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30</v>
      </c>
      <c r="B91" s="63">
        <v>309</v>
      </c>
      <c r="C91" s="63">
        <v>4</v>
      </c>
      <c r="D91" s="63">
        <v>309</v>
      </c>
      <c r="E91" s="54">
        <v>0.4</v>
      </c>
      <c r="F91" s="54">
        <v>0.4</v>
      </c>
      <c r="G91" s="54">
        <v>0.2</v>
      </c>
      <c r="H91" s="93"/>
      <c r="I91" s="56">
        <f t="shared" si="3"/>
        <v>16.625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Pin noir d'Autriche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20</v>
      </c>
      <c r="B114" s="63">
        <v>59</v>
      </c>
      <c r="C114" s="53">
        <v>1</v>
      </c>
      <c r="D114" s="63">
        <v>3</v>
      </c>
      <c r="E114" s="54"/>
      <c r="F114" s="54"/>
      <c r="G114" s="54">
        <v>1</v>
      </c>
      <c r="H114" s="54"/>
      <c r="I114" s="56">
        <f>IFERROR(B114/A114,"")</f>
        <v>2.95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30</v>
      </c>
      <c r="B115" s="63">
        <v>156</v>
      </c>
      <c r="C115" s="53">
        <v>2</v>
      </c>
      <c r="D115" s="63">
        <v>12</v>
      </c>
      <c r="E115" s="54"/>
      <c r="F115" s="54"/>
      <c r="G115" s="54">
        <v>1</v>
      </c>
      <c r="H115" s="54"/>
      <c r="I115" s="56">
        <f t="shared" ref="I115:I133" si="4">IF(A115&lt;&gt;0,(B115-(B114-D114))/(A115-A114),"")</f>
        <v>10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40</v>
      </c>
      <c r="B116" s="63">
        <v>247</v>
      </c>
      <c r="C116" s="53">
        <v>3</v>
      </c>
      <c r="D116" s="63">
        <v>21</v>
      </c>
      <c r="E116" s="54"/>
      <c r="F116" s="54"/>
      <c r="G116" s="54"/>
      <c r="H116" s="54"/>
      <c r="I116" s="56">
        <f t="shared" si="4"/>
        <v>10.3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50</v>
      </c>
      <c r="B117" s="63">
        <v>321</v>
      </c>
      <c r="C117" s="53">
        <v>4</v>
      </c>
      <c r="D117" s="63">
        <v>25</v>
      </c>
      <c r="E117" s="54"/>
      <c r="F117" s="54"/>
      <c r="G117" s="54"/>
      <c r="H117" s="54"/>
      <c r="I117" s="56">
        <f t="shared" si="4"/>
        <v>9.5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60</v>
      </c>
      <c r="B118" s="63">
        <v>379</v>
      </c>
      <c r="C118" s="53">
        <v>5</v>
      </c>
      <c r="D118" s="63">
        <v>27</v>
      </c>
      <c r="E118" s="54"/>
      <c r="F118" s="54"/>
      <c r="G118" s="54"/>
      <c r="H118" s="54"/>
      <c r="I118" s="56">
        <f t="shared" si="4"/>
        <v>8.3000000000000007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70</v>
      </c>
      <c r="B119" s="63">
        <v>422</v>
      </c>
      <c r="C119" s="53">
        <v>6</v>
      </c>
      <c r="D119" s="63">
        <v>26</v>
      </c>
      <c r="E119" s="54"/>
      <c r="F119" s="54"/>
      <c r="G119" s="54"/>
      <c r="H119" s="54"/>
      <c r="I119" s="56">
        <f t="shared" si="4"/>
        <v>7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80</v>
      </c>
      <c r="B120" s="63">
        <v>456</v>
      </c>
      <c r="C120" s="63">
        <v>7</v>
      </c>
      <c r="D120" s="63">
        <v>24</v>
      </c>
      <c r="E120" s="93"/>
      <c r="F120" s="93"/>
      <c r="G120" s="93"/>
      <c r="H120" s="93"/>
      <c r="I120" s="56">
        <f t="shared" si="4"/>
        <v>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90</v>
      </c>
      <c r="B121" s="63">
        <v>486</v>
      </c>
      <c r="C121" s="63">
        <v>8</v>
      </c>
      <c r="D121" s="63">
        <v>24</v>
      </c>
      <c r="E121" s="93"/>
      <c r="F121" s="93"/>
      <c r="G121" s="93"/>
      <c r="H121" s="93"/>
      <c r="I121" s="56">
        <f t="shared" si="4"/>
        <v>5.4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100</v>
      </c>
      <c r="B122" s="63">
        <v>515</v>
      </c>
      <c r="C122" s="63">
        <v>9</v>
      </c>
      <c r="D122" s="63">
        <v>515</v>
      </c>
      <c r="E122" s="93"/>
      <c r="F122" s="93"/>
      <c r="G122" s="93"/>
      <c r="H122" s="93"/>
      <c r="I122" s="56">
        <f t="shared" si="4"/>
        <v>5.3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Chêne vert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25</v>
      </c>
      <c r="B140" s="63">
        <v>71</v>
      </c>
      <c r="C140" s="53">
        <v>1</v>
      </c>
      <c r="D140" s="63">
        <v>8</v>
      </c>
      <c r="E140" s="54"/>
      <c r="F140" s="54"/>
      <c r="G140" s="54"/>
      <c r="H140" s="54">
        <v>1</v>
      </c>
      <c r="I140" s="60">
        <f>IFERROR(B140/A140,"")</f>
        <v>2.84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30</v>
      </c>
      <c r="B141" s="63">
        <v>98</v>
      </c>
      <c r="C141" s="53">
        <v>2</v>
      </c>
      <c r="D141" s="63">
        <v>21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7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35</v>
      </c>
      <c r="B142" s="63">
        <v>116</v>
      </c>
      <c r="C142" s="53">
        <v>3</v>
      </c>
      <c r="D142" s="63">
        <v>21</v>
      </c>
      <c r="E142" s="54"/>
      <c r="F142" s="54"/>
      <c r="G142" s="54"/>
      <c r="H142" s="54"/>
      <c r="I142" s="60">
        <f t="shared" si="5"/>
        <v>7.8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40</v>
      </c>
      <c r="B143" s="63">
        <v>137</v>
      </c>
      <c r="C143" s="53">
        <v>4</v>
      </c>
      <c r="D143" s="63">
        <v>21</v>
      </c>
      <c r="E143" s="54"/>
      <c r="F143" s="54"/>
      <c r="G143" s="54"/>
      <c r="H143" s="54"/>
      <c r="I143" s="60">
        <f t="shared" si="5"/>
        <v>8.4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45</v>
      </c>
      <c r="B144" s="63">
        <v>158</v>
      </c>
      <c r="C144" s="53">
        <v>5</v>
      </c>
      <c r="D144" s="63">
        <v>21</v>
      </c>
      <c r="E144" s="54"/>
      <c r="F144" s="54"/>
      <c r="G144" s="54"/>
      <c r="H144" s="54"/>
      <c r="I144" s="60">
        <f t="shared" si="5"/>
        <v>8.4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50</v>
      </c>
      <c r="B145" s="63">
        <v>179</v>
      </c>
      <c r="C145" s="53">
        <v>6</v>
      </c>
      <c r="D145" s="63">
        <v>21</v>
      </c>
      <c r="E145" s="54"/>
      <c r="F145" s="54"/>
      <c r="G145" s="54"/>
      <c r="H145" s="54"/>
      <c r="I145" s="60">
        <f t="shared" si="5"/>
        <v>8.4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55</v>
      </c>
      <c r="B146" s="63">
        <v>198</v>
      </c>
      <c r="C146" s="53">
        <v>7</v>
      </c>
      <c r="D146" s="63">
        <v>21</v>
      </c>
      <c r="E146" s="54"/>
      <c r="F146" s="54"/>
      <c r="G146" s="54"/>
      <c r="H146" s="54"/>
      <c r="I146" s="60">
        <f t="shared" si="5"/>
        <v>8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60</v>
      </c>
      <c r="B147" s="63">
        <v>214</v>
      </c>
      <c r="C147" s="53">
        <v>8</v>
      </c>
      <c r="D147" s="63">
        <v>21</v>
      </c>
      <c r="E147" s="54"/>
      <c r="F147" s="54"/>
      <c r="G147" s="54"/>
      <c r="H147" s="54"/>
      <c r="I147" s="60">
        <f>IF(A147&lt;&gt;0,(B147-(B146-D146))/(A147-A146),"")</f>
        <v>7.4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65</v>
      </c>
      <c r="B148" s="63">
        <v>229</v>
      </c>
      <c r="C148" s="53">
        <v>9</v>
      </c>
      <c r="D148" s="63">
        <v>21</v>
      </c>
      <c r="E148" s="54"/>
      <c r="F148" s="54"/>
      <c r="G148" s="54"/>
      <c r="H148" s="54"/>
      <c r="I148" s="60">
        <f t="shared" si="5"/>
        <v>7.2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70</v>
      </c>
      <c r="B149" s="63">
        <v>242</v>
      </c>
      <c r="C149" s="53">
        <v>10</v>
      </c>
      <c r="D149" s="63">
        <v>21</v>
      </c>
      <c r="E149" s="54"/>
      <c r="F149" s="54"/>
      <c r="G149" s="54"/>
      <c r="H149" s="54"/>
      <c r="I149" s="60">
        <f t="shared" si="5"/>
        <v>6.8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75</v>
      </c>
      <c r="B150" s="63">
        <v>253</v>
      </c>
      <c r="C150" s="53">
        <v>11</v>
      </c>
      <c r="D150" s="63">
        <v>21</v>
      </c>
      <c r="E150" s="54"/>
      <c r="F150" s="54"/>
      <c r="G150" s="54"/>
      <c r="H150" s="54"/>
      <c r="I150" s="60">
        <f t="shared" si="5"/>
        <v>6.4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80</v>
      </c>
      <c r="B151" s="63">
        <v>262</v>
      </c>
      <c r="C151" s="53">
        <v>12</v>
      </c>
      <c r="D151" s="63">
        <v>21</v>
      </c>
      <c r="E151" s="54"/>
      <c r="F151" s="54"/>
      <c r="G151" s="54"/>
      <c r="H151" s="54"/>
      <c r="I151" s="60">
        <f t="shared" si="5"/>
        <v>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85</v>
      </c>
      <c r="B152" s="63">
        <v>269</v>
      </c>
      <c r="C152" s="53">
        <v>13</v>
      </c>
      <c r="D152" s="63">
        <v>21</v>
      </c>
      <c r="E152" s="57"/>
      <c r="F152" s="57"/>
      <c r="G152" s="57"/>
      <c r="H152" s="57"/>
      <c r="I152" s="60">
        <f t="shared" si="5"/>
        <v>5.6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90</v>
      </c>
      <c r="B153" s="63">
        <v>275</v>
      </c>
      <c r="C153" s="53">
        <v>14</v>
      </c>
      <c r="D153" s="63">
        <v>21</v>
      </c>
      <c r="E153" s="57"/>
      <c r="F153" s="57"/>
      <c r="G153" s="57"/>
      <c r="H153" s="57"/>
      <c r="I153" s="60">
        <f t="shared" si="5"/>
        <v>5.4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>
        <v>95</v>
      </c>
      <c r="B154" s="59">
        <v>279</v>
      </c>
      <c r="C154" s="53">
        <v>15</v>
      </c>
      <c r="D154" s="53">
        <v>21</v>
      </c>
      <c r="E154" s="57"/>
      <c r="F154" s="57"/>
      <c r="G154" s="57"/>
      <c r="H154" s="57"/>
      <c r="I154" s="60">
        <f t="shared" si="5"/>
        <v>5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>
        <v>100</v>
      </c>
      <c r="B155" s="59">
        <v>282</v>
      </c>
      <c r="C155" s="53">
        <v>16</v>
      </c>
      <c r="D155" s="53">
        <v>21</v>
      </c>
      <c r="E155" s="57"/>
      <c r="F155" s="57"/>
      <c r="G155" s="57"/>
      <c r="H155" s="57"/>
      <c r="I155" s="60">
        <f t="shared" si="5"/>
        <v>4.8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>
        <v>105</v>
      </c>
      <c r="B156" s="59">
        <v>283</v>
      </c>
      <c r="C156" s="53">
        <v>17</v>
      </c>
      <c r="D156" s="53">
        <v>20</v>
      </c>
      <c r="E156" s="57"/>
      <c r="F156" s="57"/>
      <c r="G156" s="57"/>
      <c r="H156" s="57"/>
      <c r="I156" s="60">
        <f t="shared" si="5"/>
        <v>4.4000000000000004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>
        <v>110</v>
      </c>
      <c r="B157" s="59">
        <v>284</v>
      </c>
      <c r="C157" s="53">
        <v>18</v>
      </c>
      <c r="D157" s="53">
        <v>19</v>
      </c>
      <c r="E157" s="57"/>
      <c r="F157" s="57"/>
      <c r="G157" s="57"/>
      <c r="H157" s="57"/>
      <c r="I157" s="60">
        <f t="shared" si="5"/>
        <v>4.2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>
        <v>115</v>
      </c>
      <c r="B158" s="59">
        <v>284</v>
      </c>
      <c r="C158" s="53">
        <v>19</v>
      </c>
      <c r="D158" s="53">
        <v>18</v>
      </c>
      <c r="E158" s="57"/>
      <c r="F158" s="57"/>
      <c r="G158" s="57"/>
      <c r="H158" s="57"/>
      <c r="I158" s="60">
        <f t="shared" si="5"/>
        <v>3.8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>
        <v>120</v>
      </c>
      <c r="B159" s="59">
        <v>284</v>
      </c>
      <c r="C159" s="53">
        <v>20</v>
      </c>
      <c r="D159" s="61">
        <v>284</v>
      </c>
      <c r="E159" s="57"/>
      <c r="F159" s="57"/>
      <c r="G159" s="57"/>
      <c r="H159" s="57"/>
      <c r="I159" s="60">
        <f t="shared" si="5"/>
        <v>3.6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Chêne pubescent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20</v>
      </c>
      <c r="B166" s="63">
        <v>73</v>
      </c>
      <c r="C166" s="63">
        <v>1</v>
      </c>
      <c r="D166" s="63">
        <v>6</v>
      </c>
      <c r="E166" s="54"/>
      <c r="F166" s="54"/>
      <c r="G166" s="54"/>
      <c r="H166" s="54">
        <v>1</v>
      </c>
      <c r="I166" s="52">
        <f>IFERROR(B166/A166,"")</f>
        <v>3.65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25</v>
      </c>
      <c r="B167" s="63">
        <v>103</v>
      </c>
      <c r="C167" s="63">
        <v>2</v>
      </c>
      <c r="D167" s="63">
        <v>28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7.2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30</v>
      </c>
      <c r="B168" s="63">
        <v>121</v>
      </c>
      <c r="C168" s="63">
        <v>3</v>
      </c>
      <c r="D168" s="63">
        <v>28</v>
      </c>
      <c r="E168" s="54"/>
      <c r="F168" s="54"/>
      <c r="G168" s="54"/>
      <c r="H168" s="54">
        <v>1</v>
      </c>
      <c r="I168" s="52">
        <f t="shared" si="6"/>
        <v>9.1999999999999993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35</v>
      </c>
      <c r="B169" s="63">
        <v>147</v>
      </c>
      <c r="C169" s="63">
        <v>4</v>
      </c>
      <c r="D169" s="63">
        <v>28</v>
      </c>
      <c r="E169" s="54"/>
      <c r="F169" s="54"/>
      <c r="G169" s="54"/>
      <c r="H169" s="54"/>
      <c r="I169" s="52">
        <f t="shared" si="6"/>
        <v>10.8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40</v>
      </c>
      <c r="B170" s="63">
        <v>175</v>
      </c>
      <c r="C170" s="63">
        <v>5</v>
      </c>
      <c r="D170" s="63">
        <v>28</v>
      </c>
      <c r="E170" s="54"/>
      <c r="F170" s="54"/>
      <c r="G170" s="54"/>
      <c r="H170" s="54"/>
      <c r="I170" s="52">
        <f t="shared" si="6"/>
        <v>11.2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45</v>
      </c>
      <c r="B171" s="63">
        <v>204</v>
      </c>
      <c r="C171" s="63">
        <v>6</v>
      </c>
      <c r="D171" s="63">
        <v>28</v>
      </c>
      <c r="E171" s="54"/>
      <c r="F171" s="54"/>
      <c r="G171" s="54"/>
      <c r="H171" s="54"/>
      <c r="I171" s="52">
        <f t="shared" si="6"/>
        <v>11.4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50</v>
      </c>
      <c r="B172" s="63">
        <v>231</v>
      </c>
      <c r="C172" s="63">
        <v>7</v>
      </c>
      <c r="D172" s="63">
        <v>28</v>
      </c>
      <c r="E172" s="54"/>
      <c r="F172" s="54"/>
      <c r="G172" s="54"/>
      <c r="H172" s="54"/>
      <c r="I172" s="52">
        <f t="shared" si="6"/>
        <v>11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55</v>
      </c>
      <c r="B173" s="53">
        <v>254</v>
      </c>
      <c r="C173" s="53">
        <v>8</v>
      </c>
      <c r="D173" s="53">
        <v>28</v>
      </c>
      <c r="E173" s="54"/>
      <c r="F173" s="54"/>
      <c r="G173" s="54"/>
      <c r="H173" s="54"/>
      <c r="I173" s="52">
        <f t="shared" si="6"/>
        <v>10.199999999999999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60</v>
      </c>
      <c r="B174" s="53">
        <v>273</v>
      </c>
      <c r="C174" s="53">
        <v>9</v>
      </c>
      <c r="D174" s="53">
        <v>28</v>
      </c>
      <c r="E174" s="54"/>
      <c r="F174" s="54"/>
      <c r="G174" s="54"/>
      <c r="H174" s="54"/>
      <c r="I174" s="52">
        <f t="shared" si="6"/>
        <v>9.4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65</v>
      </c>
      <c r="B175" s="53">
        <v>289</v>
      </c>
      <c r="C175" s="53">
        <v>10</v>
      </c>
      <c r="D175" s="53">
        <v>28</v>
      </c>
      <c r="E175" s="54"/>
      <c r="F175" s="54"/>
      <c r="G175" s="54"/>
      <c r="H175" s="54"/>
      <c r="I175" s="52">
        <f t="shared" si="6"/>
        <v>8.8000000000000007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70</v>
      </c>
      <c r="B176" s="53">
        <v>302</v>
      </c>
      <c r="C176" s="53">
        <v>11</v>
      </c>
      <c r="D176" s="53">
        <v>28</v>
      </c>
      <c r="E176" s="54"/>
      <c r="F176" s="54"/>
      <c r="G176" s="54"/>
      <c r="H176" s="54"/>
      <c r="I176" s="52">
        <f t="shared" si="6"/>
        <v>8.1999999999999993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>
        <v>75</v>
      </c>
      <c r="B177" s="53">
        <v>312</v>
      </c>
      <c r="C177" s="53">
        <v>12</v>
      </c>
      <c r="D177" s="53">
        <v>28</v>
      </c>
      <c r="E177" s="54"/>
      <c r="F177" s="54"/>
      <c r="G177" s="54"/>
      <c r="H177" s="54"/>
      <c r="I177" s="52">
        <f t="shared" si="6"/>
        <v>7.6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>
        <v>80</v>
      </c>
      <c r="B178" s="53">
        <v>320</v>
      </c>
      <c r="C178" s="53">
        <v>13</v>
      </c>
      <c r="D178" s="53">
        <v>28</v>
      </c>
      <c r="E178" s="54"/>
      <c r="F178" s="54"/>
      <c r="G178" s="54"/>
      <c r="H178" s="54"/>
      <c r="I178" s="52">
        <f t="shared" si="6"/>
        <v>7.2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>
        <v>85</v>
      </c>
      <c r="B179" s="53">
        <v>326</v>
      </c>
      <c r="C179" s="53">
        <v>14</v>
      </c>
      <c r="D179" s="53">
        <v>28</v>
      </c>
      <c r="E179" s="54"/>
      <c r="F179" s="54"/>
      <c r="G179" s="54"/>
      <c r="H179" s="54"/>
      <c r="I179" s="52">
        <f t="shared" si="6"/>
        <v>6.8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>
        <v>90</v>
      </c>
      <c r="B180" s="53">
        <v>330</v>
      </c>
      <c r="C180" s="53">
        <v>15</v>
      </c>
      <c r="D180" s="53">
        <v>28</v>
      </c>
      <c r="E180" s="54"/>
      <c r="F180" s="54"/>
      <c r="G180" s="54"/>
      <c r="H180" s="54"/>
      <c r="I180" s="52">
        <f t="shared" si="6"/>
        <v>6.4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>
        <v>95</v>
      </c>
      <c r="B181" s="53">
        <v>332</v>
      </c>
      <c r="C181" s="53">
        <v>16</v>
      </c>
      <c r="D181" s="53">
        <v>28</v>
      </c>
      <c r="E181" s="54"/>
      <c r="F181" s="54"/>
      <c r="G181" s="54"/>
      <c r="H181" s="54"/>
      <c r="I181" s="52">
        <f t="shared" si="6"/>
        <v>6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>
        <v>100</v>
      </c>
      <c r="B182" s="53">
        <v>333</v>
      </c>
      <c r="C182" s="53">
        <v>17</v>
      </c>
      <c r="D182" s="53">
        <v>27</v>
      </c>
      <c r="E182" s="54"/>
      <c r="F182" s="54"/>
      <c r="G182" s="54"/>
      <c r="H182" s="54"/>
      <c r="I182" s="52">
        <f t="shared" si="6"/>
        <v>5.8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>
        <v>105</v>
      </c>
      <c r="B183" s="53">
        <v>333</v>
      </c>
      <c r="C183" s="53">
        <v>18</v>
      </c>
      <c r="D183" s="53">
        <v>26</v>
      </c>
      <c r="E183" s="54"/>
      <c r="F183" s="54"/>
      <c r="G183" s="54"/>
      <c r="H183" s="54"/>
      <c r="I183" s="52">
        <f t="shared" si="6"/>
        <v>5.4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>
        <v>110</v>
      </c>
      <c r="B184" s="53">
        <v>332</v>
      </c>
      <c r="C184" s="53">
        <v>19</v>
      </c>
      <c r="D184" s="53">
        <v>25</v>
      </c>
      <c r="E184" s="54"/>
      <c r="F184" s="54"/>
      <c r="G184" s="54"/>
      <c r="H184" s="54"/>
      <c r="I184" s="52">
        <f t="shared" si="6"/>
        <v>5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>
        <v>115</v>
      </c>
      <c r="B185" s="53">
        <v>330</v>
      </c>
      <c r="C185" s="53">
        <v>20</v>
      </c>
      <c r="D185" s="53">
        <v>330</v>
      </c>
      <c r="E185" s="54"/>
      <c r="F185" s="54"/>
      <c r="G185" s="54"/>
      <c r="H185" s="54"/>
      <c r="I185" s="52">
        <f t="shared" si="6"/>
        <v>4.5999999999999996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Chêne chevelu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15</v>
      </c>
      <c r="B192" s="63">
        <v>87</v>
      </c>
      <c r="C192" s="63">
        <v>1</v>
      </c>
      <c r="D192" s="63">
        <v>21</v>
      </c>
      <c r="E192" s="54"/>
      <c r="F192" s="54"/>
      <c r="G192" s="54"/>
      <c r="H192" s="54">
        <v>1</v>
      </c>
      <c r="I192" s="52">
        <f>IFERROR(B192/A192,"")</f>
        <v>5.8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20</v>
      </c>
      <c r="B193" s="63">
        <v>137</v>
      </c>
      <c r="C193" s="63">
        <v>2</v>
      </c>
      <c r="D193" s="63">
        <v>43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14.2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25</v>
      </c>
      <c r="B194" s="63">
        <v>163</v>
      </c>
      <c r="C194" s="63">
        <v>3</v>
      </c>
      <c r="D194" s="63">
        <v>44</v>
      </c>
      <c r="E194" s="54"/>
      <c r="F194" s="54"/>
      <c r="G194" s="54"/>
      <c r="H194" s="54">
        <v>1</v>
      </c>
      <c r="I194" s="52">
        <f t="shared" si="7"/>
        <v>13.8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30</v>
      </c>
      <c r="B195" s="63">
        <v>185</v>
      </c>
      <c r="C195" s="63">
        <v>4</v>
      </c>
      <c r="D195" s="63">
        <v>44</v>
      </c>
      <c r="E195" s="54"/>
      <c r="F195" s="54"/>
      <c r="G195" s="54"/>
      <c r="H195" s="54"/>
      <c r="I195" s="52">
        <f t="shared" si="7"/>
        <v>13.2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35</v>
      </c>
      <c r="B196" s="63">
        <v>201</v>
      </c>
      <c r="C196" s="63">
        <v>5</v>
      </c>
      <c r="D196" s="63">
        <v>42</v>
      </c>
      <c r="E196" s="54"/>
      <c r="F196" s="54"/>
      <c r="G196" s="54"/>
      <c r="H196" s="54"/>
      <c r="I196" s="52">
        <f t="shared" si="7"/>
        <v>12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40</v>
      </c>
      <c r="B197" s="63">
        <v>214</v>
      </c>
      <c r="C197" s="63">
        <v>6</v>
      </c>
      <c r="D197" s="63">
        <v>39</v>
      </c>
      <c r="E197" s="54"/>
      <c r="F197" s="54"/>
      <c r="G197" s="54"/>
      <c r="H197" s="54"/>
      <c r="I197" s="52">
        <f t="shared" si="7"/>
        <v>11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45</v>
      </c>
      <c r="B198" s="63">
        <v>224</v>
      </c>
      <c r="C198" s="63">
        <v>7</v>
      </c>
      <c r="D198" s="63">
        <v>36</v>
      </c>
      <c r="E198" s="54"/>
      <c r="F198" s="54"/>
      <c r="G198" s="54"/>
      <c r="H198" s="54"/>
      <c r="I198" s="52">
        <f t="shared" si="7"/>
        <v>9.8000000000000007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>
        <v>50</v>
      </c>
      <c r="B199" s="53">
        <v>231</v>
      </c>
      <c r="C199" s="53">
        <v>8</v>
      </c>
      <c r="D199" s="53">
        <v>33</v>
      </c>
      <c r="E199" s="54"/>
      <c r="F199" s="54"/>
      <c r="G199" s="54"/>
      <c r="H199" s="54"/>
      <c r="I199" s="52">
        <f t="shared" si="7"/>
        <v>8.6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>
        <v>55</v>
      </c>
      <c r="B200" s="53">
        <v>237</v>
      </c>
      <c r="C200" s="53">
        <v>9</v>
      </c>
      <c r="D200" s="53">
        <v>29</v>
      </c>
      <c r="E200" s="54"/>
      <c r="F200" s="54"/>
      <c r="G200" s="54"/>
      <c r="H200" s="54"/>
      <c r="I200" s="52">
        <f t="shared" si="7"/>
        <v>7.8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>
        <v>60</v>
      </c>
      <c r="B201" s="53">
        <v>242</v>
      </c>
      <c r="C201" s="53">
        <v>10</v>
      </c>
      <c r="D201" s="53">
        <v>26</v>
      </c>
      <c r="E201" s="54"/>
      <c r="F201" s="54"/>
      <c r="G201" s="54"/>
      <c r="H201" s="54"/>
      <c r="I201" s="52">
        <f t="shared" si="7"/>
        <v>6.8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>
        <v>65</v>
      </c>
      <c r="B202" s="53">
        <v>246</v>
      </c>
      <c r="C202" s="53">
        <v>11</v>
      </c>
      <c r="D202" s="53">
        <v>23</v>
      </c>
      <c r="E202" s="54"/>
      <c r="F202" s="54"/>
      <c r="G202" s="54"/>
      <c r="H202" s="54"/>
      <c r="I202" s="52">
        <f t="shared" si="7"/>
        <v>6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>
        <v>70</v>
      </c>
      <c r="B203" s="53">
        <v>249</v>
      </c>
      <c r="C203" s="53">
        <v>12</v>
      </c>
      <c r="D203" s="53">
        <v>249</v>
      </c>
      <c r="E203" s="54"/>
      <c r="F203" s="54"/>
      <c r="G203" s="54"/>
      <c r="H203" s="54"/>
      <c r="I203" s="52">
        <f t="shared" si="7"/>
        <v>5.2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>Pin laricio</v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>
        <v>27</v>
      </c>
      <c r="B218" s="63">
        <v>118</v>
      </c>
      <c r="C218" s="53">
        <v>1</v>
      </c>
      <c r="D218" s="63">
        <v>15</v>
      </c>
      <c r="E218" s="66"/>
      <c r="F218" s="66"/>
      <c r="G218" s="66">
        <v>1</v>
      </c>
      <c r="H218" s="66"/>
      <c r="I218" s="56">
        <f>IFERROR(B218/A218,"")</f>
        <v>4.3703703703703702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>
        <v>30</v>
      </c>
      <c r="B219" s="63">
        <v>132</v>
      </c>
      <c r="C219" s="53">
        <v>2</v>
      </c>
      <c r="D219" s="63">
        <v>13</v>
      </c>
      <c r="E219" s="66"/>
      <c r="F219" s="66"/>
      <c r="G219" s="66">
        <v>1</v>
      </c>
      <c r="H219" s="66"/>
      <c r="I219" s="56">
        <f t="shared" ref="I219:I237" si="8">IF(A219&lt;&gt;0,(B219-(B218-D218))/(A219-A218),"")</f>
        <v>9.6666666666666661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>
        <v>35</v>
      </c>
      <c r="B220" s="63">
        <v>169</v>
      </c>
      <c r="C220" s="53">
        <v>3</v>
      </c>
      <c r="D220" s="63">
        <v>23</v>
      </c>
      <c r="E220" s="66"/>
      <c r="F220" s="66"/>
      <c r="G220" s="66"/>
      <c r="H220" s="66"/>
      <c r="I220" s="56">
        <f t="shared" si="8"/>
        <v>10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>
        <v>40</v>
      </c>
      <c r="B221" s="58">
        <v>208</v>
      </c>
      <c r="C221" s="58">
        <v>4</v>
      </c>
      <c r="D221" s="58">
        <v>34</v>
      </c>
      <c r="E221" s="66"/>
      <c r="F221" s="66"/>
      <c r="G221" s="66"/>
      <c r="H221" s="66"/>
      <c r="I221" s="56">
        <f t="shared" si="8"/>
        <v>12.4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>
        <v>50</v>
      </c>
      <c r="B222" s="58">
        <v>315</v>
      </c>
      <c r="C222" s="58">
        <v>5</v>
      </c>
      <c r="D222" s="58">
        <v>79</v>
      </c>
      <c r="E222" s="66"/>
      <c r="F222" s="66"/>
      <c r="G222" s="66"/>
      <c r="H222" s="66"/>
      <c r="I222" s="56">
        <f t="shared" si="8"/>
        <v>14.1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>
        <v>60</v>
      </c>
      <c r="B223" s="58">
        <v>393</v>
      </c>
      <c r="C223" s="58">
        <v>6</v>
      </c>
      <c r="D223" s="58">
        <v>88</v>
      </c>
      <c r="E223" s="66"/>
      <c r="F223" s="66"/>
      <c r="G223" s="66"/>
      <c r="H223" s="66"/>
      <c r="I223" s="56">
        <f t="shared" si="8"/>
        <v>15.7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>
        <v>70</v>
      </c>
      <c r="B224" s="58">
        <v>448</v>
      </c>
      <c r="C224" s="58">
        <v>7</v>
      </c>
      <c r="D224" s="58">
        <v>78</v>
      </c>
      <c r="E224" s="66"/>
      <c r="F224" s="66"/>
      <c r="G224" s="66"/>
      <c r="H224" s="66"/>
      <c r="I224" s="56">
        <f t="shared" si="8"/>
        <v>14.3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>
        <v>80</v>
      </c>
      <c r="B225" s="58">
        <v>460</v>
      </c>
      <c r="C225" s="58">
        <v>8</v>
      </c>
      <c r="D225" s="58">
        <v>460</v>
      </c>
      <c r="E225" s="66"/>
      <c r="F225" s="66"/>
      <c r="G225" s="66"/>
      <c r="H225" s="66"/>
      <c r="I225" s="56">
        <f t="shared" si="8"/>
        <v>9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>Cèdre de l'Atlas</v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>
        <v>30</v>
      </c>
      <c r="B244" s="63">
        <v>121</v>
      </c>
      <c r="C244" s="63">
        <v>1</v>
      </c>
      <c r="D244" s="63">
        <v>0</v>
      </c>
      <c r="E244" s="54"/>
      <c r="F244" s="54"/>
      <c r="G244" s="54"/>
      <c r="H244" s="66"/>
      <c r="I244" s="56">
        <f>IFERROR(B244/A244,"")</f>
        <v>4.0333333333333332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>
        <v>40</v>
      </c>
      <c r="B245" s="63">
        <v>236</v>
      </c>
      <c r="C245" s="63">
        <v>2</v>
      </c>
      <c r="D245" s="63">
        <v>0</v>
      </c>
      <c r="E245" s="66"/>
      <c r="F245" s="66"/>
      <c r="G245" s="66"/>
      <c r="H245" s="66"/>
      <c r="I245" s="56">
        <f>IF(A245&lt;&gt;0,(B245-(B244-D244))/(A245-A244),"")</f>
        <v>11.5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>
        <v>51</v>
      </c>
      <c r="B246" s="63">
        <v>391</v>
      </c>
      <c r="C246" s="63">
        <v>3</v>
      </c>
      <c r="D246" s="63">
        <v>171</v>
      </c>
      <c r="E246" s="66"/>
      <c r="F246" s="66"/>
      <c r="G246" s="66"/>
      <c r="H246" s="66"/>
      <c r="I246" s="56">
        <f>IF(A246&lt;&gt;0,(B246-(B245-D245))/(A246-A245),"")</f>
        <v>14.090909090909092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>
        <v>53</v>
      </c>
      <c r="B247" s="63">
        <v>248</v>
      </c>
      <c r="C247" s="63">
        <v>4</v>
      </c>
      <c r="D247" s="63">
        <v>0</v>
      </c>
      <c r="E247" s="66"/>
      <c r="F247" s="66"/>
      <c r="G247" s="66"/>
      <c r="H247" s="66"/>
      <c r="I247" s="56">
        <f t="shared" ref="I247:I263" si="9">IF(A247&lt;&gt;0,(B247-(B246-D246))/(A247-A246),"")</f>
        <v>14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>
        <v>61</v>
      </c>
      <c r="B248" s="63">
        <v>348</v>
      </c>
      <c r="C248" s="63">
        <v>5</v>
      </c>
      <c r="D248" s="63">
        <v>100</v>
      </c>
      <c r="E248" s="66"/>
      <c r="F248" s="66"/>
      <c r="G248" s="66"/>
      <c r="H248" s="66"/>
      <c r="I248" s="56">
        <f t="shared" si="9"/>
        <v>12.5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>
        <v>62</v>
      </c>
      <c r="B249" s="63">
        <v>260</v>
      </c>
      <c r="C249" s="63">
        <v>6</v>
      </c>
      <c r="D249" s="63">
        <v>0</v>
      </c>
      <c r="E249" s="66"/>
      <c r="F249" s="66"/>
      <c r="G249" s="66"/>
      <c r="H249" s="66"/>
      <c r="I249" s="56">
        <f t="shared" si="9"/>
        <v>12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>
        <v>73</v>
      </c>
      <c r="B250" s="63">
        <v>390</v>
      </c>
      <c r="C250" s="63">
        <v>7</v>
      </c>
      <c r="D250" s="63">
        <v>102</v>
      </c>
      <c r="E250" s="66"/>
      <c r="F250" s="66"/>
      <c r="G250" s="66"/>
      <c r="H250" s="66"/>
      <c r="I250" s="56">
        <f t="shared" si="9"/>
        <v>11.818181818181818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>
        <v>74</v>
      </c>
      <c r="B251" s="58">
        <v>299</v>
      </c>
      <c r="C251" s="58">
        <v>8</v>
      </c>
      <c r="D251" s="58">
        <v>0</v>
      </c>
      <c r="E251" s="66"/>
      <c r="F251" s="66"/>
      <c r="G251" s="66"/>
      <c r="H251" s="66"/>
      <c r="I251" s="56">
        <f t="shared" si="9"/>
        <v>11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>
        <v>84</v>
      </c>
      <c r="B252" s="58">
        <v>409</v>
      </c>
      <c r="C252" s="58">
        <v>9</v>
      </c>
      <c r="D252" s="58">
        <v>0</v>
      </c>
      <c r="E252" s="66"/>
      <c r="F252" s="66"/>
      <c r="G252" s="66"/>
      <c r="H252" s="66"/>
      <c r="I252" s="56">
        <f t="shared" si="9"/>
        <v>11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>
        <v>85</v>
      </c>
      <c r="B253" s="58">
        <v>420</v>
      </c>
      <c r="C253" s="58">
        <v>10</v>
      </c>
      <c r="D253" s="58">
        <v>95</v>
      </c>
      <c r="E253" s="66"/>
      <c r="F253" s="66"/>
      <c r="G253" s="66"/>
      <c r="H253" s="66"/>
      <c r="I253" s="56">
        <f t="shared" si="9"/>
        <v>11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>
        <v>86</v>
      </c>
      <c r="B254" s="58">
        <v>336</v>
      </c>
      <c r="C254" s="58">
        <v>11</v>
      </c>
      <c r="D254" s="58">
        <v>0</v>
      </c>
      <c r="E254" s="66"/>
      <c r="F254" s="66"/>
      <c r="G254" s="66"/>
      <c r="H254" s="66"/>
      <c r="I254" s="56">
        <f t="shared" si="9"/>
        <v>11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>
        <v>97</v>
      </c>
      <c r="B255" s="58">
        <v>446</v>
      </c>
      <c r="C255" s="58">
        <v>12</v>
      </c>
      <c r="D255" s="58">
        <v>90</v>
      </c>
      <c r="E255" s="66"/>
      <c r="F255" s="66"/>
      <c r="G255" s="66"/>
      <c r="H255" s="66"/>
      <c r="I255" s="56">
        <f t="shared" si="9"/>
        <v>10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>
        <v>98</v>
      </c>
      <c r="B256" s="58">
        <v>366</v>
      </c>
      <c r="C256" s="58">
        <v>13</v>
      </c>
      <c r="D256" s="58">
        <v>0</v>
      </c>
      <c r="E256" s="67"/>
      <c r="F256" s="67"/>
      <c r="G256" s="67"/>
      <c r="H256" s="67"/>
      <c r="I256" s="56">
        <f t="shared" si="9"/>
        <v>10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>
        <v>108</v>
      </c>
      <c r="B257" s="63">
        <v>456</v>
      </c>
      <c r="C257" s="94">
        <v>14</v>
      </c>
      <c r="D257" s="63">
        <v>0</v>
      </c>
      <c r="E257" s="57"/>
      <c r="F257" s="57"/>
      <c r="G257" s="57"/>
      <c r="H257" s="57"/>
      <c r="I257" s="56">
        <f t="shared" si="9"/>
        <v>9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>
        <v>109</v>
      </c>
      <c r="B258" s="53">
        <v>465</v>
      </c>
      <c r="C258" s="53">
        <v>15</v>
      </c>
      <c r="D258" s="53">
        <v>91</v>
      </c>
      <c r="E258" s="57"/>
      <c r="F258" s="57"/>
      <c r="G258" s="57"/>
      <c r="H258" s="57"/>
      <c r="I258" s="56">
        <f t="shared" si="9"/>
        <v>9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>
        <v>110</v>
      </c>
      <c r="B259" s="53">
        <v>383</v>
      </c>
      <c r="C259" s="53">
        <v>16</v>
      </c>
      <c r="D259" s="53">
        <v>0</v>
      </c>
      <c r="E259" s="57"/>
      <c r="F259" s="57"/>
      <c r="G259" s="57"/>
      <c r="H259" s="57"/>
      <c r="I259" s="56">
        <f t="shared" si="9"/>
        <v>9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>
        <v>120</v>
      </c>
      <c r="B260" s="53">
        <v>463</v>
      </c>
      <c r="C260" s="53">
        <v>17</v>
      </c>
      <c r="D260" s="53">
        <v>0</v>
      </c>
      <c r="E260" s="57"/>
      <c r="F260" s="57"/>
      <c r="G260" s="57"/>
      <c r="H260" s="57"/>
      <c r="I260" s="56">
        <f t="shared" si="9"/>
        <v>8</v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>
        <v>121</v>
      </c>
      <c r="B261" s="53">
        <v>471</v>
      </c>
      <c r="C261" s="53">
        <v>18</v>
      </c>
      <c r="D261" s="53">
        <v>234</v>
      </c>
      <c r="E261" s="57"/>
      <c r="F261" s="57"/>
      <c r="G261" s="57"/>
      <c r="H261" s="57"/>
      <c r="I261" s="56">
        <f t="shared" si="9"/>
        <v>8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>
        <v>122</v>
      </c>
      <c r="B262" s="53">
        <v>247</v>
      </c>
      <c r="C262" s="53">
        <v>19</v>
      </c>
      <c r="D262" s="53">
        <v>0</v>
      </c>
      <c r="E262" s="57"/>
      <c r="F262" s="57"/>
      <c r="G262" s="57"/>
      <c r="H262" s="57"/>
      <c r="I262" s="56">
        <f t="shared" si="9"/>
        <v>10</v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>
        <v>131</v>
      </c>
      <c r="B263" s="53">
        <v>294</v>
      </c>
      <c r="C263" s="53">
        <v>20</v>
      </c>
      <c r="D263" s="53">
        <v>294</v>
      </c>
      <c r="E263" s="57"/>
      <c r="F263" s="57"/>
      <c r="G263" s="57"/>
      <c r="H263" s="57"/>
      <c r="I263" s="56">
        <f t="shared" si="9"/>
        <v>5.2222222222222223</v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>Chêne rouge d'Amérique</v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>
        <v>20</v>
      </c>
      <c r="B270" s="63">
        <v>132</v>
      </c>
      <c r="C270" s="53">
        <v>1</v>
      </c>
      <c r="D270" s="63">
        <v>50</v>
      </c>
      <c r="E270" s="54"/>
      <c r="F270" s="54"/>
      <c r="G270" s="54"/>
      <c r="H270" s="54">
        <v>1</v>
      </c>
      <c r="I270" s="56">
        <f>IFERROR(B270/A270,"")</f>
        <v>6.6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>
        <v>25</v>
      </c>
      <c r="B271" s="63">
        <v>143</v>
      </c>
      <c r="C271" s="53">
        <v>2</v>
      </c>
      <c r="D271" s="63">
        <v>37</v>
      </c>
      <c r="E271" s="54"/>
      <c r="F271" s="54"/>
      <c r="G271" s="54"/>
      <c r="H271" s="54">
        <v>1</v>
      </c>
      <c r="I271" s="56">
        <f>IF(A271&lt;&gt;0,(B271-(B270-D270))/(A271-A270),"")</f>
        <v>12.2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>
        <v>30</v>
      </c>
      <c r="B272" s="63">
        <v>163</v>
      </c>
      <c r="C272" s="53">
        <v>3</v>
      </c>
      <c r="D272" s="63">
        <v>37</v>
      </c>
      <c r="E272" s="54"/>
      <c r="F272" s="54"/>
      <c r="G272" s="54"/>
      <c r="H272" s="54">
        <v>1</v>
      </c>
      <c r="I272" s="56">
        <f t="shared" ref="I272:I289" si="10">IF(A272&lt;&gt;0,(B272-(B271-D271))/(A272-A271),"")</f>
        <v>11.4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>
        <v>35</v>
      </c>
      <c r="B273" s="63">
        <v>179</v>
      </c>
      <c r="C273" s="53">
        <v>4</v>
      </c>
      <c r="D273" s="63">
        <v>36</v>
      </c>
      <c r="E273" s="54"/>
      <c r="F273" s="54"/>
      <c r="G273" s="54"/>
      <c r="H273" s="54"/>
      <c r="I273" s="56">
        <f t="shared" si="10"/>
        <v>10.6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>
        <v>40</v>
      </c>
      <c r="B274" s="63">
        <v>191</v>
      </c>
      <c r="C274" s="53">
        <v>5</v>
      </c>
      <c r="D274" s="63">
        <v>33</v>
      </c>
      <c r="E274" s="54"/>
      <c r="F274" s="54"/>
      <c r="G274" s="54"/>
      <c r="H274" s="54"/>
      <c r="I274" s="56">
        <f t="shared" si="10"/>
        <v>9.6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>
        <v>45</v>
      </c>
      <c r="B275" s="63">
        <v>201</v>
      </c>
      <c r="C275" s="53">
        <v>6</v>
      </c>
      <c r="D275" s="63">
        <v>31</v>
      </c>
      <c r="E275" s="66"/>
      <c r="F275" s="66"/>
      <c r="G275" s="66"/>
      <c r="H275" s="66"/>
      <c r="I275" s="56">
        <f t="shared" si="10"/>
        <v>8.6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>
        <v>50</v>
      </c>
      <c r="B276" s="63">
        <v>209</v>
      </c>
      <c r="C276" s="53">
        <v>7</v>
      </c>
      <c r="D276" s="63">
        <v>28</v>
      </c>
      <c r="E276" s="66"/>
      <c r="F276" s="66"/>
      <c r="G276" s="66"/>
      <c r="H276" s="66"/>
      <c r="I276" s="56">
        <f t="shared" si="10"/>
        <v>7.8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>
        <v>55</v>
      </c>
      <c r="B277" s="58">
        <v>215</v>
      </c>
      <c r="C277" s="58">
        <v>8</v>
      </c>
      <c r="D277" s="58">
        <v>25</v>
      </c>
      <c r="E277" s="66"/>
      <c r="F277" s="66"/>
      <c r="G277" s="66"/>
      <c r="H277" s="66"/>
      <c r="I277" s="56">
        <f t="shared" si="10"/>
        <v>6.8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>
        <v>60</v>
      </c>
      <c r="B278" s="58">
        <v>220</v>
      </c>
      <c r="C278" s="58">
        <v>9</v>
      </c>
      <c r="D278" s="58">
        <v>22</v>
      </c>
      <c r="E278" s="66"/>
      <c r="F278" s="66"/>
      <c r="G278" s="66"/>
      <c r="H278" s="66"/>
      <c r="I278" s="56">
        <f t="shared" si="10"/>
        <v>6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>
        <v>65</v>
      </c>
      <c r="B279" s="58">
        <v>224</v>
      </c>
      <c r="C279" s="58">
        <v>10</v>
      </c>
      <c r="D279" s="58">
        <v>20</v>
      </c>
      <c r="E279" s="66"/>
      <c r="F279" s="66"/>
      <c r="G279" s="66"/>
      <c r="H279" s="66"/>
      <c r="I279" s="56">
        <f t="shared" si="10"/>
        <v>5.2</v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>
        <v>70</v>
      </c>
      <c r="B280" s="58">
        <v>227</v>
      </c>
      <c r="C280" s="58">
        <v>11</v>
      </c>
      <c r="D280" s="58">
        <v>17</v>
      </c>
      <c r="E280" s="66"/>
      <c r="F280" s="66"/>
      <c r="G280" s="66"/>
      <c r="H280" s="66"/>
      <c r="I280" s="56">
        <f t="shared" si="10"/>
        <v>4.5999999999999996</v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>
        <v>75</v>
      </c>
      <c r="B281" s="58">
        <v>230</v>
      </c>
      <c r="C281" s="58">
        <v>12</v>
      </c>
      <c r="D281" s="58">
        <v>15</v>
      </c>
      <c r="E281" s="66"/>
      <c r="F281" s="66"/>
      <c r="G281" s="66"/>
      <c r="H281" s="66"/>
      <c r="I281" s="56">
        <f t="shared" si="10"/>
        <v>4</v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>
        <v>80</v>
      </c>
      <c r="B282" s="58">
        <v>233</v>
      </c>
      <c r="C282" s="58">
        <v>13</v>
      </c>
      <c r="D282" s="58">
        <v>13</v>
      </c>
      <c r="E282" s="67"/>
      <c r="F282" s="67"/>
      <c r="G282" s="67"/>
      <c r="H282" s="67"/>
      <c r="I282" s="56">
        <f t="shared" si="10"/>
        <v>3.6</v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>
        <v>85</v>
      </c>
      <c r="B283" s="63">
        <v>235</v>
      </c>
      <c r="C283" s="94">
        <v>14</v>
      </c>
      <c r="D283" s="63">
        <v>12</v>
      </c>
      <c r="E283" s="57"/>
      <c r="F283" s="57"/>
      <c r="G283" s="57"/>
      <c r="H283" s="57"/>
      <c r="I283" s="56">
        <f t="shared" si="10"/>
        <v>3</v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>
        <v>90</v>
      </c>
      <c r="B284" s="53">
        <v>236</v>
      </c>
      <c r="C284" s="53">
        <v>15</v>
      </c>
      <c r="D284" s="53">
        <v>236</v>
      </c>
      <c r="E284" s="54"/>
      <c r="F284" s="54"/>
      <c r="G284" s="54"/>
      <c r="H284" s="54"/>
      <c r="I284" s="56">
        <f t="shared" si="10"/>
        <v>2.6</v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0" sqref="G20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1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de Salzmann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Chêne sessile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Pin maritime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>Pin noir d'Autriche</v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>Chêne vert</v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>Chêne pubescent</v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>Chêne chevelu</v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>Pin laricio</v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>Cèdre de l'Atlas</v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>Chêne rouge d'Amérique</v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135.66666666666666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117.33333333333333</v>
      </c>
      <c r="S3" s="62">
        <f ca="1">AVERAGE(OFFSET($R$3,0,0,'Données projet'!$E$9+1,1))-AVERAGE(OFFSET($H$3,0,0,'Données projet'!$E$9+1,1))</f>
        <v>437.94016462147999</v>
      </c>
      <c r="T3" s="62">
        <f>IF('Données projet'!E9&gt;30,$R$33-$H$33,LOOKUP('Données projet'!$E$9,$A$3:$A$203,R3:R203)-LOOKUP('Données projet'!$E$9,$A$3:$A$203,$H$3:$H$203))</f>
        <v>281.88254003380348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117.33333333333333</v>
      </c>
      <c r="AN3" s="62">
        <f ca="1">AVERAGE(OFFSET($AM$3,0,0,'Données projet'!$E$10+1,1))-AVERAGE(OFFSET($H$3,0,0,'Données projet'!$E$10+1,1))</f>
        <v>434.56763649859136</v>
      </c>
      <c r="AO3" s="62">
        <f>IF('Données projet'!E10&gt;30,$AM$33-$H$33,LOOKUP('Données projet'!$E$10,$A$3:$A$203,AM3:AM203)-LOOKUP('Données projet'!$E$10,$A$3:$A$203,$H$3:$H$203))</f>
        <v>271.90302066766264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117.33333333333333</v>
      </c>
      <c r="BI3" s="62">
        <f ca="1">AVERAGE(OFFSET($BH$3,0,0,'Données projet'!$E$11+1,1))-AVERAGE(OFFSET($H$3,0,0,'Données projet'!$E$11+1,1))</f>
        <v>199.65420589615553</v>
      </c>
      <c r="BJ3" s="62">
        <f>IF('Données projet'!E11&gt;30,$BH$33-$H$33,LOOKUP('Données projet'!$E$11,$A$3:$A$203,BH3:BH203)-LOOKUP('Données projet'!$E$11,$A$3:$A$203,$H$3:$H$203))</f>
        <v>477.85821088970999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117.33333333333333</v>
      </c>
      <c r="CD3" s="62">
        <f ca="1">AVERAGE(OFFSET($CC$3,0,0,'Données projet'!$E$12+1,1))-AVERAGE(OFFSET($H$3,0,0,'Données projet'!$E$12+1,1))</f>
        <v>437.94016462147999</v>
      </c>
      <c r="CE3" s="62">
        <f>IF('Données projet'!E12&gt;30,$CC$33-$H$33,LOOKUP('Données projet'!$E$12,$A$3:$A$203,CC3:CC203)-LOOKUP('Données projet'!$E$12,$A$3:$A$203,$H$3:$H$203))</f>
        <v>281.88254003380348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117.33333333333333</v>
      </c>
      <c r="CY3" s="62">
        <f ca="1">AVERAGE(OFFSET($CX$3,0,0,'Données projet'!$E$13+1,1))-AVERAGE(OFFSET($H$3,0,0,'Données projet'!$E$13+1,1))</f>
        <v>520.23742527061836</v>
      </c>
      <c r="CZ3" s="62">
        <f>IF('Données projet'!E13&gt;30,$CX$33-$H$33,LOOKUP('Données projet'!$E$13,$A$3:$A$203,CX3:CX203)-LOOKUP('Données projet'!$E$13,$A$3:$A$203,$H$3:$H$203))</f>
        <v>321.35925479331274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117.33333333333333</v>
      </c>
      <c r="DT3" s="62">
        <f ca="1">AVERAGE(OFFSET($DS$3,0,0,'Données projet'!$E$14+1,1))-AVERAGE(OFFSET($H$3,0,0,'Données projet'!$E$14+1,1))</f>
        <v>547.89540791313675</v>
      </c>
      <c r="DU3" s="62">
        <f>IF('Données projet'!E14&gt;30,$DS$33-$H$33,LOOKUP('Données projet'!$E$14,$A$3:$A$203,DS3:DS203)-LOOKUP('Données projet'!$E$14,$A$3:$A$203,$H$3:$H$203))</f>
        <v>345.19555189302378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117.33333333333333</v>
      </c>
      <c r="EO3" s="62">
        <f ca="1">AVERAGE(OFFSET($EN$3,0,0,'Données projet'!$E$15+1,1))-AVERAGE(OFFSET($H$3,0,0,'Données projet'!$E$15+1,1))</f>
        <v>418.23737352070503</v>
      </c>
      <c r="EP3" s="62">
        <f>IF('Données projet'!E15&gt;30,$EN$33-$H$33,LOOKUP('Données projet'!$E$15,$A$3:$A$203,EN3:EN203)-LOOKUP('Données projet'!$E$15,$A$3:$A$203,$H$3:$H$203))</f>
        <v>496.10742685332968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117.33333333333333</v>
      </c>
      <c r="FJ3" s="62">
        <f ca="1">AVERAGE(OFFSET($FI$3,0,0,'Données projet'!$E$16+1,1))-AVERAGE(OFFSET($H$3,0,0,'Données projet'!$E$16+1,1))</f>
        <v>341.70983624543067</v>
      </c>
      <c r="FK3" s="62">
        <f>IF('Données projet'!E16&gt;30,$FI$33-$H$33,LOOKUP('Données projet'!$E$16,$A$3:$A$203,FI3:FI203)-LOOKUP('Données projet'!$E$16,$A$3:$A$203,$H$3:$H$203))</f>
        <v>250.82562837973805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117.33333333333333</v>
      </c>
      <c r="GE3" s="62">
        <f ca="1">AVERAGE(OFFSET($GD$3,0,0,'Données projet'!$E$17+1,1))-AVERAGE(OFFSET($H$3,0,0,'Données projet'!$E$17+1,1))</f>
        <v>368.69628434154333</v>
      </c>
      <c r="GF3" s="62">
        <f>IF('Données projet'!E17&gt;30,$GD$33-$H$33,LOOKUP('Données projet'!$E$17,$A$3:$A$203,GD3:GD203)-LOOKUP('Données projet'!$E$17,$A$3:$A$203,$H$3:$H$203))</f>
        <v>202.28197295839524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2">
        <f>GX3+(GP3+GQ3)*44/12</f>
        <v>117.33333333333333</v>
      </c>
      <c r="GZ3" s="62">
        <f ca="1">AVERAGE(OFFSET($GY$3,0,0,'Données projet'!$E$18+1,1))-AVERAGE(OFFSET($H$3,0,0,'Données projet'!$E$18+1,1))</f>
        <v>378.51861272969165</v>
      </c>
      <c r="HA3" s="62">
        <f>IF('Données projet'!E18&gt;30,$GY$33-$H$33,LOOKUP('Données projet'!$E$18,$A$3:$A$203,GY3:GY203)-LOOKUP('Données projet'!$E$18,$A$3:$A$203,$H$3:$H$203))</f>
        <v>387.42368617035459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135.66666666666666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2.95</v>
      </c>
      <c r="N4" s="14">
        <f>IF('Données projet'!$A$36&gt;35,N3+M4-V3,IF(A4&lt;'Données projet'!$A$36,$K$205^A4,IF(A4='Données projet'!$A$36,'Données projet'!$B$36,N3+M4-V3)))</f>
        <v>1.226147171351889</v>
      </c>
      <c r="O4" s="14">
        <f>N4*VLOOKUP('Données projet'!$B$9,Paramètres!$A$1:$I$89,3,0)*VLOOKUP('Données projet'!$B$9,Paramètres!$A$1:$I$89,5,0)</f>
        <v>0.73323600846842973</v>
      </c>
      <c r="P4" s="14">
        <f>EXP(-1.0587+0.8836*LN(O4)+0.284)</f>
        <v>0.35033334269676686</v>
      </c>
      <c r="Q4" s="22">
        <f t="shared" ref="Q4:Q34" si="2">(O4+P4)*0.475*44/12</f>
        <v>1.8872166199460507</v>
      </c>
      <c r="R4" s="62">
        <f t="shared" si="0"/>
        <v>122.85989400616808</v>
      </c>
      <c r="S4" s="62">
        <f ca="1">AVERAGE(OFFSET($R$3,0,0,'Données projet'!$E$9+1,1))-AVERAGE(OFFSET($H$3,0,0,'Données projet'!$E$9+1,1))</f>
        <v>437.94016462147999</v>
      </c>
      <c r="T4" s="62">
        <f>$T$3</f>
        <v>281.88254003380348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2.84</v>
      </c>
      <c r="AI4" s="14">
        <f>IF('Données projet'!$A$62&gt;35,AI3+AH4-AQ3,IF(A4&lt;'Données projet'!$A$62,$AF$205^A4,IF(A4='Données projet'!$A$62,'Données projet'!$B$62,AI3+AH4-AQ3)))</f>
        <v>1.185906184594963</v>
      </c>
      <c r="AJ4" s="14">
        <f>AI4*VLOOKUP('Données projet'!$B$10,Paramètres!$A$1:$I$89,3,0)*VLOOKUP('Données projet'!$B$10,Paramètres!$A$1:$I$89,5,0)</f>
        <v>1.0730079158215224</v>
      </c>
      <c r="AK4" s="14">
        <f>EXP(-1.0587+0.8836*LN(AJ4)+0.284)</f>
        <v>0.49044782191261621</v>
      </c>
      <c r="AL4" s="22">
        <f t="shared" ref="AL4:AL67" si="4">(AJ4+AK4)*0.475*44/12</f>
        <v>2.7230187432202917</v>
      </c>
      <c r="AM4" s="62">
        <f t="shared" ref="AM4:AM67" si="5">AL4+(AD4+AE4)*44/12</f>
        <v>123.69569612944233</v>
      </c>
      <c r="AN4" s="62">
        <f ca="1">AVERAGE(OFFSET($AM$3,0,0,'Données projet'!$E$10+1,1))-AVERAGE(OFFSET($H$3,0,0,'Données projet'!$E$10+1,1))</f>
        <v>434.56763649859136</v>
      </c>
      <c r="AO4" s="62">
        <f>$AO$3</f>
        <v>271.90302066766264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8.8333333333333339</v>
      </c>
      <c r="BD4" s="13">
        <f>IF('Données projet'!$A$88&gt;35,BD3+BC4-BL3,IF(A4&lt;'Données projet'!$A$88,$BA$205^A4,IF(A4='Données projet'!$A$88,'Données projet'!$B$88,BD3+BC4-BL3)))</f>
        <v>1.4749438547769935</v>
      </c>
      <c r="BE4" s="14">
        <f>BD4*VLOOKUP('Données projet'!$B$11,Paramètres!$A$1:$I$89,3,0)*VLOOKUP('Données projet'!$B$11,Paramètres!$A$1:$I$89,5,0)</f>
        <v>0.88201642515664225</v>
      </c>
      <c r="BF4" s="14">
        <f>EXP(-1.0587+0.8836*LN(BE4)+0.284)</f>
        <v>0.4124537465701128</v>
      </c>
      <c r="BG4" s="22">
        <f t="shared" ref="BG4:BG67" si="7">(BE4+BF4)*0.475*44/12</f>
        <v>2.254535549090765</v>
      </c>
      <c r="BH4" s="62">
        <f t="shared" ref="BH4:BH67" si="8">BG4+(AY4+AZ4)*44/12</f>
        <v>123.22721293531279</v>
      </c>
      <c r="BI4" s="62">
        <f ca="1">AVERAGE(OFFSET($BH$3,0,0,'Données projet'!$E$11+1,1))-AVERAGE(OFFSET($H$3,0,0,'Données projet'!$E$11+1,1))</f>
        <v>199.65420589615553</v>
      </c>
      <c r="BJ4" s="62">
        <f>$BJ$3</f>
        <v>477.85821088970999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2.95</v>
      </c>
      <c r="BY4" s="13">
        <f>IF('Données projet'!$A$114&gt;35,BY3+BX4-CG3,IF(A4&lt;'Données projet'!$A$114,$BV$205^A4,IF(A4='Données projet'!$A$114,'Données projet'!$B$114,BY3+BX4-CG3)))</f>
        <v>1.226147171351889</v>
      </c>
      <c r="BZ4" s="14">
        <f>BY4*VLOOKUP('Données projet'!$B$12,Paramètres!$A$1:$I$89,3,0)*VLOOKUP('Données projet'!$B$12,Paramètres!$A$1:$I$89,5,0)</f>
        <v>0.73323600846842973</v>
      </c>
      <c r="CA4" s="14">
        <f>EXP(-1.0587+0.8836*LN(BZ4)+0.284)</f>
        <v>0.35033334269676686</v>
      </c>
      <c r="CB4" s="22">
        <f t="shared" ref="CB4:CB67" si="10">(BZ4+CA4)*0.475*44/12</f>
        <v>1.8872166199460507</v>
      </c>
      <c r="CC4" s="62">
        <f t="shared" ref="CC4:CC67" si="11">CB4+(BT4+BU4)*44/12</f>
        <v>122.85989400616808</v>
      </c>
      <c r="CD4" s="62">
        <f ca="1">AVERAGE(OFFSET($CC$3,0,0,'Données projet'!$E$12+1,1))-AVERAGE(OFFSET($H$3,0,0,'Données projet'!$E$12+1,1))</f>
        <v>437.94016462147999</v>
      </c>
      <c r="CE4" s="62">
        <f>$CE$3</f>
        <v>281.88254003380348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2.84</v>
      </c>
      <c r="CT4" s="13">
        <f>IF('Données projet'!$A$140&gt;35,CT3+CS4-DB3,IF(A4&lt;'Données projet'!$A$140,$CQ$205^A4,IF(A4='Données projet'!$A$140,'Données projet'!$B$140,CT3+CS4-DB3)))</f>
        <v>1.185906184594963</v>
      </c>
      <c r="CU4" s="18">
        <f>CT4*VLOOKUP('Données projet'!$B$13,Paramètres!$A$1:$I$89,3,0)*VLOOKUP('Données projet'!$B$13,Paramètres!$A$1:$I$89,5,0)</f>
        <v>1.3505099630167439</v>
      </c>
      <c r="CV4" s="14">
        <f>EXP(-1.0587+0.8836*LN(CU4)+0.284)</f>
        <v>0.60097985454559089</v>
      </c>
      <c r="CW4" s="22">
        <f t="shared" ref="CW4:CW67" si="13">(CU4+CV4)*0.475*44/12</f>
        <v>3.3988447655877327</v>
      </c>
      <c r="CX4" s="62">
        <f t="shared" ref="CX4:CX67" si="14">CW4+(CO4+CP4)*44/12</f>
        <v>124.37152215180977</v>
      </c>
      <c r="CY4" s="62">
        <f ca="1">AVERAGE(OFFSET($CX$3,0,0,'Données projet'!$E$13+1,1))-AVERAGE(OFFSET($H$3,0,0,'Données projet'!$E$13+1,1))</f>
        <v>520.23742527061836</v>
      </c>
      <c r="CZ4" s="62">
        <f>$CZ$3</f>
        <v>321.35925479331274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3.65</v>
      </c>
      <c r="DO4" s="13">
        <f>IF('Données projet'!$A$166&gt;35,DO3+DN4-DW3,IF(A4&lt;'Données projet'!$A$166,$DL$205^A4,IF(A4='Données projet'!$A$166,'Données projet'!$B$166,DO3+DN4-DW3)))</f>
        <v>1.2392705892426346</v>
      </c>
      <c r="DP4" s="18">
        <f>DO4*VLOOKUP('Données projet'!$B$14,Paramètres!$A$1:$I$89,3,0)*VLOOKUP('Données projet'!$B$14,Paramètres!$A$1:$I$89,5,0)</f>
        <v>1.2566203774920315</v>
      </c>
      <c r="DQ4" s="14">
        <f>EXP(-1.0587+0.8836*LN(DP4)+0.284)</f>
        <v>0.56390871417545174</v>
      </c>
      <c r="DR4" s="22">
        <f t="shared" ref="DR4:DR67" si="16">(DP4+DQ4)*0.475*44/12</f>
        <v>3.1707548346542</v>
      </c>
      <c r="DS4" s="62">
        <f t="shared" ref="DS4:DS67" si="17">DR4+(DJ4+DK4)*44/12</f>
        <v>124.14343222087624</v>
      </c>
      <c r="DT4" s="62">
        <f ca="1">AVERAGE(OFFSET($DS$3,0,0,'Données projet'!$E$14+1,1))-AVERAGE(OFFSET($H$3,0,0,'Données projet'!$E$14+1,1))</f>
        <v>547.89540791313675</v>
      </c>
      <c r="DU4" s="62">
        <f>$DU$3</f>
        <v>345.19555189302378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5.8</v>
      </c>
      <c r="EJ4" s="13">
        <f>IF('Données projet'!$A$192&gt;35,EJ3+EI4-ER3,IF(A4&lt;'Données projet'!$A$192,$EG$205^A4,IF(A4='Données projet'!$A$192,'Données projet'!$B$192,EJ3+EI4-ER3)))</f>
        <v>1.3467943429205997</v>
      </c>
      <c r="EK4" s="18">
        <f>EJ4*VLOOKUP('Données projet'!$B$15,Paramètres!$A$1:$I$89,3,0)*VLOOKUP('Données projet'!$B$15,Paramètres!$A$1:$I$89,5,0)</f>
        <v>1.407669447220611</v>
      </c>
      <c r="EL4" s="14">
        <f>EXP(-1.0587+0.8836*LN(EK4)+0.284)</f>
        <v>0.62340067724956005</v>
      </c>
      <c r="EM4" s="22">
        <f t="shared" ref="EM4:EM67" si="19">(EK4+EL4)*0.475*44/12</f>
        <v>3.5374471334522148</v>
      </c>
      <c r="EN4" s="62">
        <f t="shared" ref="EN4:EN67" si="20">EM4+(EE4+EF4)*44/12</f>
        <v>124.51012451967425</v>
      </c>
      <c r="EO4" s="62">
        <f ca="1">AVERAGE(OFFSET($EN$3,0,0,'Données projet'!$E$15+1,1))-AVERAGE(OFFSET($H$3,0,0,'Données projet'!$E$15+1,1))</f>
        <v>418.23737352070503</v>
      </c>
      <c r="EP4" s="62">
        <f>$EP$3</f>
        <v>496.10742685332968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4.3703703703703702</v>
      </c>
      <c r="FE4" s="13">
        <f>IF('Données projet'!$A$218&gt;35,FE3+FD4-FM3,IF(A4&lt;'Données projet'!$A$218,$FB$205^A4,IF(A4='Données projet'!$A$218,'Données projet'!$B$218,FE3+FD4-FM3)))</f>
        <v>1.1932635389591795</v>
      </c>
      <c r="FF4" s="18">
        <f>FE4*VLOOKUP('Données projet'!$B$16,Paramètres!$A$1:$I$89,3,0)*VLOOKUP('Données projet'!$B$16,Paramètres!$A$1:$I$89,5,0)</f>
        <v>0.71357159629758937</v>
      </c>
      <c r="FG4" s="14">
        <f>EXP(-1.0587+0.8836*LN(FF4)+0.284)</f>
        <v>0.34201841351504586</v>
      </c>
      <c r="FH4" s="22">
        <f t="shared" ref="FH4:FH67" si="22">(FF4+FG4)*0.475*44/12</f>
        <v>1.8384859337570063</v>
      </c>
      <c r="FI4" s="62">
        <f t="shared" ref="FI4:FI67" si="23">FH4+(EZ4+FA4)*44/12</f>
        <v>122.81116331997904</v>
      </c>
      <c r="FJ4" s="62">
        <f ca="1">AVERAGE(OFFSET($FI$3,0,0,'Données projet'!$E$16+1,1))-AVERAGE(OFFSET($H$3,0,0,'Données projet'!$E$16+1,1))</f>
        <v>341.70983624543067</v>
      </c>
      <c r="FK4" s="62">
        <f>$FK$3</f>
        <v>250.82562837973805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4.0333333333333332</v>
      </c>
      <c r="FZ4" s="13">
        <f>IF('Données projet'!$A$244&gt;35,FZ3+FY4-GH3,IF(A4&lt;'Données projet'!$A$244,$FW$205^A4,IF(A4='Données projet'!$A$244,'Données projet'!$B$244,FZ3+FY4-GH3)))</f>
        <v>1.1733462211934051</v>
      </c>
      <c r="GA4" s="18">
        <f>FZ4*VLOOKUP('Données projet'!$B$17,Paramètres!$A$1:$I$89,3,0)*VLOOKUP('Données projet'!$B$17,Paramètres!$A$1:$I$89,5,0)</f>
        <v>0.54912603151851358</v>
      </c>
      <c r="GB4" s="14">
        <f>EXP(-1.0587+0.8836*LN(GA4)+0.284)</f>
        <v>0.27134777976185437</v>
      </c>
      <c r="GC4" s="22">
        <f t="shared" ref="GC4:GC67" si="25">(GA4+GB4)*0.475*44/12</f>
        <v>1.4289918879799741</v>
      </c>
      <c r="GD4" s="62">
        <f t="shared" ref="GD4:GD67" si="26">GC4+(FU4+FV4)*44/12</f>
        <v>122.40166927420201</v>
      </c>
      <c r="GE4" s="62">
        <f ca="1">AVERAGE(OFFSET($GD$3,0,0,'Données projet'!$E$17+1,1))-AVERAGE(OFFSET($H$3,0,0,'Données projet'!$E$17+1,1))</f>
        <v>368.69628434154333</v>
      </c>
      <c r="GF4" s="62">
        <f>$GF$3</f>
        <v>202.28197295839524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6.6</v>
      </c>
      <c r="GU4" s="13">
        <f>IF('Données projet'!$A$270&gt;35,GU3+GT4-HC3,IF(A4&lt;'Données projet'!$A$270,$GR$205^A4,IF(A4='Données projet'!$A$270,'Données projet'!$B$270,GU3+GT4-HC3)))</f>
        <v>1.2765231539157764</v>
      </c>
      <c r="GV4" s="18">
        <f>GU4*VLOOKUP('Données projet'!$B$18,Paramètres!$A$1:$I$89,3,0)*VLOOKUP('Données projet'!$B$18,Paramètres!$A$1:$I$89,5,0)</f>
        <v>1.1151706272608224</v>
      </c>
      <c r="GW4" s="14">
        <f>EXP(-1.0587+0.8836*LN(GV4)+0.284)</f>
        <v>0.50743784838663863</v>
      </c>
      <c r="GX4" s="22">
        <f t="shared" ref="GX4:GX67" si="28">(GV4+GW4)*0.475*44/12</f>
        <v>2.8260430950859945</v>
      </c>
      <c r="GY4" s="62">
        <f t="shared" ref="GY4:GY67" si="29">GX4+(GP4+GQ4)*44/12</f>
        <v>123.79872048130802</v>
      </c>
      <c r="GZ4" s="62">
        <f ca="1">AVERAGE(OFFSET($GY$3,0,0,'Données projet'!$E$18+1,1))-AVERAGE(OFFSET($H$3,0,0,'Données projet'!$E$18+1,1))</f>
        <v>378.51861272969165</v>
      </c>
      <c r="HA4" s="62">
        <f>$HA$3</f>
        <v>387.42368617035459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135.66666666666666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2.95</v>
      </c>
      <c r="N5" s="14">
        <f>IF('Données projet'!$A$36&gt;35,N4+M5-V4,IF(A5&lt;'Données projet'!$A$36,$K$205^A5,IF(A5='Données projet'!$A$36,'Données projet'!$B$36,N4+M5-V4)))</f>
        <v>1.5034368858142386</v>
      </c>
      <c r="O5" s="14">
        <f>N5*VLOOKUP('Données projet'!$B$9,Paramètres!$A$1:$I$89,3,0)*VLOOKUP('Données projet'!$B$9,Paramètres!$A$1:$I$89,5,0)</f>
        <v>0.89905525771691475</v>
      </c>
      <c r="P5" s="14">
        <f t="shared" ref="P5:P68" si="33">EXP(-1.0587+0.8836*LN(O5)+0.284)</f>
        <v>0.41948623529840945</v>
      </c>
      <c r="Q5" s="22">
        <f t="shared" si="2"/>
        <v>2.2964597670016897</v>
      </c>
      <c r="R5" s="62">
        <f t="shared" si="0"/>
        <v>126.86654954622522</v>
      </c>
      <c r="S5" s="62">
        <f ca="1">AVERAGE(OFFSET($R$3,0,0,'Données projet'!$E$9+1,1))-AVERAGE(OFFSET($H$3,0,0,'Données projet'!$E$9+1,1))</f>
        <v>437.94016462147999</v>
      </c>
      <c r="T5" s="62">
        <f t="shared" ref="T5:T68" si="34">$T$3</f>
        <v>281.88254003380348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2.84</v>
      </c>
      <c r="AI5" s="14">
        <f>IF('Données projet'!$A$62&gt;35,AI4+AH5-AQ4,IF(A5&lt;'Données projet'!$A$62,$AF$205^A5,IF(A5='Données projet'!$A$62,'Données projet'!$B$62,AI4+AH5-AQ4)))</f>
        <v>1.4063734786605824</v>
      </c>
      <c r="AJ5" s="14">
        <f>AI5*VLOOKUP('Données projet'!$B$10,Paramètres!$A$1:$I$89,3,0)*VLOOKUP('Données projet'!$B$10,Paramètres!$A$1:$I$89,5,0)</f>
        <v>1.2724867234920949</v>
      </c>
      <c r="AK5" s="14">
        <f t="shared" ref="AK5:AK68" si="35">EXP(-1.0587+0.8836*LN(AJ5)+0.284)</f>
        <v>0.570195368340213</v>
      </c>
      <c r="AL5" s="22">
        <f t="shared" si="4"/>
        <v>3.209337976607936</v>
      </c>
      <c r="AM5" s="62">
        <f t="shared" si="5"/>
        <v>127.77942775583146</v>
      </c>
      <c r="AN5" s="62">
        <f ca="1">AVERAGE(OFFSET($AM$3,0,0,'Données projet'!$E$10+1,1))-AVERAGE(OFFSET($H$3,0,0,'Données projet'!$E$10+1,1))</f>
        <v>434.56763649859136</v>
      </c>
      <c r="AO5" s="62">
        <f t="shared" ref="AO5:AO68" si="36">$AO$3</f>
        <v>271.90302066766264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8.8333333333333339</v>
      </c>
      <c r="BD5" s="13">
        <f>IF('Données projet'!$A$88&gt;35,BD4+BC5-BL4,IF(A5&lt;'Données projet'!$A$88,$BA$205^A5,IF(A5='Données projet'!$A$88,'Données projet'!$B$88,BD4+BC5-BL4)))</f>
        <v>2.1754593747444169</v>
      </c>
      <c r="BE5" s="14">
        <f>BD5*VLOOKUP('Données projet'!$B$11,Paramètres!$A$1:$I$89,3,0)*VLOOKUP('Données projet'!$B$11,Paramètres!$A$1:$I$89,5,0)</f>
        <v>1.3009247060971614</v>
      </c>
      <c r="BF5" s="14">
        <f t="shared" ref="BF5:BF68" si="37">EXP(-1.0587+0.8836*LN(BE5)+0.284)</f>
        <v>0.58144049425293109</v>
      </c>
      <c r="BG5" s="22">
        <f t="shared" si="7"/>
        <v>3.2784527239430776</v>
      </c>
      <c r="BH5" s="62">
        <f t="shared" si="8"/>
        <v>127.8485425031666</v>
      </c>
      <c r="BI5" s="62">
        <f ca="1">AVERAGE(OFFSET($BH$3,0,0,'Données projet'!$E$11+1,1))-AVERAGE(OFFSET($H$3,0,0,'Données projet'!$E$11+1,1))</f>
        <v>199.65420589615553</v>
      </c>
      <c r="BJ5" s="62">
        <f t="shared" ref="BJ5:BJ68" si="38">$BJ$3</f>
        <v>477.85821088970999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2.95</v>
      </c>
      <c r="BY5" s="13">
        <f>IF('Données projet'!$A$114&gt;35,BY4+BX5-CG4,IF(A5&lt;'Données projet'!$A$114,$BV$205^A5,IF(A5='Données projet'!$A$114,'Données projet'!$B$114,BY4+BX5-CG4)))</f>
        <v>1.5034368858142386</v>
      </c>
      <c r="BZ5" s="14">
        <f>BY5*VLOOKUP('Données projet'!$B$12,Paramètres!$A$1:$I$89,3,0)*VLOOKUP('Données projet'!$B$12,Paramètres!$A$1:$I$89,5,0)</f>
        <v>0.89905525771691475</v>
      </c>
      <c r="CA5" s="14">
        <f t="shared" ref="CA5:CA68" si="39">EXP(-1.0587+0.8836*LN(BZ5)+0.284)</f>
        <v>0.41948623529840945</v>
      </c>
      <c r="CB5" s="22">
        <f t="shared" si="10"/>
        <v>2.2964597670016897</v>
      </c>
      <c r="CC5" s="62">
        <f t="shared" si="11"/>
        <v>126.86654954622522</v>
      </c>
      <c r="CD5" s="62">
        <f ca="1">AVERAGE(OFFSET($CC$3,0,0,'Données projet'!$E$12+1,1))-AVERAGE(OFFSET($H$3,0,0,'Données projet'!$E$12+1,1))</f>
        <v>437.94016462147999</v>
      </c>
      <c r="CE5" s="62">
        <f t="shared" ref="CE5:CE68" si="40">$CE$3</f>
        <v>281.88254003380348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2.84</v>
      </c>
      <c r="CT5" s="13">
        <f>IF('Données projet'!$A$140&gt;35,CT4+CS5-DB4,IF(A5&lt;'Données projet'!$A$140,$CQ$205^A5,IF(A5='Données projet'!$A$140,'Données projet'!$B$140,CT4+CS5-DB4)))</f>
        <v>1.4063734786605824</v>
      </c>
      <c r="CU5" s="18">
        <f>CT5*VLOOKUP('Données projet'!$B$13,Paramètres!$A$1:$I$89,3,0)*VLOOKUP('Données projet'!$B$13,Paramètres!$A$1:$I$89,5,0)</f>
        <v>1.6015781174986712</v>
      </c>
      <c r="CV5" s="14">
        <f t="shared" ref="CV5:CV68" si="41">EXP(-1.0587+0.8836*LN(CU5)+0.284)</f>
        <v>0.6987000741308742</v>
      </c>
      <c r="CW5" s="22">
        <f t="shared" si="13"/>
        <v>4.0063178504214578</v>
      </c>
      <c r="CX5" s="62">
        <f t="shared" si="14"/>
        <v>128.57640762964499</v>
      </c>
      <c r="CY5" s="62">
        <f ca="1">AVERAGE(OFFSET($CX$3,0,0,'Données projet'!$E$13+1,1))-AVERAGE(OFFSET($H$3,0,0,'Données projet'!$E$13+1,1))</f>
        <v>520.23742527061836</v>
      </c>
      <c r="CZ5" s="62">
        <f t="shared" ref="CZ5:CZ68" si="42">$CZ$3</f>
        <v>321.35925479331274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3.65</v>
      </c>
      <c r="DO5" s="13">
        <f>IF('Données projet'!$A$166&gt;35,DO4+DN5-DW4,IF(A5&lt;'Données projet'!$A$166,$DL$205^A5,IF(A5='Données projet'!$A$166,'Données projet'!$B$166,DO4+DN5-DW4)))</f>
        <v>1.5357915933617867</v>
      </c>
      <c r="DP5" s="18">
        <f>DO5*VLOOKUP('Données projet'!$B$14,Paramètres!$A$1:$I$89,3,0)*VLOOKUP('Données projet'!$B$14,Paramètres!$A$1:$I$89,5,0)</f>
        <v>1.5572926756688519</v>
      </c>
      <c r="DQ5" s="14">
        <f t="shared" ref="DQ5:DQ68" si="43">EXP(-1.0587+0.8836*LN(DP5)+0.284)</f>
        <v>0.68160129960402205</v>
      </c>
      <c r="DR5" s="22">
        <f t="shared" si="16"/>
        <v>3.8994070069335893</v>
      </c>
      <c r="DS5" s="62">
        <f t="shared" si="17"/>
        <v>128.46949678615712</v>
      </c>
      <c r="DT5" s="62">
        <f ca="1">AVERAGE(OFFSET($DS$3,0,0,'Données projet'!$E$14+1,1))-AVERAGE(OFFSET($H$3,0,0,'Données projet'!$E$14+1,1))</f>
        <v>547.89540791313675</v>
      </c>
      <c r="DU5" s="62">
        <f t="shared" ref="DU5:DU68" si="44">$DU$3</f>
        <v>345.19555189302378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5.8</v>
      </c>
      <c r="EJ5" s="13">
        <f>IF('Données projet'!$A$192&gt;35,EJ4+EI5-ER4,IF(A5&lt;'Données projet'!$A$192,$EG$205^A5,IF(A5='Données projet'!$A$192,'Données projet'!$B$192,EJ4+EI5-ER4)))</f>
        <v>1.81385500212293</v>
      </c>
      <c r="EK5" s="18">
        <f>EJ5*VLOOKUP('Données projet'!$B$15,Paramètres!$A$1:$I$89,3,0)*VLOOKUP('Données projet'!$B$15,Paramètres!$A$1:$I$89,5,0)</f>
        <v>1.8958412482188867</v>
      </c>
      <c r="EL5" s="14">
        <f t="shared" ref="EL5:EL68" si="45">EXP(-1.0587+0.8836*LN(EK5)+0.284)</f>
        <v>0.81099445319031593</v>
      </c>
      <c r="EM5" s="22">
        <f t="shared" si="19"/>
        <v>4.7144055132876943</v>
      </c>
      <c r="EN5" s="62">
        <f t="shared" si="20"/>
        <v>129.28449529251122</v>
      </c>
      <c r="EO5" s="62">
        <f ca="1">AVERAGE(OFFSET($EN$3,0,0,'Données projet'!$E$15+1,1))-AVERAGE(OFFSET($H$3,0,0,'Données projet'!$E$15+1,1))</f>
        <v>418.23737352070503</v>
      </c>
      <c r="EP5" s="62">
        <f t="shared" ref="EP5:EP68" si="46">$EP$3</f>
        <v>496.10742685332968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4.3703703703703702</v>
      </c>
      <c r="FE5" s="13">
        <f>IF('Données projet'!$A$218&gt;35,FE4+FD5-FM4,IF(A5&lt;'Données projet'!$A$218,$FB$205^A5,IF(A5='Données projet'!$A$218,'Données projet'!$B$218,FE4+FD5-FM4)))</f>
        <v>1.4238778734093853</v>
      </c>
      <c r="FF5" s="18">
        <f>FE5*VLOOKUP('Données projet'!$B$16,Paramètres!$A$1:$I$89,3,0)*VLOOKUP('Données projet'!$B$16,Paramètres!$A$1:$I$89,5,0)</f>
        <v>0.85147896829881242</v>
      </c>
      <c r="FG5" s="14">
        <f t="shared" ref="FG5:FG68" si="47">EXP(-1.0587+0.8836*LN(FF5)+0.284)</f>
        <v>0.39981008543020569</v>
      </c>
      <c r="FH5" s="22">
        <f t="shared" si="22"/>
        <v>2.179328435244706</v>
      </c>
      <c r="FI5" s="62">
        <f t="shared" si="23"/>
        <v>126.74941821446822</v>
      </c>
      <c r="FJ5" s="62">
        <f ca="1">AVERAGE(OFFSET($FI$3,0,0,'Données projet'!$E$16+1,1))-AVERAGE(OFFSET($H$3,0,0,'Données projet'!$E$16+1,1))</f>
        <v>341.70983624543067</v>
      </c>
      <c r="FK5" s="62">
        <f t="shared" ref="FK5:FK68" si="48">$FK$3</f>
        <v>250.82562837973805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4.0333333333333332</v>
      </c>
      <c r="FZ5" s="13">
        <f>IF('Données projet'!$A$244&gt;35,FZ4+FY5-GH4,IF(A5&lt;'Données projet'!$A$244,$FW$205^A5,IF(A5='Données projet'!$A$244,'Données projet'!$B$244,FZ4+FY5-GH4)))</f>
        <v>1.3767413547888432</v>
      </c>
      <c r="GA5" s="18">
        <f>FZ5*VLOOKUP('Données projet'!$B$17,Paramètres!$A$1:$I$89,3,0)*VLOOKUP('Données projet'!$B$17,Paramètres!$A$1:$I$89,5,0)</f>
        <v>0.64431495404117867</v>
      </c>
      <c r="GB5" s="14">
        <f t="shared" ref="GB5:GB68" si="49">EXP(-1.0587+0.8836*LN(GA5)+0.284)</f>
        <v>0.31251527119890932</v>
      </c>
      <c r="GC5" s="22">
        <f t="shared" si="25"/>
        <v>1.66647930895982</v>
      </c>
      <c r="GD5" s="62">
        <f t="shared" si="26"/>
        <v>126.23656908818334</v>
      </c>
      <c r="GE5" s="62">
        <f ca="1">AVERAGE(OFFSET($GD$3,0,0,'Données projet'!$E$17+1,1))-AVERAGE(OFFSET($H$3,0,0,'Données projet'!$E$17+1,1))</f>
        <v>368.69628434154333</v>
      </c>
      <c r="GF5" s="62">
        <f t="shared" ref="GF5:GF68" si="50">$GF$3</f>
        <v>202.28197295839524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6.6</v>
      </c>
      <c r="GU5" s="13">
        <f>IF('Données projet'!$A$270&gt;35,GU4+GT5-HC4,IF(A5&lt;'Données projet'!$A$270,$GR$205^A5,IF(A5='Données projet'!$A$270,'Données projet'!$B$270,GU4+GT5-HC4)))</f>
        <v>1.629511362483081</v>
      </c>
      <c r="GV5" s="18">
        <f>GU5*VLOOKUP('Données projet'!$B$18,Paramètres!$A$1:$I$89,3,0)*VLOOKUP('Données projet'!$B$18,Paramètres!$A$1:$I$89,5,0)</f>
        <v>1.4235411262652198</v>
      </c>
      <c r="GW5" s="14">
        <f t="shared" ref="GW5:GW68" si="51">EXP(-1.0587+0.8836*LN(GV5)+0.284)</f>
        <v>0.62960738463416654</v>
      </c>
      <c r="GX5" s="22">
        <f t="shared" si="28"/>
        <v>3.5759003231497637</v>
      </c>
      <c r="GY5" s="62">
        <f t="shared" si="29"/>
        <v>128.14599010237328</v>
      </c>
      <c r="GZ5" s="62">
        <f ca="1">AVERAGE(OFFSET($GY$3,0,0,'Données projet'!$E$18+1,1))-AVERAGE(OFFSET($H$3,0,0,'Données projet'!$E$18+1,1))</f>
        <v>378.51861272969165</v>
      </c>
      <c r="HA5" s="62">
        <f t="shared" ref="HA5:HA68" si="52">$HA$3</f>
        <v>387.42368617035459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135.66666666666666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2.95</v>
      </c>
      <c r="N6" s="14">
        <f>IF('Données projet'!$A$36&gt;35,N5+M6-V5,IF(A6&lt;'Données projet'!$A$36,$K$205^A6,IF(A6='Données projet'!$A$36,'Données projet'!$B$36,N5+M6-V5)))</f>
        <v>1.8434348848472215</v>
      </c>
      <c r="O6" s="14">
        <f>N6*VLOOKUP('Données projet'!$B$9,Paramètres!$A$1:$I$89,3,0)*VLOOKUP('Données projet'!$B$9,Paramètres!$A$1:$I$89,5,0)</f>
        <v>1.1023740611386386</v>
      </c>
      <c r="P6" s="14">
        <f t="shared" si="33"/>
        <v>0.50228933463847691</v>
      </c>
      <c r="Q6" s="22">
        <f t="shared" si="2"/>
        <v>2.7947887476451427</v>
      </c>
      <c r="R6" s="62">
        <f t="shared" si="0"/>
        <v>130.92108668053686</v>
      </c>
      <c r="S6" s="62">
        <f ca="1">AVERAGE(OFFSET($R$3,0,0,'Données projet'!$E$9+1,1))-AVERAGE(OFFSET($H$3,0,0,'Données projet'!$E$9+1,1))</f>
        <v>437.94016462147999</v>
      </c>
      <c r="T6" s="62">
        <f t="shared" si="34"/>
        <v>281.88254003380348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2.84</v>
      </c>
      <c r="AI6" s="14">
        <f>IF('Données projet'!$A$62&gt;35,AI5+AH6-AQ5,IF(A6&lt;'Données projet'!$A$62,$AF$205^A6,IF(A6='Données projet'!$A$62,'Données projet'!$B$62,AI5+AH6-AQ5)))</f>
        <v>1.6678270061939169</v>
      </c>
      <c r="AJ6" s="14">
        <f>AI6*VLOOKUP('Données projet'!$B$10,Paramètres!$A$1:$I$89,3,0)*VLOOKUP('Données projet'!$B$10,Paramètres!$A$1:$I$89,5,0)</f>
        <v>1.5090498752042558</v>
      </c>
      <c r="AK6" s="14">
        <f t="shared" si="35"/>
        <v>0.66290998461108197</v>
      </c>
      <c r="AL6" s="22">
        <f t="shared" si="4"/>
        <v>3.7828300891783795</v>
      </c>
      <c r="AM6" s="62">
        <f t="shared" si="5"/>
        <v>131.90912802207009</v>
      </c>
      <c r="AN6" s="62">
        <f ca="1">AVERAGE(OFFSET($AM$3,0,0,'Données projet'!$E$10+1,1))-AVERAGE(OFFSET($H$3,0,0,'Données projet'!$E$10+1,1))</f>
        <v>434.56763649859136</v>
      </c>
      <c r="AO6" s="62">
        <f t="shared" si="36"/>
        <v>271.90302066766264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8.8333333333333339</v>
      </c>
      <c r="BD6" s="13">
        <f>IF('Données projet'!$A$88&gt;35,BD5+BC6-BL5,IF(A6&lt;'Données projet'!$A$88,$BA$205^A6,IF(A6='Données projet'!$A$88,'Données projet'!$B$88,BD5+BC6-BL5)))</f>
        <v>3.2086804360962784</v>
      </c>
      <c r="BE6" s="14">
        <f>BD6*VLOOKUP('Données projet'!$B$11,Paramètres!$A$1:$I$89,3,0)*VLOOKUP('Données projet'!$B$11,Paramètres!$A$1:$I$89,5,0)</f>
        <v>1.9187909007855746</v>
      </c>
      <c r="BF6" s="14">
        <f t="shared" si="37"/>
        <v>0.81966293473739615</v>
      </c>
      <c r="BG6" s="22">
        <f t="shared" si="7"/>
        <v>4.7694737635358404</v>
      </c>
      <c r="BH6" s="62">
        <f t="shared" si="8"/>
        <v>132.89577169642754</v>
      </c>
      <c r="BI6" s="62">
        <f ca="1">AVERAGE(OFFSET($BH$3,0,0,'Données projet'!$E$11+1,1))-AVERAGE(OFFSET($H$3,0,0,'Données projet'!$E$11+1,1))</f>
        <v>199.65420589615553</v>
      </c>
      <c r="BJ6" s="62">
        <f t="shared" si="38"/>
        <v>477.85821088970999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2.95</v>
      </c>
      <c r="BY6" s="13">
        <f>IF('Données projet'!$A$114&gt;35,BY5+BX6-CG5,IF(A6&lt;'Données projet'!$A$114,$BV$205^A6,IF(A6='Données projet'!$A$114,'Données projet'!$B$114,BY5+BX6-CG5)))</f>
        <v>1.8434348848472215</v>
      </c>
      <c r="BZ6" s="14">
        <f>BY6*VLOOKUP('Données projet'!$B$12,Paramètres!$A$1:$I$89,3,0)*VLOOKUP('Données projet'!$B$12,Paramètres!$A$1:$I$89,5,0)</f>
        <v>1.1023740611386386</v>
      </c>
      <c r="CA6" s="14">
        <f t="shared" si="39"/>
        <v>0.50228933463847691</v>
      </c>
      <c r="CB6" s="22">
        <f t="shared" si="10"/>
        <v>2.7947887476451427</v>
      </c>
      <c r="CC6" s="62">
        <f t="shared" si="11"/>
        <v>130.92108668053686</v>
      </c>
      <c r="CD6" s="62">
        <f ca="1">AVERAGE(OFFSET($CC$3,0,0,'Données projet'!$E$12+1,1))-AVERAGE(OFFSET($H$3,0,0,'Données projet'!$E$12+1,1))</f>
        <v>437.94016462147999</v>
      </c>
      <c r="CE6" s="62">
        <f t="shared" si="40"/>
        <v>281.88254003380348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2.84</v>
      </c>
      <c r="CT6" s="13">
        <f>IF('Données projet'!$A$140&gt;35,CT5+CS6-DB5,IF(A6&lt;'Données projet'!$A$140,$CQ$205^A6,IF(A6='Données projet'!$A$140,'Données projet'!$B$140,CT5+CS6-DB5)))</f>
        <v>1.6678270061939169</v>
      </c>
      <c r="CU6" s="18">
        <f>CT6*VLOOKUP('Données projet'!$B$13,Paramètres!$A$1:$I$89,3,0)*VLOOKUP('Données projet'!$B$13,Paramètres!$A$1:$I$89,5,0)</f>
        <v>1.8993213946536327</v>
      </c>
      <c r="CV6" s="14">
        <f t="shared" si="41"/>
        <v>0.81230974698745961</v>
      </c>
      <c r="CW6" s="22">
        <f t="shared" si="13"/>
        <v>4.7227575716915684</v>
      </c>
      <c r="CX6" s="62">
        <f t="shared" si="14"/>
        <v>132.84905550458328</v>
      </c>
      <c r="CY6" s="62">
        <f ca="1">AVERAGE(OFFSET($CX$3,0,0,'Données projet'!$E$13+1,1))-AVERAGE(OFFSET($H$3,0,0,'Données projet'!$E$13+1,1))</f>
        <v>520.23742527061836</v>
      </c>
      <c r="CZ6" s="62">
        <f t="shared" si="42"/>
        <v>321.35925479331274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3.65</v>
      </c>
      <c r="DO6" s="13">
        <f>IF('Données projet'!$A$166&gt;35,DO5+DN6-DW5,IF(A6&lt;'Données projet'!$A$166,$DL$205^A6,IF(A6='Données projet'!$A$166,'Données projet'!$B$166,DO5+DN6-DW5)))</f>
        <v>1.9032613528593461</v>
      </c>
      <c r="DP6" s="18">
        <f>DO6*VLOOKUP('Données projet'!$B$14,Paramètres!$A$1:$I$89,3,0)*VLOOKUP('Données projet'!$B$14,Paramètres!$A$1:$I$89,5,0)</f>
        <v>1.9299070117993768</v>
      </c>
      <c r="DQ6" s="14">
        <f t="shared" si="43"/>
        <v>0.82385733708903885</v>
      </c>
      <c r="DR6" s="22">
        <f t="shared" si="16"/>
        <v>4.7961395743139903</v>
      </c>
      <c r="DS6" s="62">
        <f t="shared" si="17"/>
        <v>132.9224375072057</v>
      </c>
      <c r="DT6" s="62">
        <f ca="1">AVERAGE(OFFSET($DS$3,0,0,'Données projet'!$E$14+1,1))-AVERAGE(OFFSET($H$3,0,0,'Données projet'!$E$14+1,1))</f>
        <v>547.89540791313675</v>
      </c>
      <c r="DU6" s="62">
        <f t="shared" si="44"/>
        <v>345.19555189302378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5.8</v>
      </c>
      <c r="EJ6" s="13">
        <f>IF('Données projet'!$A$192&gt;35,EJ5+EI6-ER5,IF(A6&lt;'Données projet'!$A$192,$EG$205^A6,IF(A6='Données projet'!$A$192,'Données projet'!$B$192,EJ5+EI6-ER5)))</f>
        <v>2.4428896557373947</v>
      </c>
      <c r="EK6" s="18">
        <f>EJ6*VLOOKUP('Données projet'!$B$15,Paramètres!$A$1:$I$89,3,0)*VLOOKUP('Données projet'!$B$15,Paramètres!$A$1:$I$89,5,0)</f>
        <v>2.5533082681767252</v>
      </c>
      <c r="EL6" s="14">
        <f t="shared" si="45"/>
        <v>1.0550389614706239</v>
      </c>
      <c r="EM6" s="22">
        <f t="shared" si="19"/>
        <v>6.2845380916357998</v>
      </c>
      <c r="EN6" s="62">
        <f t="shared" si="20"/>
        <v>134.4108360245275</v>
      </c>
      <c r="EO6" s="62">
        <f ca="1">AVERAGE(OFFSET($EN$3,0,0,'Données projet'!$E$15+1,1))-AVERAGE(OFFSET($H$3,0,0,'Données projet'!$E$15+1,1))</f>
        <v>418.23737352070503</v>
      </c>
      <c r="EP6" s="62">
        <f t="shared" si="46"/>
        <v>496.10742685332968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4.3703703703703702</v>
      </c>
      <c r="FE6" s="13">
        <f>IF('Données projet'!$A$218&gt;35,FE5+FD6-FM5,IF(A6&lt;'Données projet'!$A$218,$FB$205^A6,IF(A6='Données projet'!$A$218,'Données projet'!$B$218,FE5+FD6-FM5)))</f>
        <v>1.6990615502701536</v>
      </c>
      <c r="FF6" s="18">
        <f>FE6*VLOOKUP('Données projet'!$B$16,Paramètres!$A$1:$I$89,3,0)*VLOOKUP('Données projet'!$B$16,Paramètres!$A$1:$I$89,5,0)</f>
        <v>1.0160388070615518</v>
      </c>
      <c r="FG6" s="14">
        <f t="shared" si="47"/>
        <v>0.46736695480483653</v>
      </c>
      <c r="FH6" s="22">
        <f t="shared" si="22"/>
        <v>2.5835983685839596</v>
      </c>
      <c r="FI6" s="62">
        <f t="shared" si="23"/>
        <v>130.70989630147565</v>
      </c>
      <c r="FJ6" s="62">
        <f ca="1">AVERAGE(OFFSET($FI$3,0,0,'Données projet'!$E$16+1,1))-AVERAGE(OFFSET($H$3,0,0,'Données projet'!$E$16+1,1))</f>
        <v>341.70983624543067</v>
      </c>
      <c r="FK6" s="62">
        <f t="shared" si="48"/>
        <v>250.82562837973805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4.0333333333333332</v>
      </c>
      <c r="FZ6" s="13">
        <f>IF('Données projet'!$A$244&gt;35,FZ5+FY6-GH5,IF(A6&lt;'Données projet'!$A$244,$FW$205^A6,IF(A6='Données projet'!$A$244,'Données projet'!$B$244,FZ5+FY6-GH5)))</f>
        <v>1.6153942662021783</v>
      </c>
      <c r="GA6" s="18">
        <f>FZ6*VLOOKUP('Données projet'!$B$17,Paramètres!$A$1:$I$89,3,0)*VLOOKUP('Données projet'!$B$17,Paramètres!$A$1:$I$89,5,0)</f>
        <v>0.75600451658261936</v>
      </c>
      <c r="GB6" s="14">
        <f t="shared" si="49"/>
        <v>0.35992848299051222</v>
      </c>
      <c r="GC6" s="22">
        <f t="shared" si="25"/>
        <v>1.9435833075898705</v>
      </c>
      <c r="GD6" s="62">
        <f t="shared" si="26"/>
        <v>130.06988124048158</v>
      </c>
      <c r="GE6" s="62">
        <f ca="1">AVERAGE(OFFSET($GD$3,0,0,'Données projet'!$E$17+1,1))-AVERAGE(OFFSET($H$3,0,0,'Données projet'!$E$17+1,1))</f>
        <v>368.69628434154333</v>
      </c>
      <c r="GF6" s="62">
        <f t="shared" si="50"/>
        <v>202.28197295839524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6.6</v>
      </c>
      <c r="GU6" s="13">
        <f>IF('Données projet'!$A$270&gt;35,GU5+GT6-HC5,IF(A6&lt;'Données projet'!$A$270,$GR$205^A6,IF(A6='Données projet'!$A$270,'Données projet'!$B$270,GU5+GT6-HC5)))</f>
        <v>2.0801089837784965</v>
      </c>
      <c r="GV6" s="18">
        <f>GU6*VLOOKUP('Données projet'!$B$18,Paramètres!$A$1:$I$89,3,0)*VLOOKUP('Données projet'!$B$18,Paramètres!$A$1:$I$89,5,0)</f>
        <v>1.8171832082288948</v>
      </c>
      <c r="GW6" s="14">
        <f t="shared" si="51"/>
        <v>0.7811901694881791</v>
      </c>
      <c r="GX6" s="22">
        <f t="shared" si="28"/>
        <v>4.5255002995239044</v>
      </c>
      <c r="GY6" s="62">
        <f t="shared" si="29"/>
        <v>132.65179823241562</v>
      </c>
      <c r="GZ6" s="62">
        <f ca="1">AVERAGE(OFFSET($GY$3,0,0,'Données projet'!$E$18+1,1))-AVERAGE(OFFSET($H$3,0,0,'Données projet'!$E$18+1,1))</f>
        <v>378.51861272969165</v>
      </c>
      <c r="HA6" s="62">
        <f t="shared" si="52"/>
        <v>387.42368617035459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135.66666666666666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2.95</v>
      </c>
      <c r="N7" s="14">
        <f>IF('Données projet'!$A$36&gt;35,N6+M7-V6,IF(A7&lt;'Données projet'!$A$36,$K$205^A7,IF(A7='Données projet'!$A$36,'Données projet'!$B$36,N6+M7-V6)))</f>
        <v>2.260322469626816</v>
      </c>
      <c r="O7" s="14">
        <f>N7*VLOOKUP('Données projet'!$B$9,Paramètres!$A$1:$I$89,3,0)*VLOOKUP('Données projet'!$B$9,Paramètres!$A$1:$I$89,5,0)</f>
        <v>1.3516728368368363</v>
      </c>
      <c r="P7" s="14">
        <f t="shared" si="33"/>
        <v>0.60143707817275438</v>
      </c>
      <c r="Q7" s="22">
        <f t="shared" si="2"/>
        <v>3.4016664353083708</v>
      </c>
      <c r="R7" s="62">
        <f t="shared" si="0"/>
        <v>135.04368308396846</v>
      </c>
      <c r="S7" s="62">
        <f ca="1">AVERAGE(OFFSET($R$3,0,0,'Données projet'!$E$9+1,1))-AVERAGE(OFFSET($H$3,0,0,'Données projet'!$E$9+1,1))</f>
        <v>437.94016462147999</v>
      </c>
      <c r="T7" s="62">
        <f t="shared" si="34"/>
        <v>281.88254003380348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2.84</v>
      </c>
      <c r="AI7" s="14">
        <f>IF('Données projet'!$A$62&gt;35,AI6+AH7-AQ6,IF(A7&lt;'Données projet'!$A$62,$AF$205^A7,IF(A7='Données projet'!$A$62,'Données projet'!$B$62,AI6+AH7-AQ6)))</f>
        <v>1.9778863614798676</v>
      </c>
      <c r="AJ7" s="14">
        <f>AI7*VLOOKUP('Données projet'!$B$10,Paramètres!$A$1:$I$89,3,0)*VLOOKUP('Données projet'!$B$10,Paramètres!$A$1:$I$89,5,0)</f>
        <v>1.7895915798669841</v>
      </c>
      <c r="AK7" s="14">
        <f t="shared" si="35"/>
        <v>0.77070013559784434</v>
      </c>
      <c r="AL7" s="22">
        <f t="shared" si="4"/>
        <v>4.459174737767909</v>
      </c>
      <c r="AM7" s="62">
        <f t="shared" si="5"/>
        <v>136.10119138642801</v>
      </c>
      <c r="AN7" s="62">
        <f ca="1">AVERAGE(OFFSET($AM$3,0,0,'Données projet'!$E$10+1,1))-AVERAGE(OFFSET($H$3,0,0,'Données projet'!$E$10+1,1))</f>
        <v>434.56763649859136</v>
      </c>
      <c r="AO7" s="62">
        <f t="shared" si="36"/>
        <v>271.90302066766264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8.8333333333333339</v>
      </c>
      <c r="BD7" s="13">
        <f>IF('Données projet'!$A$88&gt;35,BD6+BC7-BL6,IF(A7&lt;'Données projet'!$A$88,$BA$205^A7,IF(A7='Données projet'!$A$88,'Données projet'!$B$88,BD6+BC7-BL6)))</f>
        <v>4.7326234911633689</v>
      </c>
      <c r="BE7" s="14">
        <f>BD7*VLOOKUP('Données projet'!$B$11,Paramètres!$A$1:$I$89,3,0)*VLOOKUP('Données projet'!$B$11,Paramètres!$A$1:$I$89,5,0)</f>
        <v>2.8301088477156946</v>
      </c>
      <c r="BF7" s="14">
        <f t="shared" si="37"/>
        <v>1.1554876779704684</v>
      </c>
      <c r="BG7" s="22">
        <f t="shared" si="7"/>
        <v>6.9415806155700679</v>
      </c>
      <c r="BH7" s="62">
        <f t="shared" si="8"/>
        <v>138.58359726423018</v>
      </c>
      <c r="BI7" s="62">
        <f ca="1">AVERAGE(OFFSET($BH$3,0,0,'Données projet'!$E$11+1,1))-AVERAGE(OFFSET($H$3,0,0,'Données projet'!$E$11+1,1))</f>
        <v>199.65420589615553</v>
      </c>
      <c r="BJ7" s="62">
        <f t="shared" si="38"/>
        <v>477.85821088970999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2.95</v>
      </c>
      <c r="BY7" s="13">
        <f>IF('Données projet'!$A$114&gt;35,BY6+BX7-CG6,IF(A7&lt;'Données projet'!$A$114,$BV$205^A7,IF(A7='Données projet'!$A$114,'Données projet'!$B$114,BY6+BX7-CG6)))</f>
        <v>2.260322469626816</v>
      </c>
      <c r="BZ7" s="14">
        <f>BY7*VLOOKUP('Données projet'!$B$12,Paramètres!$A$1:$I$89,3,0)*VLOOKUP('Données projet'!$B$12,Paramètres!$A$1:$I$89,5,0)</f>
        <v>1.3516728368368363</v>
      </c>
      <c r="CA7" s="14">
        <f t="shared" si="39"/>
        <v>0.60143707817275438</v>
      </c>
      <c r="CB7" s="22">
        <f t="shared" si="10"/>
        <v>3.4016664353083708</v>
      </c>
      <c r="CC7" s="62">
        <f t="shared" si="11"/>
        <v>135.04368308396846</v>
      </c>
      <c r="CD7" s="62">
        <f ca="1">AVERAGE(OFFSET($CC$3,0,0,'Données projet'!$E$12+1,1))-AVERAGE(OFFSET($H$3,0,0,'Données projet'!$E$12+1,1))</f>
        <v>437.94016462147999</v>
      </c>
      <c r="CE7" s="62">
        <f t="shared" si="40"/>
        <v>281.88254003380348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2.84</v>
      </c>
      <c r="CT7" s="13">
        <f>IF('Données projet'!$A$140&gt;35,CT6+CS7-DB6,IF(A7&lt;'Données projet'!$A$140,$CQ$205^A7,IF(A7='Données projet'!$A$140,'Données projet'!$B$140,CT6+CS7-DB6)))</f>
        <v>1.9778863614798676</v>
      </c>
      <c r="CU7" s="18">
        <f>CT7*VLOOKUP('Données projet'!$B$13,Paramètres!$A$1:$I$89,3,0)*VLOOKUP('Données projet'!$B$13,Paramètres!$A$1:$I$89,5,0)</f>
        <v>2.2524169884532732</v>
      </c>
      <c r="CV7" s="14">
        <f t="shared" si="41"/>
        <v>0.94439252188662837</v>
      </c>
      <c r="CW7" s="22">
        <f t="shared" si="13"/>
        <v>5.5677765638419956</v>
      </c>
      <c r="CX7" s="62">
        <f t="shared" si="14"/>
        <v>137.20979321250209</v>
      </c>
      <c r="CY7" s="62">
        <f ca="1">AVERAGE(OFFSET($CX$3,0,0,'Données projet'!$E$13+1,1))-AVERAGE(OFFSET($H$3,0,0,'Données projet'!$E$13+1,1))</f>
        <v>520.23742527061836</v>
      </c>
      <c r="CZ7" s="62">
        <f t="shared" si="42"/>
        <v>321.35925479331274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3.65</v>
      </c>
      <c r="DO7" s="13">
        <f>IF('Données projet'!$A$166&gt;35,DO6+DN7-DW6,IF(A7&lt;'Données projet'!$A$166,$DL$205^A7,IF(A7='Données projet'!$A$166,'Données projet'!$B$166,DO6+DN7-DW6)))</f>
        <v>2.3586558182407358</v>
      </c>
      <c r="DP7" s="18">
        <f>DO7*VLOOKUP('Données projet'!$B$14,Paramètres!$A$1:$I$89,3,0)*VLOOKUP('Données projet'!$B$14,Paramètres!$A$1:$I$89,5,0)</f>
        <v>2.3916769996961063</v>
      </c>
      <c r="DQ7" s="14">
        <f t="shared" si="43"/>
        <v>0.9958034297612971</v>
      </c>
      <c r="DR7" s="22">
        <f t="shared" si="16"/>
        <v>5.8998617479716442</v>
      </c>
      <c r="DS7" s="62">
        <f t="shared" si="17"/>
        <v>137.54187839663174</v>
      </c>
      <c r="DT7" s="62">
        <f ca="1">AVERAGE(OFFSET($DS$3,0,0,'Données projet'!$E$14+1,1))-AVERAGE(OFFSET($H$3,0,0,'Données projet'!$E$14+1,1))</f>
        <v>547.89540791313675</v>
      </c>
      <c r="DU7" s="62">
        <f t="shared" si="44"/>
        <v>345.19555189302378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5.8</v>
      </c>
      <c r="EJ7" s="13">
        <f>IF('Données projet'!$A$192&gt;35,EJ6+EI7-ER6,IF(A7&lt;'Données projet'!$A$192,$EG$205^A7,IF(A7='Données projet'!$A$192,'Données projet'!$B$192,EJ6+EI7-ER6)))</f>
        <v>3.2900699687263746</v>
      </c>
      <c r="EK7" s="18">
        <f>EJ7*VLOOKUP('Données projet'!$B$15,Paramètres!$A$1:$I$89,3,0)*VLOOKUP('Données projet'!$B$15,Paramètres!$A$1:$I$89,5,0)</f>
        <v>3.4387811313128069</v>
      </c>
      <c r="EL7" s="14">
        <f t="shared" si="45"/>
        <v>1.3725213604633617</v>
      </c>
      <c r="EM7" s="22">
        <f t="shared" si="19"/>
        <v>8.379685173176826</v>
      </c>
      <c r="EN7" s="62">
        <f t="shared" si="20"/>
        <v>140.02170182183693</v>
      </c>
      <c r="EO7" s="62">
        <f ca="1">AVERAGE(OFFSET($EN$3,0,0,'Données projet'!$E$15+1,1))-AVERAGE(OFFSET($H$3,0,0,'Données projet'!$E$15+1,1))</f>
        <v>418.23737352070503</v>
      </c>
      <c r="EP7" s="62">
        <f t="shared" si="46"/>
        <v>496.10742685332968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4.3703703703703702</v>
      </c>
      <c r="FE7" s="13">
        <f>IF('Données projet'!$A$218&gt;35,FE6+FD7-FM6,IF(A7&lt;'Données projet'!$A$218,$FB$205^A7,IF(A7='Données projet'!$A$218,'Données projet'!$B$218,FE6+FD7-FM6)))</f>
        <v>2.0274281983848335</v>
      </c>
      <c r="FF7" s="18">
        <f>FE7*VLOOKUP('Données projet'!$B$16,Paramètres!$A$1:$I$89,3,0)*VLOOKUP('Données projet'!$B$16,Paramètres!$A$1:$I$89,5,0)</f>
        <v>1.2124020626341305</v>
      </c>
      <c r="FG7" s="14">
        <f t="shared" si="47"/>
        <v>0.54633907048269681</v>
      </c>
      <c r="FH7" s="22">
        <f t="shared" si="22"/>
        <v>3.0631408068451407</v>
      </c>
      <c r="FI7" s="62">
        <f t="shared" si="23"/>
        <v>134.70515745550523</v>
      </c>
      <c r="FJ7" s="62">
        <f ca="1">AVERAGE(OFFSET($FI$3,0,0,'Données projet'!$E$16+1,1))-AVERAGE(OFFSET($H$3,0,0,'Données projet'!$E$16+1,1))</f>
        <v>341.70983624543067</v>
      </c>
      <c r="FK7" s="62">
        <f t="shared" si="48"/>
        <v>250.82562837973805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4.0333333333333332</v>
      </c>
      <c r="FZ7" s="13">
        <f>IF('Données projet'!$A$244&gt;35,FZ6+FY7-GH6,IF(A7&lt;'Données projet'!$A$244,$FW$205^A7,IF(A7='Données projet'!$A$244,'Données projet'!$B$244,FZ6+FY7-GH6)))</f>
        <v>1.8954167579858194</v>
      </c>
      <c r="GA7" s="18">
        <f>FZ7*VLOOKUP('Données projet'!$B$17,Paramètres!$A$1:$I$89,3,0)*VLOOKUP('Données projet'!$B$17,Paramètres!$A$1:$I$89,5,0)</f>
        <v>0.88705504273736346</v>
      </c>
      <c r="GB7" s="14">
        <f t="shared" si="49"/>
        <v>0.41453498374931108</v>
      </c>
      <c r="GC7" s="22">
        <f t="shared" si="25"/>
        <v>2.2669359627976253</v>
      </c>
      <c r="GD7" s="62">
        <f t="shared" si="26"/>
        <v>133.90895261145772</v>
      </c>
      <c r="GE7" s="62">
        <f ca="1">AVERAGE(OFFSET($GD$3,0,0,'Données projet'!$E$17+1,1))-AVERAGE(OFFSET($H$3,0,0,'Données projet'!$E$17+1,1))</f>
        <v>368.69628434154333</v>
      </c>
      <c r="GF7" s="62">
        <f t="shared" si="50"/>
        <v>202.28197295839524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6.6</v>
      </c>
      <c r="GU7" s="13">
        <f>IF('Données projet'!$A$270&gt;35,GU6+GT7-HC6,IF(A7&lt;'Données projet'!$A$270,$GR$205^A7,IF(A7='Données projet'!$A$270,'Données projet'!$B$270,GU6+GT7-HC6)))</f>
        <v>2.655307280461467</v>
      </c>
      <c r="GV7" s="18">
        <f>GU7*VLOOKUP('Données projet'!$B$18,Paramètres!$A$1:$I$89,3,0)*VLOOKUP('Données projet'!$B$18,Paramètres!$A$1:$I$89,5,0)</f>
        <v>2.3196764402111376</v>
      </c>
      <c r="GW7" s="14">
        <f t="shared" si="51"/>
        <v>0.96926766711854973</v>
      </c>
      <c r="GX7" s="22">
        <f t="shared" si="28"/>
        <v>5.7282443202658717</v>
      </c>
      <c r="GY7" s="62">
        <f t="shared" si="29"/>
        <v>137.37026096892598</v>
      </c>
      <c r="GZ7" s="62">
        <f ca="1">AVERAGE(OFFSET($GY$3,0,0,'Données projet'!$E$18+1,1))-AVERAGE(OFFSET($H$3,0,0,'Données projet'!$E$18+1,1))</f>
        <v>378.51861272969165</v>
      </c>
      <c r="HA7" s="62">
        <f t="shared" si="52"/>
        <v>387.42368617035459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135.66666666666666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2.95</v>
      </c>
      <c r="N8" s="14">
        <f>IF('Données projet'!$A$36&gt;35,N7+M8-V7,IF(A8&lt;'Données projet'!$A$36,$K$205^A8,IF(A8='Données projet'!$A$36,'Données projet'!$B$36,N7+M8-V7)))</f>
        <v>2.7714880024760364</v>
      </c>
      <c r="O8" s="14">
        <f>N8*VLOOKUP('Données projet'!$B$9,Paramètres!$A$1:$I$89,3,0)*VLOOKUP('Données projet'!$B$9,Paramètres!$A$1:$I$89,5,0)</f>
        <v>1.6573498254806698</v>
      </c>
      <c r="P8" s="14">
        <f t="shared" si="33"/>
        <v>0.72015576293558503</v>
      </c>
      <c r="Q8" s="22">
        <f t="shared" si="2"/>
        <v>4.1408222331583096</v>
      </c>
      <c r="R8" s="62">
        <f t="shared" si="0"/>
        <v>139.2587705609138</v>
      </c>
      <c r="S8" s="62">
        <f ca="1">AVERAGE(OFFSET($R$3,0,0,'Données projet'!$E$9+1,1))-AVERAGE(OFFSET($H$3,0,0,'Données projet'!$E$9+1,1))</f>
        <v>437.94016462147999</v>
      </c>
      <c r="T8" s="62">
        <f t="shared" si="34"/>
        <v>281.88254003380348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2.84</v>
      </c>
      <c r="AI8" s="14">
        <f>IF('Données projet'!$A$62&gt;35,AI7+AH8-AQ7,IF(A8&lt;'Données projet'!$A$62,$AF$205^A8,IF(A8='Données projet'!$A$62,'Données projet'!$B$62,AI7+AH8-AQ7)))</f>
        <v>2.3455876685050034</v>
      </c>
      <c r="AJ8" s="14">
        <f>AI8*VLOOKUP('Données projet'!$B$10,Paramètres!$A$1:$I$89,3,0)*VLOOKUP('Données projet'!$B$10,Paramètres!$A$1:$I$89,5,0)</f>
        <v>2.122287722463327</v>
      </c>
      <c r="AK8" s="14">
        <f t="shared" si="35"/>
        <v>0.89601712570223679</v>
      </c>
      <c r="AL8" s="22">
        <f t="shared" si="4"/>
        <v>5.2568809438883566</v>
      </c>
      <c r="AM8" s="62">
        <f t="shared" si="5"/>
        <v>140.37482927164385</v>
      </c>
      <c r="AN8" s="62">
        <f ca="1">AVERAGE(OFFSET($AM$3,0,0,'Données projet'!$E$10+1,1))-AVERAGE(OFFSET($H$3,0,0,'Données projet'!$E$10+1,1))</f>
        <v>434.56763649859136</v>
      </c>
      <c r="AO8" s="62">
        <f t="shared" si="36"/>
        <v>271.90302066766264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8.8333333333333339</v>
      </c>
      <c r="BD8" s="13">
        <f>IF('Données projet'!$A$88&gt;35,BD7+BC8-BL7,IF(A8&lt;'Données projet'!$A$88,$BA$205^A8,IF(A8='Données projet'!$A$88,'Données projet'!$B$88,BD7+BC8-BL7)))</f>
        <v>6.9803539352646524</v>
      </c>
      <c r="BE8" s="14">
        <f>BD8*VLOOKUP('Données projet'!$B$11,Paramètres!$A$1:$I$89,3,0)*VLOOKUP('Données projet'!$B$11,Paramètres!$A$1:$I$89,5,0)</f>
        <v>4.1742516532882625</v>
      </c>
      <c r="BF8" s="14">
        <f t="shared" si="37"/>
        <v>1.6289034398869595</v>
      </c>
      <c r="BG8" s="22">
        <f t="shared" si="7"/>
        <v>10.107161787280178</v>
      </c>
      <c r="BH8" s="62">
        <f t="shared" si="8"/>
        <v>145.22511011503568</v>
      </c>
      <c r="BI8" s="62">
        <f ca="1">AVERAGE(OFFSET($BH$3,0,0,'Données projet'!$E$11+1,1))-AVERAGE(OFFSET($H$3,0,0,'Données projet'!$E$11+1,1))</f>
        <v>199.65420589615553</v>
      </c>
      <c r="BJ8" s="62">
        <f t="shared" si="38"/>
        <v>477.85821088970999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2.95</v>
      </c>
      <c r="BY8" s="13">
        <f>IF('Données projet'!$A$114&gt;35,BY7+BX8-CG7,IF(A8&lt;'Données projet'!$A$114,$BV$205^A8,IF(A8='Données projet'!$A$114,'Données projet'!$B$114,BY7+BX8-CG7)))</f>
        <v>2.7714880024760364</v>
      </c>
      <c r="BZ8" s="14">
        <f>BY8*VLOOKUP('Données projet'!$B$12,Paramètres!$A$1:$I$89,3,0)*VLOOKUP('Données projet'!$B$12,Paramètres!$A$1:$I$89,5,0)</f>
        <v>1.6573498254806698</v>
      </c>
      <c r="CA8" s="14">
        <f t="shared" si="39"/>
        <v>0.72015576293558503</v>
      </c>
      <c r="CB8" s="22">
        <f t="shared" si="10"/>
        <v>4.1408222331583096</v>
      </c>
      <c r="CC8" s="62">
        <f t="shared" si="11"/>
        <v>139.2587705609138</v>
      </c>
      <c r="CD8" s="62">
        <f ca="1">AVERAGE(OFFSET($CC$3,0,0,'Données projet'!$E$12+1,1))-AVERAGE(OFFSET($H$3,0,0,'Données projet'!$E$12+1,1))</f>
        <v>437.94016462147999</v>
      </c>
      <c r="CE8" s="62">
        <f t="shared" si="40"/>
        <v>281.88254003380348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2.84</v>
      </c>
      <c r="CT8" s="13">
        <f>IF('Données projet'!$A$140&gt;35,CT7+CS8-DB7,IF(A8&lt;'Données projet'!$A$140,$CQ$205^A8,IF(A8='Données projet'!$A$140,'Données projet'!$B$140,CT7+CS8-DB7)))</f>
        <v>2.3455876685050034</v>
      </c>
      <c r="CU8" s="18">
        <f>CT8*VLOOKUP('Données projet'!$B$13,Paramètres!$A$1:$I$89,3,0)*VLOOKUP('Données projet'!$B$13,Paramètres!$A$1:$I$89,5,0)</f>
        <v>2.6711552368934983</v>
      </c>
      <c r="CV8" s="14">
        <f t="shared" si="41"/>
        <v>1.0979521527385474</v>
      </c>
      <c r="CW8" s="22">
        <f t="shared" si="13"/>
        <v>6.5645287036091462</v>
      </c>
      <c r="CX8" s="62">
        <f t="shared" si="14"/>
        <v>141.68247703136464</v>
      </c>
      <c r="CY8" s="62">
        <f ca="1">AVERAGE(OFFSET($CX$3,0,0,'Données projet'!$E$13+1,1))-AVERAGE(OFFSET($H$3,0,0,'Données projet'!$E$13+1,1))</f>
        <v>520.23742527061836</v>
      </c>
      <c r="CZ8" s="62">
        <f t="shared" si="42"/>
        <v>321.35925479331274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3.65</v>
      </c>
      <c r="DO8" s="13">
        <f>IF('Données projet'!$A$166&gt;35,DO7+DN8-DW7,IF(A8&lt;'Données projet'!$A$166,$DL$205^A8,IF(A8='Données projet'!$A$166,'Données projet'!$B$166,DO7+DN8-DW7)))</f>
        <v>2.9230127856917649</v>
      </c>
      <c r="DP8" s="18">
        <f>DO8*VLOOKUP('Données projet'!$B$14,Paramètres!$A$1:$I$89,3,0)*VLOOKUP('Données projet'!$B$14,Paramètres!$A$1:$I$89,5,0)</f>
        <v>2.9639349646914495</v>
      </c>
      <c r="DQ8" s="14">
        <f t="shared" si="43"/>
        <v>1.2036361467970902</v>
      </c>
      <c r="DR8" s="22">
        <f t="shared" si="16"/>
        <v>7.2585196858425398</v>
      </c>
      <c r="DS8" s="62">
        <f t="shared" si="17"/>
        <v>142.37646801359804</v>
      </c>
      <c r="DT8" s="62">
        <f ca="1">AVERAGE(OFFSET($DS$3,0,0,'Données projet'!$E$14+1,1))-AVERAGE(OFFSET($H$3,0,0,'Données projet'!$E$14+1,1))</f>
        <v>547.89540791313675</v>
      </c>
      <c r="DU8" s="62">
        <f t="shared" si="44"/>
        <v>345.19555189302378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5.8</v>
      </c>
      <c r="EJ8" s="13">
        <f>IF('Données projet'!$A$192&gt;35,EJ7+EI8-ER7,IF(A8&lt;'Données projet'!$A$192,$EG$205^A8,IF(A8='Données projet'!$A$192,'Données projet'!$B$192,EJ7+EI8-ER7)))</f>
        <v>4.4310476216936356</v>
      </c>
      <c r="EK8" s="18">
        <f>EJ8*VLOOKUP('Données projet'!$B$15,Paramètres!$A$1:$I$89,3,0)*VLOOKUP('Données projet'!$B$15,Paramètres!$A$1:$I$89,5,0)</f>
        <v>4.6313309741941886</v>
      </c>
      <c r="EL8" s="14">
        <f t="shared" si="45"/>
        <v>1.7855405854418296</v>
      </c>
      <c r="EM8" s="22">
        <f t="shared" si="19"/>
        <v>11.176051299699397</v>
      </c>
      <c r="EN8" s="62">
        <f t="shared" si="20"/>
        <v>146.29399962745489</v>
      </c>
      <c r="EO8" s="62">
        <f ca="1">AVERAGE(OFFSET($EN$3,0,0,'Données projet'!$E$15+1,1))-AVERAGE(OFFSET($H$3,0,0,'Données projet'!$E$15+1,1))</f>
        <v>418.23737352070503</v>
      </c>
      <c r="EP8" s="62">
        <f t="shared" si="46"/>
        <v>496.10742685332968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4.3703703703703702</v>
      </c>
      <c r="FE8" s="13">
        <f>IF('Données projet'!$A$218&gt;35,FE7+FD8-FM7,IF(A8&lt;'Données projet'!$A$218,$FB$205^A8,IF(A8='Données projet'!$A$218,'Données projet'!$B$218,FE7+FD8-FM7)))</f>
        <v>2.4192561469903198</v>
      </c>
      <c r="FF8" s="18">
        <f>FE8*VLOOKUP('Données projet'!$B$16,Paramètres!$A$1:$I$89,3,0)*VLOOKUP('Données projet'!$B$16,Paramètres!$A$1:$I$89,5,0)</f>
        <v>1.4467151759002115</v>
      </c>
      <c r="FG8" s="14">
        <f t="shared" si="47"/>
        <v>0.63865529401953391</v>
      </c>
      <c r="FH8" s="22">
        <f t="shared" si="22"/>
        <v>3.6320202351102231</v>
      </c>
      <c r="FI8" s="62">
        <f t="shared" si="23"/>
        <v>138.74996856286572</v>
      </c>
      <c r="FJ8" s="62">
        <f ca="1">AVERAGE(OFFSET($FI$3,0,0,'Données projet'!$E$16+1,1))-AVERAGE(OFFSET($H$3,0,0,'Données projet'!$E$16+1,1))</f>
        <v>341.70983624543067</v>
      </c>
      <c r="FK8" s="62">
        <f t="shared" si="48"/>
        <v>250.82562837973805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4.0333333333333332</v>
      </c>
      <c r="FZ8" s="13">
        <f>IF('Données projet'!$A$244&gt;35,FZ7+FY8-GH7,IF(A8&lt;'Données projet'!$A$244,$FW$205^A8,IF(A8='Données projet'!$A$244,'Données projet'!$B$244,FZ7+FY8-GH7)))</f>
        <v>2.2239800905693161</v>
      </c>
      <c r="GA8" s="18">
        <f>FZ8*VLOOKUP('Données projet'!$B$17,Paramètres!$A$1:$I$89,3,0)*VLOOKUP('Données projet'!$B$17,Paramètres!$A$1:$I$89,5,0)</f>
        <v>1.0408226823864399</v>
      </c>
      <c r="GB8" s="14">
        <f t="shared" si="49"/>
        <v>0.47742610233092142</v>
      </c>
      <c r="GC8" s="22">
        <f t="shared" si="25"/>
        <v>2.6442833000494042</v>
      </c>
      <c r="GD8" s="62">
        <f t="shared" si="26"/>
        <v>137.76223162780491</v>
      </c>
      <c r="GE8" s="62">
        <f ca="1">AVERAGE(OFFSET($GD$3,0,0,'Données projet'!$E$17+1,1))-AVERAGE(OFFSET($H$3,0,0,'Données projet'!$E$17+1,1))</f>
        <v>368.69628434154333</v>
      </c>
      <c r="GF8" s="62">
        <f t="shared" si="50"/>
        <v>202.28197295839524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6.6</v>
      </c>
      <c r="GU8" s="13">
        <f>IF('Données projet'!$A$270&gt;35,GU7+GT8-HC7,IF(A8&lt;'Données projet'!$A$270,$GR$205^A8,IF(A8='Données projet'!$A$270,'Données projet'!$B$270,GU7+GT8-HC7)))</f>
        <v>3.3895612242701949</v>
      </c>
      <c r="GV8" s="18">
        <f>GU8*VLOOKUP('Données projet'!$B$18,Paramètres!$A$1:$I$89,3,0)*VLOOKUP('Données projet'!$B$18,Paramètres!$A$1:$I$89,5,0)</f>
        <v>2.9611206855224426</v>
      </c>
      <c r="GW8" s="14">
        <f t="shared" si="51"/>
        <v>1.2026262582604759</v>
      </c>
      <c r="GX8" s="22">
        <f t="shared" si="28"/>
        <v>7.2518592604219156</v>
      </c>
      <c r="GY8" s="62">
        <f t="shared" si="29"/>
        <v>142.36980758817742</v>
      </c>
      <c r="GZ8" s="62">
        <f ca="1">AVERAGE(OFFSET($GY$3,0,0,'Données projet'!$E$18+1,1))-AVERAGE(OFFSET($H$3,0,0,'Données projet'!$E$18+1,1))</f>
        <v>378.51861272969165</v>
      </c>
      <c r="HA8" s="62">
        <f t="shared" si="52"/>
        <v>387.42368617035459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135.66666666666666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2.95</v>
      </c>
      <c r="N9" s="14">
        <f>IF('Données projet'!$A$36&gt;35,N8+M9-V8,IF(A9&lt;'Données projet'!$A$36,$K$205^A9,IF(A9='Données projet'!$A$36,'Données projet'!$B$36,N8+M9-V8)))</f>
        <v>3.3982521746716894</v>
      </c>
      <c r="O9" s="14">
        <f>N9*VLOOKUP('Données projet'!$B$9,Paramètres!$A$1:$I$89,3,0)*VLOOKUP('Données projet'!$B$9,Paramètres!$A$1:$I$89,5,0)</f>
        <v>2.0321548004536703</v>
      </c>
      <c r="P9" s="14">
        <f t="shared" si="33"/>
        <v>0.86230853020399756</v>
      </c>
      <c r="Q9" s="22">
        <f t="shared" si="2"/>
        <v>5.0411903008954377</v>
      </c>
      <c r="R9" s="62">
        <f t="shared" si="0"/>
        <v>143.59597348720911</v>
      </c>
      <c r="S9" s="62">
        <f ca="1">AVERAGE(OFFSET($R$3,0,0,'Données projet'!$E$9+1,1))-AVERAGE(OFFSET($H$3,0,0,'Données projet'!$E$9+1,1))</f>
        <v>437.94016462147999</v>
      </c>
      <c r="T9" s="62">
        <f t="shared" si="34"/>
        <v>281.88254003380348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2.84</v>
      </c>
      <c r="AI9" s="14">
        <f>IF('Données projet'!$A$62&gt;35,AI8+AH9-AQ8,IF(A9&lt;'Données projet'!$A$62,$AF$205^A9,IF(A9='Données projet'!$A$62,'Données projet'!$B$62,AI8+AH9-AQ8)))</f>
        <v>2.7816469225897635</v>
      </c>
      <c r="AJ9" s="14">
        <f>AI9*VLOOKUP('Données projet'!$B$10,Paramètres!$A$1:$I$89,3,0)*VLOOKUP('Données projet'!$B$10,Paramètres!$A$1:$I$89,5,0)</f>
        <v>2.5168341355592179</v>
      </c>
      <c r="AK9" s="14">
        <f t="shared" si="35"/>
        <v>1.0417108450732491</v>
      </c>
      <c r="AL9" s="22">
        <f t="shared" si="4"/>
        <v>6.1977991746015464</v>
      </c>
      <c r="AM9" s="62">
        <f t="shared" si="5"/>
        <v>144.75258236091523</v>
      </c>
      <c r="AN9" s="62">
        <f ca="1">AVERAGE(OFFSET($AM$3,0,0,'Données projet'!$E$10+1,1))-AVERAGE(OFFSET($H$3,0,0,'Données projet'!$E$10+1,1))</f>
        <v>434.56763649859136</v>
      </c>
      <c r="AO9" s="62">
        <f t="shared" si="36"/>
        <v>271.90302066766264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8.8333333333333339</v>
      </c>
      <c r="BD9" s="13">
        <f>IF('Données projet'!$A$88&gt;35,BD8+BC9-BL8,IF(A9&lt;'Données projet'!$A$88,$BA$205^A9,IF(A9='Données projet'!$A$88,'Données projet'!$B$88,BD8+BC9-BL8)))</f>
        <v>10.295630140987003</v>
      </c>
      <c r="BE9" s="14">
        <f>BD9*VLOOKUP('Données projet'!$B$11,Paramètres!$A$1:$I$89,3,0)*VLOOKUP('Données projet'!$B$11,Paramètres!$A$1:$I$89,5,0)</f>
        <v>6.1567868243102275</v>
      </c>
      <c r="BF9" s="14">
        <f t="shared" si="37"/>
        <v>2.2962827445602434</v>
      </c>
      <c r="BG9" s="22">
        <f t="shared" si="7"/>
        <v>14.722429499116073</v>
      </c>
      <c r="BH9" s="62">
        <f t="shared" si="8"/>
        <v>153.27721268542973</v>
      </c>
      <c r="BI9" s="62">
        <f ca="1">AVERAGE(OFFSET($BH$3,0,0,'Données projet'!$E$11+1,1))-AVERAGE(OFFSET($H$3,0,0,'Données projet'!$E$11+1,1))</f>
        <v>199.65420589615553</v>
      </c>
      <c r="BJ9" s="62">
        <f t="shared" si="38"/>
        <v>477.85821088970999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2.95</v>
      </c>
      <c r="BY9" s="13">
        <f>IF('Données projet'!$A$114&gt;35,BY8+BX9-CG8,IF(A9&lt;'Données projet'!$A$114,$BV$205^A9,IF(A9='Données projet'!$A$114,'Données projet'!$B$114,BY8+BX9-CG8)))</f>
        <v>3.3982521746716894</v>
      </c>
      <c r="BZ9" s="14">
        <f>BY9*VLOOKUP('Données projet'!$B$12,Paramètres!$A$1:$I$89,3,0)*VLOOKUP('Données projet'!$B$12,Paramètres!$A$1:$I$89,5,0)</f>
        <v>2.0321548004536703</v>
      </c>
      <c r="CA9" s="14">
        <f t="shared" si="39"/>
        <v>0.86230853020399756</v>
      </c>
      <c r="CB9" s="22">
        <f t="shared" si="10"/>
        <v>5.0411903008954377</v>
      </c>
      <c r="CC9" s="62">
        <f t="shared" si="11"/>
        <v>143.59597348720911</v>
      </c>
      <c r="CD9" s="62">
        <f ca="1">AVERAGE(OFFSET($CC$3,0,0,'Données projet'!$E$12+1,1))-AVERAGE(OFFSET($H$3,0,0,'Données projet'!$E$12+1,1))</f>
        <v>437.94016462147999</v>
      </c>
      <c r="CE9" s="62">
        <f t="shared" si="40"/>
        <v>281.88254003380348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2.84</v>
      </c>
      <c r="CT9" s="13">
        <f>IF('Données projet'!$A$140&gt;35,CT8+CS9-DB8,IF(A9&lt;'Données projet'!$A$140,$CQ$205^A9,IF(A9='Données projet'!$A$140,'Données projet'!$B$140,CT8+CS9-DB8)))</f>
        <v>2.7816469225897635</v>
      </c>
      <c r="CU9" s="18">
        <f>CT9*VLOOKUP('Données projet'!$B$13,Paramètres!$A$1:$I$89,3,0)*VLOOKUP('Données projet'!$B$13,Paramètres!$A$1:$I$89,5,0)</f>
        <v>3.1677395154452226</v>
      </c>
      <c r="CV9" s="14">
        <f t="shared" si="41"/>
        <v>1.2764808083136507</v>
      </c>
      <c r="CW9" s="22">
        <f t="shared" si="13"/>
        <v>7.74035039721337</v>
      </c>
      <c r="CX9" s="62">
        <f t="shared" si="14"/>
        <v>146.29513358352705</v>
      </c>
      <c r="CY9" s="62">
        <f ca="1">AVERAGE(OFFSET($CX$3,0,0,'Données projet'!$E$13+1,1))-AVERAGE(OFFSET($H$3,0,0,'Données projet'!$E$13+1,1))</f>
        <v>520.23742527061836</v>
      </c>
      <c r="CZ9" s="62">
        <f t="shared" si="42"/>
        <v>321.35925479331274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3.65</v>
      </c>
      <c r="DO9" s="13">
        <f>IF('Données projet'!$A$166&gt;35,DO8+DN9-DW8,IF(A9&lt;'Données projet'!$A$166,$DL$205^A9,IF(A9='Données projet'!$A$166,'Données projet'!$B$166,DO8+DN9-DW8)))</f>
        <v>3.6224037772879885</v>
      </c>
      <c r="DP9" s="18">
        <f>DO9*VLOOKUP('Données projet'!$B$14,Paramètres!$A$1:$I$89,3,0)*VLOOKUP('Données projet'!$B$14,Paramètres!$A$1:$I$89,5,0)</f>
        <v>3.6731174301700205</v>
      </c>
      <c r="DQ9" s="14">
        <f t="shared" si="43"/>
        <v>1.4548453345092642</v>
      </c>
      <c r="DR9" s="22">
        <f t="shared" si="16"/>
        <v>8.9312018151497536</v>
      </c>
      <c r="DS9" s="62">
        <f t="shared" si="17"/>
        <v>147.48598500146343</v>
      </c>
      <c r="DT9" s="62">
        <f ca="1">AVERAGE(OFFSET($DS$3,0,0,'Données projet'!$E$14+1,1))-AVERAGE(OFFSET($H$3,0,0,'Données projet'!$E$14+1,1))</f>
        <v>547.89540791313675</v>
      </c>
      <c r="DU9" s="62">
        <f t="shared" si="44"/>
        <v>345.19555189302378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5.8</v>
      </c>
      <c r="EJ9" s="13">
        <f>IF('Données projet'!$A$192&gt;35,EJ8+EI9-ER8,IF(A9&lt;'Données projet'!$A$192,$EG$205^A9,IF(A9='Données projet'!$A$192,'Données projet'!$B$192,EJ8+EI9-ER8)))</f>
        <v>5.9677098701087665</v>
      </c>
      <c r="EK9" s="18">
        <f>EJ9*VLOOKUP('Données projet'!$B$15,Paramètres!$A$1:$I$89,3,0)*VLOOKUP('Données projet'!$B$15,Paramètres!$A$1:$I$89,5,0)</f>
        <v>6.2374503562376837</v>
      </c>
      <c r="EL9" s="14">
        <f t="shared" si="45"/>
        <v>2.3228455848465872</v>
      </c>
      <c r="EM9" s="22">
        <f t="shared" si="19"/>
        <v>14.909182097388436</v>
      </c>
      <c r="EN9" s="62">
        <f t="shared" si="20"/>
        <v>153.46396528370209</v>
      </c>
      <c r="EO9" s="62">
        <f ca="1">AVERAGE(OFFSET($EN$3,0,0,'Données projet'!$E$15+1,1))-AVERAGE(OFFSET($H$3,0,0,'Données projet'!$E$15+1,1))</f>
        <v>418.23737352070503</v>
      </c>
      <c r="EP9" s="62">
        <f t="shared" si="46"/>
        <v>496.10742685332968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4.3703703703703702</v>
      </c>
      <c r="FE9" s="13">
        <f>IF('Données projet'!$A$218&gt;35,FE8+FD9-FM8,IF(A9&lt;'Données projet'!$A$218,$FB$205^A9,IF(A9='Données projet'!$A$218,'Données projet'!$B$218,FE8+FD9-FM8)))</f>
        <v>2.8868101516064182</v>
      </c>
      <c r="FF9" s="18">
        <f>FE9*VLOOKUP('Données projet'!$B$16,Paramètres!$A$1:$I$89,3,0)*VLOOKUP('Données projet'!$B$16,Paramètres!$A$1:$I$89,5,0)</f>
        <v>1.7263124706606381</v>
      </c>
      <c r="FG9" s="14">
        <f t="shared" si="47"/>
        <v>0.7465704113359678</v>
      </c>
      <c r="FH9" s="22">
        <f t="shared" si="22"/>
        <v>4.3069376861440878</v>
      </c>
      <c r="FI9" s="62">
        <f t="shared" si="23"/>
        <v>142.86172087245777</v>
      </c>
      <c r="FJ9" s="62">
        <f ca="1">AVERAGE(OFFSET($FI$3,0,0,'Données projet'!$E$16+1,1))-AVERAGE(OFFSET($H$3,0,0,'Données projet'!$E$16+1,1))</f>
        <v>341.70983624543067</v>
      </c>
      <c r="FK9" s="62">
        <f t="shared" si="48"/>
        <v>250.82562837973805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4.0333333333333332</v>
      </c>
      <c r="FZ9" s="13">
        <f>IF('Données projet'!$A$244&gt;35,FZ8+FY9-GH8,IF(A9&lt;'Données projet'!$A$244,$FW$205^A9,IF(A9='Données projet'!$A$244,'Données projet'!$B$244,FZ8+FY9-GH8)))</f>
        <v>2.6094986352788738</v>
      </c>
      <c r="GA9" s="18">
        <f>FZ9*VLOOKUP('Données projet'!$B$17,Paramètres!$A$1:$I$89,3,0)*VLOOKUP('Données projet'!$B$17,Paramètres!$A$1:$I$89,5,0)</f>
        <v>1.221245361310513</v>
      </c>
      <c r="GB9" s="14">
        <f t="shared" si="49"/>
        <v>0.54985873839960142</v>
      </c>
      <c r="GC9" s="22">
        <f t="shared" si="25"/>
        <v>3.0846729736617822</v>
      </c>
      <c r="GD9" s="62">
        <f t="shared" si="26"/>
        <v>141.63945615997545</v>
      </c>
      <c r="GE9" s="62">
        <f ca="1">AVERAGE(OFFSET($GD$3,0,0,'Données projet'!$E$17+1,1))-AVERAGE(OFFSET($H$3,0,0,'Données projet'!$E$17+1,1))</f>
        <v>368.69628434154333</v>
      </c>
      <c r="GF9" s="62">
        <f t="shared" si="50"/>
        <v>202.28197295839524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6.6</v>
      </c>
      <c r="GU9" s="13">
        <f>IF('Données projet'!$A$270&gt;35,GU8+GT9-HC8,IF(A9&lt;'Données projet'!$A$270,$GR$205^A9,IF(A9='Données projet'!$A$270,'Données projet'!$B$270,GU8+GT9-HC8)))</f>
        <v>4.32685338439601</v>
      </c>
      <c r="GV9" s="18">
        <f>GU9*VLOOKUP('Données projet'!$B$18,Paramètres!$A$1:$I$89,3,0)*VLOOKUP('Données projet'!$B$18,Paramètres!$A$1:$I$89,5,0)</f>
        <v>3.7799391166083551</v>
      </c>
      <c r="GW9" s="14">
        <f t="shared" si="51"/>
        <v>1.4921677118944865</v>
      </c>
      <c r="GX9" s="22">
        <f t="shared" si="28"/>
        <v>9.1822527263091143</v>
      </c>
      <c r="GY9" s="62">
        <f t="shared" si="29"/>
        <v>147.73703591262279</v>
      </c>
      <c r="GZ9" s="62">
        <f ca="1">AVERAGE(OFFSET($GY$3,0,0,'Données projet'!$E$18+1,1))-AVERAGE(OFFSET($H$3,0,0,'Données projet'!$E$18+1,1))</f>
        <v>378.51861272969165</v>
      </c>
      <c r="HA9" s="62">
        <f t="shared" si="52"/>
        <v>387.42368617035459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135.66666666666666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2.95</v>
      </c>
      <c r="N10" s="14">
        <f>IF('Données projet'!$A$36&gt;35,N9+M10-V9,IF(A10&lt;'Données projet'!$A$36,$K$205^A10,IF(A10='Données projet'!$A$36,'Données projet'!$B$36,N9+M10-V9)))</f>
        <v>4.1667572915140969</v>
      </c>
      <c r="O10" s="14">
        <f>N10*VLOOKUP('Données projet'!$B$9,Paramètres!$A$1:$I$89,3,0)*VLOOKUP('Données projet'!$B$9,Paramètres!$A$1:$I$89,5,0)</f>
        <v>2.4917208603254299</v>
      </c>
      <c r="P10" s="14">
        <f t="shared" si="33"/>
        <v>1.0325210732627135</v>
      </c>
      <c r="Q10" s="22">
        <f t="shared" si="2"/>
        <v>6.1380547009993505</v>
      </c>
      <c r="R10" s="62">
        <f t="shared" si="0"/>
        <v>148.09125416776288</v>
      </c>
      <c r="S10" s="62">
        <f ca="1">AVERAGE(OFFSET($R$3,0,0,'Données projet'!$E$9+1,1))-AVERAGE(OFFSET($H$3,0,0,'Données projet'!$E$9+1,1))</f>
        <v>437.94016462147999</v>
      </c>
      <c r="T10" s="62">
        <f t="shared" si="34"/>
        <v>281.88254003380348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2.84</v>
      </c>
      <c r="AI10" s="14">
        <f>IF('Données projet'!$A$62&gt;35,AI9+AH10-AQ9,IF(A10&lt;'Données projet'!$A$62,$AF$205^A10,IF(A10='Données projet'!$A$62,'Données projet'!$B$62,AI9+AH10-AQ9)))</f>
        <v>3.2987722888587467</v>
      </c>
      <c r="AJ10" s="14">
        <f>AI10*VLOOKUP('Données projet'!$B$10,Paramètres!$A$1:$I$89,3,0)*VLOOKUP('Données projet'!$B$10,Paramètres!$A$1:$I$89,5,0)</f>
        <v>2.9847291669593941</v>
      </c>
      <c r="AK10" s="14">
        <f t="shared" si="35"/>
        <v>1.2110945802433715</v>
      </c>
      <c r="AL10" s="22">
        <f t="shared" si="4"/>
        <v>7.3077263597114817</v>
      </c>
      <c r="AM10" s="62">
        <f t="shared" si="5"/>
        <v>149.26092582647502</v>
      </c>
      <c r="AN10" s="62">
        <f ca="1">AVERAGE(OFFSET($AM$3,0,0,'Données projet'!$E$10+1,1))-AVERAGE(OFFSET($H$3,0,0,'Données projet'!$E$10+1,1))</f>
        <v>434.56763649859136</v>
      </c>
      <c r="AO10" s="62">
        <f t="shared" si="36"/>
        <v>271.90302066766264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8.8333333333333339</v>
      </c>
      <c r="BD10" s="13">
        <f>IF('Données projet'!$A$88&gt;35,BD9+BC10-BL9,IF(A10&lt;'Données projet'!$A$88,$BA$205^A10,IF(A10='Données projet'!$A$88,'Données projet'!$B$88,BD9+BC10-BL9)))</f>
        <v>15.18547640750557</v>
      </c>
      <c r="BE10" s="14">
        <f>BD10*VLOOKUP('Données projet'!$B$11,Paramètres!$A$1:$I$89,3,0)*VLOOKUP('Données projet'!$B$11,Paramètres!$A$1:$I$89,5,0)</f>
        <v>9.080914891688332</v>
      </c>
      <c r="BF10" s="14">
        <f t="shared" si="37"/>
        <v>3.2370945470721373</v>
      </c>
      <c r="BG10" s="22">
        <f t="shared" si="7"/>
        <v>21.45386643917448</v>
      </c>
      <c r="BH10" s="62">
        <f t="shared" si="8"/>
        <v>163.407065905938</v>
      </c>
      <c r="BI10" s="62">
        <f ca="1">AVERAGE(OFFSET($BH$3,0,0,'Données projet'!$E$11+1,1))-AVERAGE(OFFSET($H$3,0,0,'Données projet'!$E$11+1,1))</f>
        <v>199.65420589615553</v>
      </c>
      <c r="BJ10" s="62">
        <f t="shared" si="38"/>
        <v>477.85821088970999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2.95</v>
      </c>
      <c r="BY10" s="13">
        <f>IF('Données projet'!$A$114&gt;35,BY9+BX10-CG9,IF(A10&lt;'Données projet'!$A$114,$BV$205^A10,IF(A10='Données projet'!$A$114,'Données projet'!$B$114,BY9+BX10-CG9)))</f>
        <v>4.1667572915140969</v>
      </c>
      <c r="BZ10" s="14">
        <f>BY10*VLOOKUP('Données projet'!$B$12,Paramètres!$A$1:$I$89,3,0)*VLOOKUP('Données projet'!$B$12,Paramètres!$A$1:$I$89,5,0)</f>
        <v>2.4917208603254299</v>
      </c>
      <c r="CA10" s="14">
        <f t="shared" si="39"/>
        <v>1.0325210732627135</v>
      </c>
      <c r="CB10" s="22">
        <f t="shared" si="10"/>
        <v>6.1380547009993505</v>
      </c>
      <c r="CC10" s="62">
        <f t="shared" si="11"/>
        <v>148.09125416776288</v>
      </c>
      <c r="CD10" s="62">
        <f ca="1">AVERAGE(OFFSET($CC$3,0,0,'Données projet'!$E$12+1,1))-AVERAGE(OFFSET($H$3,0,0,'Données projet'!$E$12+1,1))</f>
        <v>437.94016462147999</v>
      </c>
      <c r="CE10" s="62">
        <f t="shared" si="40"/>
        <v>281.88254003380348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2.84</v>
      </c>
      <c r="CT10" s="13">
        <f>IF('Données projet'!$A$140&gt;35,CT9+CS10-DB9,IF(A10&lt;'Données projet'!$A$140,$CQ$205^A10,IF(A10='Données projet'!$A$140,'Données projet'!$B$140,CT9+CS10-DB9)))</f>
        <v>3.2987722888587467</v>
      </c>
      <c r="CU10" s="18">
        <f>CT10*VLOOKUP('Données projet'!$B$13,Paramètres!$A$1:$I$89,3,0)*VLOOKUP('Données projet'!$B$13,Paramètres!$A$1:$I$89,5,0)</f>
        <v>3.7566418825523407</v>
      </c>
      <c r="CV10" s="14">
        <f t="shared" si="41"/>
        <v>1.484038489226476</v>
      </c>
      <c r="CW10" s="22">
        <f t="shared" si="13"/>
        <v>9.1275183141814384</v>
      </c>
      <c r="CX10" s="62">
        <f t="shared" si="14"/>
        <v>151.08071778094495</v>
      </c>
      <c r="CY10" s="62">
        <f ca="1">AVERAGE(OFFSET($CX$3,0,0,'Données projet'!$E$13+1,1))-AVERAGE(OFFSET($H$3,0,0,'Données projet'!$E$13+1,1))</f>
        <v>520.23742527061836</v>
      </c>
      <c r="CZ10" s="62">
        <f t="shared" si="42"/>
        <v>321.35925479331274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3.65</v>
      </c>
      <c r="DO10" s="13">
        <f>IF('Données projet'!$A$166&gt;35,DO9+DN10-DW9,IF(A10&lt;'Données projet'!$A$166,$DL$205^A10,IF(A10='Données projet'!$A$166,'Données projet'!$B$166,DO9+DN10-DW9)))</f>
        <v>4.4891384635544309</v>
      </c>
      <c r="DP10" s="18">
        <f>DO10*VLOOKUP('Données projet'!$B$14,Paramètres!$A$1:$I$89,3,0)*VLOOKUP('Données projet'!$B$14,Paramètres!$A$1:$I$89,5,0)</f>
        <v>4.5519864020441929</v>
      </c>
      <c r="DQ10" s="14">
        <f t="shared" si="43"/>
        <v>1.7584840343783612</v>
      </c>
      <c r="DR10" s="22">
        <f t="shared" si="16"/>
        <v>10.990736010102614</v>
      </c>
      <c r="DS10" s="62">
        <f t="shared" si="17"/>
        <v>152.94393547686613</v>
      </c>
      <c r="DT10" s="62">
        <f ca="1">AVERAGE(OFFSET($DS$3,0,0,'Données projet'!$E$14+1,1))-AVERAGE(OFFSET($H$3,0,0,'Données projet'!$E$14+1,1))</f>
        <v>547.89540791313675</v>
      </c>
      <c r="DU10" s="62">
        <f t="shared" si="44"/>
        <v>345.19555189302378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5.8</v>
      </c>
      <c r="EJ10" s="13">
        <f>IF('Données projet'!$A$192&gt;35,EJ9+EI10-ER9,IF(A10&lt;'Données projet'!$A$192,$EG$205^A10,IF(A10='Données projet'!$A$192,'Données projet'!$B$192,EJ9+EI10-ER9)))</f>
        <v>8.0372778932539148</v>
      </c>
      <c r="EK10" s="18">
        <f>EJ10*VLOOKUP('Données projet'!$B$15,Paramètres!$A$1:$I$89,3,0)*VLOOKUP('Données projet'!$B$15,Paramètres!$A$1:$I$89,5,0)</f>
        <v>8.4005628540289923</v>
      </c>
      <c r="EL10" s="14">
        <f t="shared" si="45"/>
        <v>3.0218364427186342</v>
      </c>
      <c r="EM10" s="22">
        <f t="shared" si="19"/>
        <v>19.894012108502114</v>
      </c>
      <c r="EN10" s="62">
        <f t="shared" si="20"/>
        <v>161.84721157526565</v>
      </c>
      <c r="EO10" s="62">
        <f ca="1">AVERAGE(OFFSET($EN$3,0,0,'Données projet'!$E$15+1,1))-AVERAGE(OFFSET($H$3,0,0,'Données projet'!$E$15+1,1))</f>
        <v>418.23737352070503</v>
      </c>
      <c r="EP10" s="62">
        <f t="shared" si="46"/>
        <v>496.10742685332968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4.3703703703703702</v>
      </c>
      <c r="FE10" s="13">
        <f>IF('Données projet'!$A$218&gt;35,FE9+FD10-FM9,IF(A10&lt;'Données projet'!$A$218,$FB$205^A10,IF(A10='Données projet'!$A$218,'Données projet'!$B$218,FE9+FD10-FM9)))</f>
        <v>3.4447252978091596</v>
      </c>
      <c r="FF10" s="18">
        <f>FE10*VLOOKUP('Données projet'!$B$16,Paramètres!$A$1:$I$89,3,0)*VLOOKUP('Données projet'!$B$16,Paramètres!$A$1:$I$89,5,0)</f>
        <v>2.0599457280898776</v>
      </c>
      <c r="FG10" s="14">
        <f t="shared" si="47"/>
        <v>0.87272020493939328</v>
      </c>
      <c r="FH10" s="22">
        <f t="shared" si="22"/>
        <v>5.1077265000259793</v>
      </c>
      <c r="FI10" s="62">
        <f t="shared" si="23"/>
        <v>147.06092596678951</v>
      </c>
      <c r="FJ10" s="62">
        <f ca="1">AVERAGE(OFFSET($FI$3,0,0,'Données projet'!$E$16+1,1))-AVERAGE(OFFSET($H$3,0,0,'Données projet'!$E$16+1,1))</f>
        <v>341.70983624543067</v>
      </c>
      <c r="FK10" s="62">
        <f t="shared" si="48"/>
        <v>250.82562837973805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4.0333333333333332</v>
      </c>
      <c r="FZ10" s="13">
        <f>IF('Données projet'!$A$244&gt;35,FZ9+FY10-GH9,IF(A10&lt;'Données projet'!$A$244,$FW$205^A10,IF(A10='Données projet'!$A$244,'Données projet'!$B$244,FZ9+FY10-GH9)))</f>
        <v>3.0618453629138145</v>
      </c>
      <c r="GA10" s="18">
        <f>FZ10*VLOOKUP('Données projet'!$B$17,Paramètres!$A$1:$I$89,3,0)*VLOOKUP('Données projet'!$B$17,Paramètres!$A$1:$I$89,5,0)</f>
        <v>1.4329436298436653</v>
      </c>
      <c r="GB10" s="14">
        <f t="shared" si="49"/>
        <v>0.63328048198092712</v>
      </c>
      <c r="GC10" s="22">
        <f t="shared" si="25"/>
        <v>3.5986736614278314</v>
      </c>
      <c r="GD10" s="62">
        <f t="shared" si="26"/>
        <v>145.55187312819135</v>
      </c>
      <c r="GE10" s="62">
        <f ca="1">AVERAGE(OFFSET($GD$3,0,0,'Données projet'!$E$17+1,1))-AVERAGE(OFFSET($H$3,0,0,'Données projet'!$E$17+1,1))</f>
        <v>368.69628434154333</v>
      </c>
      <c r="GF10" s="62">
        <f t="shared" si="50"/>
        <v>202.28197295839524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6.6</v>
      </c>
      <c r="GU10" s="13">
        <f>IF('Données projet'!$A$270&gt;35,GU9+GT10-HC9,IF(A10&lt;'Données projet'!$A$270,$GR$205^A10,IF(A10='Données projet'!$A$270,'Données projet'!$B$270,GU9+GT10-HC9)))</f>
        <v>5.5233285287803451</v>
      </c>
      <c r="GV10" s="18">
        <f>GU10*VLOOKUP('Données projet'!$B$18,Paramètres!$A$1:$I$89,3,0)*VLOOKUP('Données projet'!$B$18,Paramètres!$A$1:$I$89,5,0)</f>
        <v>4.8251798027425101</v>
      </c>
      <c r="GW10" s="14">
        <f t="shared" si="51"/>
        <v>1.8514184811173284</v>
      </c>
      <c r="GX10" s="22">
        <f t="shared" si="28"/>
        <v>11.628408677722552</v>
      </c>
      <c r="GY10" s="62">
        <f t="shared" si="29"/>
        <v>153.58160814448607</v>
      </c>
      <c r="GZ10" s="62">
        <f ca="1">AVERAGE(OFFSET($GY$3,0,0,'Données projet'!$E$18+1,1))-AVERAGE(OFFSET($H$3,0,0,'Données projet'!$E$18+1,1))</f>
        <v>378.51861272969165</v>
      </c>
      <c r="HA10" s="62">
        <f t="shared" si="52"/>
        <v>387.42368617035459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135.66666666666666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2.95</v>
      </c>
      <c r="N11" s="14">
        <f>IF('Données projet'!$A$36&gt;35,N10+M11-V10,IF(A11&lt;'Données projet'!$A$36,$K$205^A11,IF(A11='Données projet'!$A$36,'Données projet'!$B$36,N10+M11-V10)))</f>
        <v>5.1090576666998686</v>
      </c>
      <c r="O11" s="14">
        <f>N11*VLOOKUP('Données projet'!$B$9,Paramètres!$A$1:$I$89,3,0)*VLOOKUP('Données projet'!$B$9,Paramètres!$A$1:$I$89,5,0)</f>
        <v>3.0552164846865217</v>
      </c>
      <c r="P11" s="14">
        <f t="shared" si="33"/>
        <v>1.2363321588380636</v>
      </c>
      <c r="Q11" s="22">
        <f t="shared" si="2"/>
        <v>7.4744472208053194</v>
      </c>
      <c r="R11" s="62">
        <f t="shared" si="0"/>
        <v>152.78831086634949</v>
      </c>
      <c r="S11" s="62">
        <f ca="1">AVERAGE(OFFSET($R$3,0,0,'Données projet'!$E$9+1,1))-AVERAGE(OFFSET($H$3,0,0,'Données projet'!$E$9+1,1))</f>
        <v>437.94016462147999</v>
      </c>
      <c r="T11" s="62">
        <f t="shared" si="34"/>
        <v>281.88254003380348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2.84</v>
      </c>
      <c r="AI11" s="14">
        <f>IF('Données projet'!$A$62&gt;35,AI10+AH11-AQ10,IF(A11&lt;'Données projet'!$A$62,$AF$205^A11,IF(A11='Données projet'!$A$62,'Données projet'!$B$62,AI10+AH11-AQ10)))</f>
        <v>3.9120344589280696</v>
      </c>
      <c r="AJ11" s="14">
        <f>AI11*VLOOKUP('Données projet'!$B$10,Paramètres!$A$1:$I$89,3,0)*VLOOKUP('Données projet'!$B$10,Paramètres!$A$1:$I$89,5,0)</f>
        <v>3.5396087784381174</v>
      </c>
      <c r="AK11" s="14">
        <f t="shared" si="35"/>
        <v>1.4080203630708406</v>
      </c>
      <c r="AL11" s="22">
        <f t="shared" si="4"/>
        <v>8.6171207547947688</v>
      </c>
      <c r="AM11" s="62">
        <f t="shared" si="5"/>
        <v>153.93098440033893</v>
      </c>
      <c r="AN11" s="62">
        <f ca="1">AVERAGE(OFFSET($AM$3,0,0,'Données projet'!$E$10+1,1))-AVERAGE(OFFSET($H$3,0,0,'Données projet'!$E$10+1,1))</f>
        <v>434.56763649859136</v>
      </c>
      <c r="AO11" s="62">
        <f t="shared" si="36"/>
        <v>271.90302066766264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8.8333333333333339</v>
      </c>
      <c r="BD11" s="13">
        <f>IF('Données projet'!$A$88&gt;35,BD10+BC11-BL10,IF(A11&lt;'Données projet'!$A$88,$BA$205^A11,IF(A11='Données projet'!$A$88,'Données projet'!$B$88,BD10+BC11-BL10)))</f>
        <v>22.397725109111352</v>
      </c>
      <c r="BE11" s="14">
        <f>BD11*VLOOKUP('Données projet'!$B$11,Paramètres!$A$1:$I$89,3,0)*VLOOKUP('Données projet'!$B$11,Paramètres!$A$1:$I$89,5,0)</f>
        <v>13.39383961524859</v>
      </c>
      <c r="BF11" s="14">
        <f t="shared" si="37"/>
        <v>4.5633670903584358</v>
      </c>
      <c r="BG11" s="22">
        <f t="shared" si="7"/>
        <v>31.275468345598899</v>
      </c>
      <c r="BH11" s="62">
        <f t="shared" si="8"/>
        <v>176.58933199114307</v>
      </c>
      <c r="BI11" s="62">
        <f ca="1">AVERAGE(OFFSET($BH$3,0,0,'Données projet'!$E$11+1,1))-AVERAGE(OFFSET($H$3,0,0,'Données projet'!$E$11+1,1))</f>
        <v>199.65420589615553</v>
      </c>
      <c r="BJ11" s="62">
        <f t="shared" si="38"/>
        <v>477.85821088970999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2.95</v>
      </c>
      <c r="BY11" s="13">
        <f>IF('Données projet'!$A$114&gt;35,BY10+BX11-CG10,IF(A11&lt;'Données projet'!$A$114,$BV$205^A11,IF(A11='Données projet'!$A$114,'Données projet'!$B$114,BY10+BX11-CG10)))</f>
        <v>5.1090576666998686</v>
      </c>
      <c r="BZ11" s="14">
        <f>BY11*VLOOKUP('Données projet'!$B$12,Paramètres!$A$1:$I$89,3,0)*VLOOKUP('Données projet'!$B$12,Paramètres!$A$1:$I$89,5,0)</f>
        <v>3.0552164846865217</v>
      </c>
      <c r="CA11" s="14">
        <f t="shared" si="39"/>
        <v>1.2363321588380636</v>
      </c>
      <c r="CB11" s="22">
        <f t="shared" si="10"/>
        <v>7.4744472208053194</v>
      </c>
      <c r="CC11" s="62">
        <f t="shared" si="11"/>
        <v>152.78831086634949</v>
      </c>
      <c r="CD11" s="62">
        <f ca="1">AVERAGE(OFFSET($CC$3,0,0,'Données projet'!$E$12+1,1))-AVERAGE(OFFSET($H$3,0,0,'Données projet'!$E$12+1,1))</f>
        <v>437.94016462147999</v>
      </c>
      <c r="CE11" s="62">
        <f t="shared" si="40"/>
        <v>281.88254003380348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2.84</v>
      </c>
      <c r="CT11" s="13">
        <f>IF('Données projet'!$A$140&gt;35,CT10+CS11-DB10,IF(A11&lt;'Données projet'!$A$140,$CQ$205^A11,IF(A11='Données projet'!$A$140,'Données projet'!$B$140,CT10+CS11-DB10)))</f>
        <v>3.9120344589280696</v>
      </c>
      <c r="CU11" s="18">
        <f>CT11*VLOOKUP('Données projet'!$B$13,Paramètres!$A$1:$I$89,3,0)*VLOOKUP('Données projet'!$B$13,Paramètres!$A$1:$I$89,5,0)</f>
        <v>4.455024841827286</v>
      </c>
      <c r="CV11" s="14">
        <f t="shared" si="41"/>
        <v>1.7253453582393743</v>
      </c>
      <c r="CW11" s="22">
        <f t="shared" si="13"/>
        <v>10.7641447651161</v>
      </c>
      <c r="CX11" s="62">
        <f t="shared" si="14"/>
        <v>156.07800841066026</v>
      </c>
      <c r="CY11" s="62">
        <f ca="1">AVERAGE(OFFSET($CX$3,0,0,'Données projet'!$E$13+1,1))-AVERAGE(OFFSET($H$3,0,0,'Données projet'!$E$13+1,1))</f>
        <v>520.23742527061836</v>
      </c>
      <c r="CZ11" s="62">
        <f t="shared" si="42"/>
        <v>321.35925479331274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3.65</v>
      </c>
      <c r="DO11" s="13">
        <f>IF('Données projet'!$A$166&gt;35,DO10+DN11-DW10,IF(A11&lt;'Données projet'!$A$166,$DL$205^A11,IF(A11='Données projet'!$A$166,'Données projet'!$B$166,DO10+DN11-DW10)))</f>
        <v>5.563257268920875</v>
      </c>
      <c r="DP11" s="18">
        <f>DO11*VLOOKUP('Données projet'!$B$14,Paramètres!$A$1:$I$89,3,0)*VLOOKUP('Données projet'!$B$14,Paramètres!$A$1:$I$89,5,0)</f>
        <v>5.6411428706857674</v>
      </c>
      <c r="DQ11" s="14">
        <f t="shared" si="43"/>
        <v>2.125494735292019</v>
      </c>
      <c r="DR11" s="22">
        <f t="shared" si="16"/>
        <v>13.526893830411311</v>
      </c>
      <c r="DS11" s="62">
        <f t="shared" si="17"/>
        <v>158.84075747595546</v>
      </c>
      <c r="DT11" s="62">
        <f ca="1">AVERAGE(OFFSET($DS$3,0,0,'Données projet'!$E$14+1,1))-AVERAGE(OFFSET($H$3,0,0,'Données projet'!$E$14+1,1))</f>
        <v>547.89540791313675</v>
      </c>
      <c r="DU11" s="62">
        <f t="shared" si="44"/>
        <v>345.19555189302378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5.8</v>
      </c>
      <c r="EJ11" s="13">
        <f>IF('Données projet'!$A$192&gt;35,EJ10+EI11-ER10,IF(A11&lt;'Données projet'!$A$192,$EG$205^A11,IF(A11='Données projet'!$A$192,'Données projet'!$B$192,EJ10+EI11-ER10)))</f>
        <v>10.824560399115168</v>
      </c>
      <c r="EK11" s="18">
        <f>EJ11*VLOOKUP('Données projet'!$B$15,Paramètres!$A$1:$I$89,3,0)*VLOOKUP('Données projet'!$B$15,Paramètres!$A$1:$I$89,5,0)</f>
        <v>11.313830529155174</v>
      </c>
      <c r="EL11" s="14">
        <f t="shared" si="45"/>
        <v>3.9311676790368719</v>
      </c>
      <c r="EM11" s="22">
        <f t="shared" si="19"/>
        <v>26.551705212601146</v>
      </c>
      <c r="EN11" s="62">
        <f t="shared" si="20"/>
        <v>171.86556885814531</v>
      </c>
      <c r="EO11" s="62">
        <f ca="1">AVERAGE(OFFSET($EN$3,0,0,'Données projet'!$E$15+1,1))-AVERAGE(OFFSET($H$3,0,0,'Données projet'!$E$15+1,1))</f>
        <v>418.23737352070503</v>
      </c>
      <c r="EP11" s="62">
        <f t="shared" si="46"/>
        <v>496.10742685332968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4.3703703703703702</v>
      </c>
      <c r="FE11" s="13">
        <f>IF('Données projet'!$A$218&gt;35,FE10+FD11-FM10,IF(A11&lt;'Données projet'!$A$218,$FB$205^A11,IF(A11='Données projet'!$A$218,'Données projet'!$B$218,FE10+FD11-FM10)))</f>
        <v>4.110465099605972</v>
      </c>
      <c r="FF11" s="18">
        <f>FE11*VLOOKUP('Données projet'!$B$16,Paramètres!$A$1:$I$89,3,0)*VLOOKUP('Données projet'!$B$16,Paramètres!$A$1:$I$89,5,0)</f>
        <v>2.4580581295643715</v>
      </c>
      <c r="FG11" s="14">
        <f t="shared" si="47"/>
        <v>1.0201858318313493</v>
      </c>
      <c r="FH11" s="22">
        <f t="shared" si="22"/>
        <v>6.0579415660975471</v>
      </c>
      <c r="FI11" s="62">
        <f t="shared" si="23"/>
        <v>151.37180521164171</v>
      </c>
      <c r="FJ11" s="62">
        <f ca="1">AVERAGE(OFFSET($FI$3,0,0,'Données projet'!$E$16+1,1))-AVERAGE(OFFSET($H$3,0,0,'Données projet'!$E$16+1,1))</f>
        <v>341.70983624543067</v>
      </c>
      <c r="FK11" s="62">
        <f t="shared" si="48"/>
        <v>250.82562837973805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4.0333333333333332</v>
      </c>
      <c r="FZ11" s="13">
        <f>IF('Données projet'!$A$244&gt;35,FZ10+FY11-GH10,IF(A11&lt;'Données projet'!$A$244,$FW$205^A11,IF(A11='Données projet'!$A$244,'Données projet'!$B$244,FZ10+FY11-GH10)))</f>
        <v>3.5926046864534742</v>
      </c>
      <c r="GA11" s="18">
        <f>FZ11*VLOOKUP('Données projet'!$B$17,Paramètres!$A$1:$I$89,3,0)*VLOOKUP('Données projet'!$B$17,Paramètres!$A$1:$I$89,5,0)</f>
        <v>1.6813389932602261</v>
      </c>
      <c r="GB11" s="14">
        <f t="shared" si="49"/>
        <v>0.72935854402397904</v>
      </c>
      <c r="GC11" s="22">
        <f t="shared" si="25"/>
        <v>4.198631544103324</v>
      </c>
      <c r="GD11" s="62">
        <f t="shared" si="26"/>
        <v>149.5124951896475</v>
      </c>
      <c r="GE11" s="62">
        <f ca="1">AVERAGE(OFFSET($GD$3,0,0,'Données projet'!$E$17+1,1))-AVERAGE(OFFSET($H$3,0,0,'Données projet'!$E$17+1,1))</f>
        <v>368.69628434154333</v>
      </c>
      <c r="GF11" s="62">
        <f t="shared" si="50"/>
        <v>202.28197295839524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6.6</v>
      </c>
      <c r="GU11" s="13">
        <f>IF('Données projet'!$A$270&gt;35,GU10+GT11-HC10,IF(A11&lt;'Données projet'!$A$270,$GR$205^A11,IF(A11='Données projet'!$A$270,'Données projet'!$B$270,GU10+GT11-HC10)))</f>
        <v>7.0506567536716718</v>
      </c>
      <c r="GV11" s="18">
        <f>GU11*VLOOKUP('Données projet'!$B$18,Paramètres!$A$1:$I$89,3,0)*VLOOKUP('Données projet'!$B$18,Paramètres!$A$1:$I$89,5,0)</f>
        <v>6.1594537400075735</v>
      </c>
      <c r="GW11" s="14">
        <f t="shared" si="51"/>
        <v>2.2971616158822084</v>
      </c>
      <c r="GX11" s="22">
        <f t="shared" si="28"/>
        <v>14.728605078174702</v>
      </c>
      <c r="GY11" s="62">
        <f t="shared" si="29"/>
        <v>160.04246872371886</v>
      </c>
      <c r="GZ11" s="62">
        <f ca="1">AVERAGE(OFFSET($GY$3,0,0,'Données projet'!$E$18+1,1))-AVERAGE(OFFSET($H$3,0,0,'Données projet'!$E$18+1,1))</f>
        <v>378.51861272969165</v>
      </c>
      <c r="HA11" s="62">
        <f t="shared" si="52"/>
        <v>387.42368617035459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135.66666666666666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2.95</v>
      </c>
      <c r="N12" s="14">
        <f>IF('Données projet'!$A$36&gt;35,N11+M12-V11,IF(A12&lt;'Données projet'!$A$36,$K$205^A12,IF(A12='Données projet'!$A$36,'Données projet'!$B$36,N11+M12-V11)))</f>
        <v>6.2644566062977258</v>
      </c>
      <c r="O12" s="14">
        <f>N12*VLOOKUP('Données projet'!$B$9,Paramètres!$A$1:$I$89,3,0)*VLOOKUP('Données projet'!$B$9,Paramètres!$A$1:$I$89,5,0)</f>
        <v>3.7461450505660405</v>
      </c>
      <c r="P12" s="14">
        <f t="shared" si="33"/>
        <v>1.4803738602129943</v>
      </c>
      <c r="Q12" s="22">
        <f t="shared" si="2"/>
        <v>9.1028537696068188</v>
      </c>
      <c r="R12" s="62">
        <f t="shared" si="0"/>
        <v>157.74028440682531</v>
      </c>
      <c r="S12" s="62">
        <f ca="1">AVERAGE(OFFSET($R$3,0,0,'Données projet'!$E$9+1,1))-AVERAGE(OFFSET($H$3,0,0,'Données projet'!$E$9+1,1))</f>
        <v>437.94016462147999</v>
      </c>
      <c r="T12" s="62">
        <f t="shared" si="34"/>
        <v>281.88254003380348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2.84</v>
      </c>
      <c r="AI12" s="14">
        <f>IF('Données projet'!$A$62&gt;35,AI11+AH12-AQ11,IF(A12&lt;'Données projet'!$A$62,$AF$205^A12,IF(A12='Données projet'!$A$62,'Données projet'!$B$62,AI11+AH12-AQ11)))</f>
        <v>4.6393058591914071</v>
      </c>
      <c r="AJ12" s="14">
        <f>AI12*VLOOKUP('Données projet'!$B$10,Paramètres!$A$1:$I$89,3,0)*VLOOKUP('Données projet'!$B$10,Paramètres!$A$1:$I$89,5,0)</f>
        <v>4.1976439413963851</v>
      </c>
      <c r="AK12" s="14">
        <f t="shared" si="35"/>
        <v>1.6369665715321342</v>
      </c>
      <c r="AL12" s="22">
        <f t="shared" si="4"/>
        <v>10.161946643350502</v>
      </c>
      <c r="AM12" s="62">
        <f t="shared" si="5"/>
        <v>158.79937728056899</v>
      </c>
      <c r="AN12" s="62">
        <f ca="1">AVERAGE(OFFSET($AM$3,0,0,'Données projet'!$E$10+1,1))-AVERAGE(OFFSET($H$3,0,0,'Données projet'!$E$10+1,1))</f>
        <v>434.56763649859136</v>
      </c>
      <c r="AO12" s="62">
        <f t="shared" si="36"/>
        <v>271.90302066766264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8.8333333333333339</v>
      </c>
      <c r="BD12" s="13">
        <f>IF('Données projet'!$A$88&gt;35,BD11+BC12-BL11,IF(A12&lt;'Données projet'!$A$88,$BA$205^A12,IF(A12='Données projet'!$A$88,'Données projet'!$B$88,BD11+BC12-BL11)))</f>
        <v>33.035387010668153</v>
      </c>
      <c r="BE12" s="14">
        <f>BD12*VLOOKUP('Données projet'!$B$11,Paramètres!$A$1:$I$89,3,0)*VLOOKUP('Données projet'!$B$11,Paramètres!$A$1:$I$89,5,0)</f>
        <v>19.755161432379555</v>
      </c>
      <c r="BF12" s="14">
        <f t="shared" si="37"/>
        <v>6.433027796547198</v>
      </c>
      <c r="BG12" s="22">
        <f t="shared" si="7"/>
        <v>45.61109624038076</v>
      </c>
      <c r="BH12" s="62">
        <f t="shared" si="8"/>
        <v>194.24852687759926</v>
      </c>
      <c r="BI12" s="62">
        <f ca="1">AVERAGE(OFFSET($BH$3,0,0,'Données projet'!$E$11+1,1))-AVERAGE(OFFSET($H$3,0,0,'Données projet'!$E$11+1,1))</f>
        <v>199.65420589615553</v>
      </c>
      <c r="BJ12" s="62">
        <f t="shared" si="38"/>
        <v>477.85821088970999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2.95</v>
      </c>
      <c r="BY12" s="13">
        <f>IF('Données projet'!$A$114&gt;35,BY11+BX12-CG11,IF(A12&lt;'Données projet'!$A$114,$BV$205^A12,IF(A12='Données projet'!$A$114,'Données projet'!$B$114,BY11+BX12-CG11)))</f>
        <v>6.2644566062977258</v>
      </c>
      <c r="BZ12" s="14">
        <f>BY12*VLOOKUP('Données projet'!$B$12,Paramètres!$A$1:$I$89,3,0)*VLOOKUP('Données projet'!$B$12,Paramètres!$A$1:$I$89,5,0)</f>
        <v>3.7461450505660405</v>
      </c>
      <c r="CA12" s="14">
        <f t="shared" si="39"/>
        <v>1.4803738602129943</v>
      </c>
      <c r="CB12" s="22">
        <f t="shared" si="10"/>
        <v>9.1028537696068188</v>
      </c>
      <c r="CC12" s="62">
        <f t="shared" si="11"/>
        <v>157.74028440682531</v>
      </c>
      <c r="CD12" s="62">
        <f ca="1">AVERAGE(OFFSET($CC$3,0,0,'Données projet'!$E$12+1,1))-AVERAGE(OFFSET($H$3,0,0,'Données projet'!$E$12+1,1))</f>
        <v>437.94016462147999</v>
      </c>
      <c r="CE12" s="62">
        <f t="shared" si="40"/>
        <v>281.88254003380348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2.84</v>
      </c>
      <c r="CT12" s="13">
        <f>IF('Données projet'!$A$140&gt;35,CT11+CS12-DB11,IF(A12&lt;'Données projet'!$A$140,$CQ$205^A12,IF(A12='Données projet'!$A$140,'Données projet'!$B$140,CT11+CS12-DB11)))</f>
        <v>4.6393058591914071</v>
      </c>
      <c r="CU12" s="18">
        <f>CT12*VLOOKUP('Données projet'!$B$13,Paramètres!$A$1:$I$89,3,0)*VLOOKUP('Données projet'!$B$13,Paramètres!$A$1:$I$89,5,0)</f>
        <v>5.2832415124471748</v>
      </c>
      <c r="CV12" s="14">
        <f t="shared" si="41"/>
        <v>2.0058890836111387</v>
      </c>
      <c r="CW12" s="22">
        <f t="shared" si="13"/>
        <v>12.695235788134896</v>
      </c>
      <c r="CX12" s="62">
        <f t="shared" si="14"/>
        <v>161.33266642535341</v>
      </c>
      <c r="CY12" s="62">
        <f ca="1">AVERAGE(OFFSET($CX$3,0,0,'Données projet'!$E$13+1,1))-AVERAGE(OFFSET($H$3,0,0,'Données projet'!$E$13+1,1))</f>
        <v>520.23742527061836</v>
      </c>
      <c r="CZ12" s="62">
        <f t="shared" si="42"/>
        <v>321.35925479331274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3.65</v>
      </c>
      <c r="DO12" s="13">
        <f>IF('Données projet'!$A$166&gt;35,DO11+DN12-DW11,IF(A12&lt;'Données projet'!$A$166,$DL$205^A12,IF(A12='Données projet'!$A$166,'Données projet'!$B$166,DO11+DN12-DW11)))</f>
        <v>6.8943811137639424</v>
      </c>
      <c r="DP12" s="18">
        <f>DO12*VLOOKUP('Données projet'!$B$14,Paramètres!$A$1:$I$89,3,0)*VLOOKUP('Données projet'!$B$14,Paramètres!$A$1:$I$89,5,0)</f>
        <v>6.9909024493566383</v>
      </c>
      <c r="DQ12" s="14">
        <f t="shared" si="43"/>
        <v>2.5691037174250742</v>
      </c>
      <c r="DR12" s="22">
        <f t="shared" si="16"/>
        <v>16.650344073811482</v>
      </c>
      <c r="DS12" s="62">
        <f t="shared" si="17"/>
        <v>165.28777471102998</v>
      </c>
      <c r="DT12" s="62">
        <f ca="1">AVERAGE(OFFSET($DS$3,0,0,'Données projet'!$E$14+1,1))-AVERAGE(OFFSET($H$3,0,0,'Données projet'!$E$14+1,1))</f>
        <v>547.89540791313675</v>
      </c>
      <c r="DU12" s="62">
        <f t="shared" si="44"/>
        <v>345.19555189302378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5.8</v>
      </c>
      <c r="EJ12" s="13">
        <f>IF('Données projet'!$A$192&gt;35,EJ11+EI12-ER11,IF(A12&lt;'Données projet'!$A$192,$EG$205^A12,IF(A12='Données projet'!$A$192,'Données projet'!$B$192,EJ11+EI12-ER11)))</f>
        <v>14.578456710130657</v>
      </c>
      <c r="EK12" s="18">
        <f>EJ12*VLOOKUP('Données projet'!$B$15,Paramètres!$A$1:$I$89,3,0)*VLOOKUP('Données projet'!$B$15,Paramètres!$A$1:$I$89,5,0)</f>
        <v>15.237402953428564</v>
      </c>
      <c r="EL12" s="14">
        <f t="shared" si="45"/>
        <v>5.1141349353774723</v>
      </c>
      <c r="EM12" s="22">
        <f t="shared" si="19"/>
        <v>35.445595156337177</v>
      </c>
      <c r="EN12" s="62">
        <f t="shared" si="20"/>
        <v>184.08302579355569</v>
      </c>
      <c r="EO12" s="62">
        <f ca="1">AVERAGE(OFFSET($EN$3,0,0,'Données projet'!$E$15+1,1))-AVERAGE(OFFSET($H$3,0,0,'Données projet'!$E$15+1,1))</f>
        <v>418.23737352070503</v>
      </c>
      <c r="EP12" s="62">
        <f t="shared" si="46"/>
        <v>496.10742685332968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4.3703703703703702</v>
      </c>
      <c r="FE12" s="13">
        <f>IF('Données projet'!$A$218&gt;35,FE11+FD12-FM11,IF(A12&lt;'Données projet'!$A$218,$FB$205^A12,IF(A12='Données projet'!$A$218,'Données projet'!$B$218,FE11+FD12-FM11)))</f>
        <v>4.9048681315240179</v>
      </c>
      <c r="FF12" s="18">
        <f>FE12*VLOOKUP('Données projet'!$B$16,Paramètres!$A$1:$I$89,3,0)*VLOOKUP('Données projet'!$B$16,Paramètres!$A$1:$I$89,5,0)</f>
        <v>2.9331111426513625</v>
      </c>
      <c r="FG12" s="14">
        <f t="shared" si="47"/>
        <v>1.192569079504352</v>
      </c>
      <c r="FH12" s="22">
        <f t="shared" si="22"/>
        <v>7.1855597202545356</v>
      </c>
      <c r="FI12" s="62">
        <f t="shared" si="23"/>
        <v>155.82299035747303</v>
      </c>
      <c r="FJ12" s="62">
        <f ca="1">AVERAGE(OFFSET($FI$3,0,0,'Données projet'!$E$16+1,1))-AVERAGE(OFFSET($H$3,0,0,'Données projet'!$E$16+1,1))</f>
        <v>341.70983624543067</v>
      </c>
      <c r="FK12" s="62">
        <f t="shared" si="48"/>
        <v>250.82562837973805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4.0333333333333332</v>
      </c>
      <c r="FZ12" s="13">
        <f>IF('Données projet'!$A$244&gt;35,FZ11+FY12-GH11,IF(A12&lt;'Données projet'!$A$244,$FW$205^A12,IF(A12='Données projet'!$A$244,'Données projet'!$B$244,FZ11+FY12-GH11)))</f>
        <v>4.2153691330919019</v>
      </c>
      <c r="GA12" s="18">
        <f>FZ12*VLOOKUP('Données projet'!$B$17,Paramètres!$A$1:$I$89,3,0)*VLOOKUP('Données projet'!$B$17,Paramètres!$A$1:$I$89,5,0)</f>
        <v>1.9727927542870103</v>
      </c>
      <c r="GB12" s="14">
        <f t="shared" si="49"/>
        <v>0.84001307615983045</v>
      </c>
      <c r="GC12" s="22">
        <f t="shared" si="25"/>
        <v>4.898970154694914</v>
      </c>
      <c r="GD12" s="62">
        <f t="shared" si="26"/>
        <v>153.53640079191342</v>
      </c>
      <c r="GE12" s="62">
        <f ca="1">AVERAGE(OFFSET($GD$3,0,0,'Données projet'!$E$17+1,1))-AVERAGE(OFFSET($H$3,0,0,'Données projet'!$E$17+1,1))</f>
        <v>368.69628434154333</v>
      </c>
      <c r="GF12" s="62">
        <f t="shared" si="50"/>
        <v>202.28197295839524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6.6</v>
      </c>
      <c r="GU12" s="13">
        <f>IF('Données projet'!$A$270&gt;35,GU11+GT12-HC11,IF(A12&lt;'Données projet'!$A$270,$GR$205^A12,IF(A12='Données projet'!$A$270,'Données projet'!$B$270,GU11+GT12-HC11)))</f>
        <v>9.0003265963745314</v>
      </c>
      <c r="GV12" s="18">
        <f>GU12*VLOOKUP('Données projet'!$B$18,Paramètres!$A$1:$I$89,3,0)*VLOOKUP('Données projet'!$B$18,Paramètres!$A$1:$I$89,5,0)</f>
        <v>7.8626853145927917</v>
      </c>
      <c r="GW12" s="14">
        <f t="shared" si="51"/>
        <v>2.8502208135558442</v>
      </c>
      <c r="GX12" s="22">
        <f t="shared" si="28"/>
        <v>18.658311506525539</v>
      </c>
      <c r="GY12" s="62">
        <f t="shared" si="29"/>
        <v>167.29574214374404</v>
      </c>
      <c r="GZ12" s="62">
        <f ca="1">AVERAGE(OFFSET($GY$3,0,0,'Données projet'!$E$18+1,1))-AVERAGE(OFFSET($H$3,0,0,'Données projet'!$E$18+1,1))</f>
        <v>378.51861272969165</v>
      </c>
      <c r="HA12" s="62">
        <f t="shared" si="52"/>
        <v>387.42368617035459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135.66666666666666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2.95</v>
      </c>
      <c r="N13" s="14">
        <f>IF('Données projet'!$A$36&gt;35,N12+M13-V12,IF(A13&lt;'Données projet'!$A$36,$K$205^A13,IF(A13='Données projet'!$A$36,'Données projet'!$B$36,N12+M13-V12)))</f>
        <v>7.6811457478686105</v>
      </c>
      <c r="O13" s="14">
        <f>N13*VLOOKUP('Données projet'!$B$9,Paramètres!$A$1:$I$89,3,0)*VLOOKUP('Données projet'!$B$9,Paramètres!$A$1:$I$89,5,0)</f>
        <v>4.5933251572254292</v>
      </c>
      <c r="P13" s="14">
        <f t="shared" si="33"/>
        <v>1.7725873668622805</v>
      </c>
      <c r="Q13" s="22">
        <f t="shared" si="2"/>
        <v>11.087297646119426</v>
      </c>
      <c r="R13" s="62">
        <f t="shared" si="0"/>
        <v>163.01184164116543</v>
      </c>
      <c r="S13" s="62">
        <f ca="1">AVERAGE(OFFSET($R$3,0,0,'Données projet'!$E$9+1,1))-AVERAGE(OFFSET($H$3,0,0,'Données projet'!$E$9+1,1))</f>
        <v>437.94016462147999</v>
      </c>
      <c r="T13" s="62">
        <f t="shared" si="34"/>
        <v>281.88254003380348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2.84</v>
      </c>
      <c r="AI13" s="14">
        <f>IF('Données projet'!$A$62&gt;35,AI12+AH13-AQ12,IF(A13&lt;'Données projet'!$A$62,$AF$205^A13,IF(A13='Données projet'!$A$62,'Données projet'!$B$62,AI12+AH13-AQ12)))</f>
        <v>5.5017815106427381</v>
      </c>
      <c r="AJ13" s="14">
        <f>AI13*VLOOKUP('Données projet'!$B$10,Paramètres!$A$1:$I$89,3,0)*VLOOKUP('Données projet'!$B$10,Paramètres!$A$1:$I$89,5,0)</f>
        <v>4.9780119108295491</v>
      </c>
      <c r="AK13" s="14">
        <f t="shared" si="35"/>
        <v>1.9031397745338225</v>
      </c>
      <c r="AL13" s="22">
        <f t="shared" si="4"/>
        <v>11.984672518674538</v>
      </c>
      <c r="AM13" s="62">
        <f t="shared" si="5"/>
        <v>163.90921651372054</v>
      </c>
      <c r="AN13" s="62">
        <f ca="1">AVERAGE(OFFSET($AM$3,0,0,'Données projet'!$E$10+1,1))-AVERAGE(OFFSET($H$3,0,0,'Données projet'!$E$10+1,1))</f>
        <v>434.56763649859136</v>
      </c>
      <c r="AO13" s="62">
        <f t="shared" si="36"/>
        <v>271.90302066766264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8.8333333333333339</v>
      </c>
      <c r="BD13" s="13">
        <f>IF('Données projet'!$A$88&gt;35,BD12+BC13-BL12,IF(A13&lt;'Données projet'!$A$88,$BA$205^A13,IF(A13='Données projet'!$A$88,'Données projet'!$B$88,BD12+BC13-BL12)))</f>
        <v>48.725341061564706</v>
      </c>
      <c r="BE13" s="14">
        <f>BD13*VLOOKUP('Données projet'!$B$11,Paramètres!$A$1:$I$89,3,0)*VLOOKUP('Données projet'!$B$11,Paramètres!$A$1:$I$89,5,0)</f>
        <v>29.137753954815693</v>
      </c>
      <c r="BF13" s="14">
        <f t="shared" si="37"/>
        <v>9.0687086556296208</v>
      </c>
      <c r="BG13" s="22">
        <f t="shared" si="7"/>
        <v>66.542922379858922</v>
      </c>
      <c r="BH13" s="62">
        <f t="shared" si="8"/>
        <v>218.46746637490492</v>
      </c>
      <c r="BI13" s="62">
        <f ca="1">AVERAGE(OFFSET($BH$3,0,0,'Données projet'!$E$11+1,1))-AVERAGE(OFFSET($H$3,0,0,'Données projet'!$E$11+1,1))</f>
        <v>199.65420589615553</v>
      </c>
      <c r="BJ13" s="62">
        <f t="shared" si="38"/>
        <v>477.85821088970999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2.95</v>
      </c>
      <c r="BY13" s="13">
        <f>IF('Données projet'!$A$114&gt;35,BY12+BX13-CG12,IF(A13&lt;'Données projet'!$A$114,$BV$205^A13,IF(A13='Données projet'!$A$114,'Données projet'!$B$114,BY12+BX13-CG12)))</f>
        <v>7.6811457478686105</v>
      </c>
      <c r="BZ13" s="14">
        <f>BY13*VLOOKUP('Données projet'!$B$12,Paramètres!$A$1:$I$89,3,0)*VLOOKUP('Données projet'!$B$12,Paramètres!$A$1:$I$89,5,0)</f>
        <v>4.5933251572254292</v>
      </c>
      <c r="CA13" s="14">
        <f t="shared" si="39"/>
        <v>1.7725873668622805</v>
      </c>
      <c r="CB13" s="22">
        <f t="shared" si="10"/>
        <v>11.087297646119426</v>
      </c>
      <c r="CC13" s="62">
        <f t="shared" si="11"/>
        <v>163.01184164116543</v>
      </c>
      <c r="CD13" s="62">
        <f ca="1">AVERAGE(OFFSET($CC$3,0,0,'Données projet'!$E$12+1,1))-AVERAGE(OFFSET($H$3,0,0,'Données projet'!$E$12+1,1))</f>
        <v>437.94016462147999</v>
      </c>
      <c r="CE13" s="62">
        <f t="shared" si="40"/>
        <v>281.88254003380348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2.84</v>
      </c>
      <c r="CT13" s="13">
        <f>IF('Données projet'!$A$140&gt;35,CT12+CS13-DB12,IF(A13&lt;'Données projet'!$A$140,$CQ$205^A13,IF(A13='Données projet'!$A$140,'Données projet'!$B$140,CT12+CS13-DB12)))</f>
        <v>5.5017815106427381</v>
      </c>
      <c r="CU13" s="18">
        <f>CT13*VLOOKUP('Données projet'!$B$13,Paramètres!$A$1:$I$89,3,0)*VLOOKUP('Données projet'!$B$13,Paramètres!$A$1:$I$89,5,0)</f>
        <v>6.2654287843199503</v>
      </c>
      <c r="CV13" s="14">
        <f t="shared" si="41"/>
        <v>2.3320496366340242</v>
      </c>
      <c r="CW13" s="22">
        <f t="shared" si="13"/>
        <v>14.973941583161505</v>
      </c>
      <c r="CX13" s="62">
        <f t="shared" si="14"/>
        <v>166.8984855782075</v>
      </c>
      <c r="CY13" s="62">
        <f ca="1">AVERAGE(OFFSET($CX$3,0,0,'Données projet'!$E$13+1,1))-AVERAGE(OFFSET($H$3,0,0,'Données projet'!$E$13+1,1))</f>
        <v>520.23742527061836</v>
      </c>
      <c r="CZ13" s="62">
        <f t="shared" si="42"/>
        <v>321.35925479331274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3.65</v>
      </c>
      <c r="DO13" s="13">
        <f>IF('Données projet'!$A$166&gt;35,DO12+DN13-DW12,IF(A13&lt;'Données projet'!$A$166,$DL$205^A13,IF(A13='Données projet'!$A$166,'Données projet'!$B$166,DO12+DN13-DW12)))</f>
        <v>8.5440037453175322</v>
      </c>
      <c r="DP13" s="18">
        <f>DO13*VLOOKUP('Données projet'!$B$14,Paramètres!$A$1:$I$89,3,0)*VLOOKUP('Données projet'!$B$14,Paramètres!$A$1:$I$89,5,0)</f>
        <v>8.6636197977519771</v>
      </c>
      <c r="DQ13" s="14">
        <f t="shared" si="43"/>
        <v>3.1052976990698267</v>
      </c>
      <c r="DR13" s="22">
        <f t="shared" si="16"/>
        <v>20.497531306964643</v>
      </c>
      <c r="DS13" s="62">
        <f t="shared" si="17"/>
        <v>172.42207530201065</v>
      </c>
      <c r="DT13" s="62">
        <f ca="1">AVERAGE(OFFSET($DS$3,0,0,'Données projet'!$E$14+1,1))-AVERAGE(OFFSET($H$3,0,0,'Données projet'!$E$14+1,1))</f>
        <v>547.89540791313675</v>
      </c>
      <c r="DU13" s="62">
        <f t="shared" si="44"/>
        <v>345.19555189302378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5.8</v>
      </c>
      <c r="EJ13" s="13">
        <f>IF('Données projet'!$A$192&gt;35,EJ12+EI13-ER12,IF(A13&lt;'Données projet'!$A$192,$EG$205^A13,IF(A13='Données projet'!$A$192,'Données projet'!$B$192,EJ12+EI13-ER12)))</f>
        <v>19.634183025716826</v>
      </c>
      <c r="EK13" s="18">
        <f>EJ13*VLOOKUP('Données projet'!$B$15,Paramètres!$A$1:$I$89,3,0)*VLOOKUP('Données projet'!$B$15,Paramètres!$A$1:$I$89,5,0)</f>
        <v>20.521648098479229</v>
      </c>
      <c r="EL13" s="14">
        <f t="shared" si="45"/>
        <v>6.6530807822616502</v>
      </c>
      <c r="EM13" s="22">
        <f t="shared" si="19"/>
        <v>47.329319467290361</v>
      </c>
      <c r="EN13" s="62">
        <f t="shared" si="20"/>
        <v>199.25386346233637</v>
      </c>
      <c r="EO13" s="62">
        <f ca="1">AVERAGE(OFFSET($EN$3,0,0,'Données projet'!$E$15+1,1))-AVERAGE(OFFSET($H$3,0,0,'Données projet'!$E$15+1,1))</f>
        <v>418.23737352070503</v>
      </c>
      <c r="EP13" s="62">
        <f t="shared" si="46"/>
        <v>496.10742685332968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4.3703703703703702</v>
      </c>
      <c r="FE13" s="13">
        <f>IF('Données projet'!$A$218&gt;35,FE12+FD13-FM12,IF(A13&lt;'Données projet'!$A$218,$FB$205^A13,IF(A13='Données projet'!$A$218,'Données projet'!$B$218,FE12+FD13-FM12)))</f>
        <v>5.8528003047504482</v>
      </c>
      <c r="FF13" s="18">
        <f>FE13*VLOOKUP('Données projet'!$B$16,Paramètres!$A$1:$I$89,3,0)*VLOOKUP('Données projet'!$B$16,Paramètres!$A$1:$I$89,5,0)</f>
        <v>3.499974582240768</v>
      </c>
      <c r="FG13" s="14">
        <f t="shared" si="47"/>
        <v>1.3940803381250744</v>
      </c>
      <c r="FH13" s="22">
        <f t="shared" si="22"/>
        <v>8.5238123196371749</v>
      </c>
      <c r="FI13" s="62">
        <f t="shared" si="23"/>
        <v>160.4483563146832</v>
      </c>
      <c r="FJ13" s="62">
        <f ca="1">AVERAGE(OFFSET($FI$3,0,0,'Données projet'!$E$16+1,1))-AVERAGE(OFFSET($H$3,0,0,'Données projet'!$E$16+1,1))</f>
        <v>341.70983624543067</v>
      </c>
      <c r="FK13" s="62">
        <f t="shared" si="48"/>
        <v>250.82562837973805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4.0333333333333332</v>
      </c>
      <c r="FZ13" s="13">
        <f>IF('Données projet'!$A$244&gt;35,FZ12+FY13-GH12,IF(A13&lt;'Données projet'!$A$244,$FW$205^A13,IF(A13='Données projet'!$A$244,'Données projet'!$B$244,FZ12+FY13-GH12)))</f>
        <v>4.946087443248703</v>
      </c>
      <c r="GA13" s="18">
        <f>FZ13*VLOOKUP('Données projet'!$B$17,Paramètres!$A$1:$I$89,3,0)*VLOOKUP('Données projet'!$B$17,Paramètres!$A$1:$I$89,5,0)</f>
        <v>2.314768923440393</v>
      </c>
      <c r="GB13" s="14">
        <f t="shared" si="49"/>
        <v>0.96745554556265312</v>
      </c>
      <c r="GC13" s="22">
        <f t="shared" si="25"/>
        <v>5.7165409501803053</v>
      </c>
      <c r="GD13" s="62">
        <f t="shared" si="26"/>
        <v>157.64108494522631</v>
      </c>
      <c r="GE13" s="62">
        <f ca="1">AVERAGE(OFFSET($GD$3,0,0,'Données projet'!$E$17+1,1))-AVERAGE(OFFSET($H$3,0,0,'Données projet'!$E$17+1,1))</f>
        <v>368.69628434154333</v>
      </c>
      <c r="GF13" s="62">
        <f t="shared" si="50"/>
        <v>202.28197295839524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6.6</v>
      </c>
      <c r="GU13" s="13">
        <f>IF('Données projet'!$A$270&gt;35,GU12+GT13-HC12,IF(A13&lt;'Données projet'!$A$270,$GR$205^A13,IF(A13='Données projet'!$A$270,'Données projet'!$B$270,GU12+GT13-HC12)))</f>
        <v>11.489125293076063</v>
      </c>
      <c r="GV13" s="18">
        <f>GU13*VLOOKUP('Données projet'!$B$18,Paramètres!$A$1:$I$89,3,0)*VLOOKUP('Données projet'!$B$18,Paramètres!$A$1:$I$89,5,0)</f>
        <v>10.036899856031249</v>
      </c>
      <c r="GW13" s="14">
        <f t="shared" si="51"/>
        <v>3.5364332356333024</v>
      </c>
      <c r="GX13" s="22">
        <f t="shared" si="28"/>
        <v>23.640221801315761</v>
      </c>
      <c r="GY13" s="62">
        <f t="shared" si="29"/>
        <v>175.56476579636177</v>
      </c>
      <c r="GZ13" s="62">
        <f ca="1">AVERAGE(OFFSET($GY$3,0,0,'Données projet'!$E$18+1,1))-AVERAGE(OFFSET($H$3,0,0,'Données projet'!$E$18+1,1))</f>
        <v>378.51861272969165</v>
      </c>
      <c r="HA13" s="62">
        <f t="shared" si="52"/>
        <v>387.42368617035459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135.66666666666666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2.95</v>
      </c>
      <c r="N14" s="14">
        <f>IF('Données projet'!$A$36&gt;35,N13+M14-V13,IF(A14&lt;'Données projet'!$A$36,$K$205^A14,IF(A14='Données projet'!$A$36,'Données projet'!$B$36,N13+M14-V13)))</f>
        <v>9.4182151314906868</v>
      </c>
      <c r="O14" s="14">
        <f>N14*VLOOKUP('Données projet'!$B$9,Paramètres!$A$1:$I$89,3,0)*VLOOKUP('Données projet'!$B$9,Paramètres!$A$1:$I$89,5,0)</f>
        <v>5.6320926486314313</v>
      </c>
      <c r="P14" s="14">
        <f t="shared" si="33"/>
        <v>2.1224813931175985</v>
      </c>
      <c r="Q14" s="22">
        <f t="shared" si="2"/>
        <v>13.505883122712893</v>
      </c>
      <c r="R14" s="62">
        <f t="shared" si="0"/>
        <v>168.68171923078859</v>
      </c>
      <c r="S14" s="62">
        <f ca="1">AVERAGE(OFFSET($R$3,0,0,'Données projet'!$E$9+1,1))-AVERAGE(OFFSET($H$3,0,0,'Données projet'!$E$9+1,1))</f>
        <v>437.94016462147999</v>
      </c>
      <c r="T14" s="62">
        <f t="shared" si="34"/>
        <v>281.88254003380348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2.84</v>
      </c>
      <c r="AI14" s="14">
        <f>IF('Données projet'!$A$62&gt;35,AI13+AH14-AQ13,IF(A14&lt;'Données projet'!$A$62,$AF$205^A14,IF(A14='Données projet'!$A$62,'Données projet'!$B$62,AI13+AH14-AQ13)))</f>
        <v>6.5245967197614414</v>
      </c>
      <c r="AJ14" s="14">
        <f>AI14*VLOOKUP('Données projet'!$B$10,Paramètres!$A$1:$I$89,3,0)*VLOOKUP('Données projet'!$B$10,Paramètres!$A$1:$I$89,5,0)</f>
        <v>5.9034551120401524</v>
      </c>
      <c r="AK14" s="14">
        <f t="shared" si="35"/>
        <v>2.2125931368425316</v>
      </c>
      <c r="AL14" s="22">
        <f t="shared" si="4"/>
        <v>14.135450700137341</v>
      </c>
      <c r="AM14" s="62">
        <f t="shared" si="5"/>
        <v>169.31128680821303</v>
      </c>
      <c r="AN14" s="62">
        <f ca="1">AVERAGE(OFFSET($AM$3,0,0,'Données projet'!$E$10+1,1))-AVERAGE(OFFSET($H$3,0,0,'Données projet'!$E$10+1,1))</f>
        <v>434.56763649859136</v>
      </c>
      <c r="AO14" s="62">
        <f t="shared" si="36"/>
        <v>271.90302066766264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8.8333333333333339</v>
      </c>
      <c r="BD14" s="13">
        <f>IF('Données projet'!$A$88&gt;35,BD13+BC14-BL13,IF(A14&lt;'Données projet'!$A$88,$BA$205^A14,IF(A14='Données projet'!$A$88,'Données projet'!$B$88,BD13+BC14-BL13)))</f>
        <v>71.867142370667978</v>
      </c>
      <c r="BE14" s="14">
        <f>BD14*VLOOKUP('Données projet'!$B$11,Paramètres!$A$1:$I$89,3,0)*VLOOKUP('Données projet'!$B$11,Paramètres!$A$1:$I$89,5,0)</f>
        <v>42.976551137659456</v>
      </c>
      <c r="BF14" s="14">
        <f t="shared" si="37"/>
        <v>12.784256384658107</v>
      </c>
      <c r="BG14" s="22">
        <f t="shared" si="7"/>
        <v>97.116739768036425</v>
      </c>
      <c r="BH14" s="62">
        <f t="shared" si="8"/>
        <v>252.2925758761121</v>
      </c>
      <c r="BI14" s="62">
        <f ca="1">AVERAGE(OFFSET($BH$3,0,0,'Données projet'!$E$11+1,1))-AVERAGE(OFFSET($H$3,0,0,'Données projet'!$E$11+1,1))</f>
        <v>199.65420589615553</v>
      </c>
      <c r="BJ14" s="62">
        <f t="shared" si="38"/>
        <v>477.85821088970999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2.95</v>
      </c>
      <c r="BY14" s="13">
        <f>IF('Données projet'!$A$114&gt;35,BY13+BX14-CG13,IF(A14&lt;'Données projet'!$A$114,$BV$205^A14,IF(A14='Données projet'!$A$114,'Données projet'!$B$114,BY13+BX14-CG13)))</f>
        <v>9.4182151314906868</v>
      </c>
      <c r="BZ14" s="14">
        <f>BY14*VLOOKUP('Données projet'!$B$12,Paramètres!$A$1:$I$89,3,0)*VLOOKUP('Données projet'!$B$12,Paramètres!$A$1:$I$89,5,0)</f>
        <v>5.6320926486314313</v>
      </c>
      <c r="CA14" s="14">
        <f t="shared" si="39"/>
        <v>2.1224813931175985</v>
      </c>
      <c r="CB14" s="22">
        <f t="shared" si="10"/>
        <v>13.505883122712893</v>
      </c>
      <c r="CC14" s="62">
        <f t="shared" si="11"/>
        <v>168.68171923078859</v>
      </c>
      <c r="CD14" s="62">
        <f ca="1">AVERAGE(OFFSET($CC$3,0,0,'Données projet'!$E$12+1,1))-AVERAGE(OFFSET($H$3,0,0,'Données projet'!$E$12+1,1))</f>
        <v>437.94016462147999</v>
      </c>
      <c r="CE14" s="62">
        <f t="shared" si="40"/>
        <v>281.88254003380348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2.84</v>
      </c>
      <c r="CT14" s="13">
        <f>IF('Données projet'!$A$140&gt;35,CT13+CS14-DB13,IF(A14&lt;'Données projet'!$A$140,$CQ$205^A14,IF(A14='Données projet'!$A$140,'Données projet'!$B$140,CT13+CS14-DB13)))</f>
        <v>6.5245967197614414</v>
      </c>
      <c r="CU14" s="18">
        <f>CT14*VLOOKUP('Données projet'!$B$13,Paramètres!$A$1:$I$89,3,0)*VLOOKUP('Données projet'!$B$13,Paramètres!$A$1:$I$89,5,0)</f>
        <v>7.4302107444643299</v>
      </c>
      <c r="CV14" s="14">
        <f t="shared" si="41"/>
        <v>2.7112443814361891</v>
      </c>
      <c r="CW14" s="22">
        <f t="shared" si="13"/>
        <v>17.663034344276738</v>
      </c>
      <c r="CX14" s="62">
        <f t="shared" si="14"/>
        <v>172.83887045235241</v>
      </c>
      <c r="CY14" s="62">
        <f ca="1">AVERAGE(OFFSET($CX$3,0,0,'Données projet'!$E$13+1,1))-AVERAGE(OFFSET($H$3,0,0,'Données projet'!$E$13+1,1))</f>
        <v>520.23742527061836</v>
      </c>
      <c r="CZ14" s="62">
        <f t="shared" si="42"/>
        <v>321.35925479331274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3.65</v>
      </c>
      <c r="DO14" s="13">
        <f>IF('Données projet'!$A$166&gt;35,DO13+DN14-DW13,IF(A14&lt;'Données projet'!$A$166,$DL$205^A14,IF(A14='Données projet'!$A$166,'Données projet'!$B$166,DO13+DN14-DW13)))</f>
        <v>10.588332555950936</v>
      </c>
      <c r="DP14" s="18">
        <f>DO14*VLOOKUP('Données projet'!$B$14,Paramètres!$A$1:$I$89,3,0)*VLOOKUP('Données projet'!$B$14,Paramètres!$A$1:$I$89,5,0)</f>
        <v>10.736569211734251</v>
      </c>
      <c r="DQ14" s="14">
        <f t="shared" si="43"/>
        <v>3.7533999637480915</v>
      </c>
      <c r="DR14" s="22">
        <f t="shared" si="16"/>
        <v>25.23669631396508</v>
      </c>
      <c r="DS14" s="62">
        <f t="shared" si="17"/>
        <v>180.41253242204075</v>
      </c>
      <c r="DT14" s="62">
        <f ca="1">AVERAGE(OFFSET($DS$3,0,0,'Données projet'!$E$14+1,1))-AVERAGE(OFFSET($H$3,0,0,'Données projet'!$E$14+1,1))</f>
        <v>547.89540791313675</v>
      </c>
      <c r="DU14" s="62">
        <f t="shared" si="44"/>
        <v>345.19555189302378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5.8</v>
      </c>
      <c r="EJ14" s="13">
        <f>IF('Données projet'!$A$192&gt;35,EJ13+EI14-ER13,IF(A14&lt;'Données projet'!$A$192,$EG$205^A14,IF(A14='Données projet'!$A$192,'Données projet'!$B$192,EJ13+EI14-ER13)))</f>
        <v>26.443206626903088</v>
      </c>
      <c r="EK14" s="18">
        <f>EJ14*VLOOKUP('Données projet'!$B$15,Paramètres!$A$1:$I$89,3,0)*VLOOKUP('Données projet'!$B$15,Paramètres!$A$1:$I$89,5,0)</f>
        <v>27.638439566439111</v>
      </c>
      <c r="EL14" s="14">
        <f t="shared" si="45"/>
        <v>8.6551263223625092</v>
      </c>
      <c r="EM14" s="22">
        <f t="shared" si="19"/>
        <v>63.211293922996155</v>
      </c>
      <c r="EN14" s="62">
        <f t="shared" si="20"/>
        <v>218.38713003107185</v>
      </c>
      <c r="EO14" s="62">
        <f ca="1">AVERAGE(OFFSET($EN$3,0,0,'Données projet'!$E$15+1,1))-AVERAGE(OFFSET($H$3,0,0,'Données projet'!$E$15+1,1))</f>
        <v>418.23737352070503</v>
      </c>
      <c r="EP14" s="62">
        <f t="shared" si="46"/>
        <v>496.10742685332968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4.3703703703703702</v>
      </c>
      <c r="FE14" s="13">
        <f>IF('Données projet'!$A$218&gt;35,FE13+FD14-FM13,IF(A14&lt;'Données projet'!$A$218,$FB$205^A14,IF(A14='Données projet'!$A$218,'Données projet'!$B$218,FE13+FD14-FM13)))</f>
        <v>6.9839332044678839</v>
      </c>
      <c r="FF14" s="18">
        <f>FE14*VLOOKUP('Données projet'!$B$16,Paramètres!$A$1:$I$89,3,0)*VLOOKUP('Données projet'!$B$16,Paramètres!$A$1:$I$89,5,0)</f>
        <v>4.1763920562717951</v>
      </c>
      <c r="FG14" s="14">
        <f t="shared" si="47"/>
        <v>1.629641437588379</v>
      </c>
      <c r="FH14" s="22">
        <f t="shared" si="22"/>
        <v>10.112175001806468</v>
      </c>
      <c r="FI14" s="62">
        <f t="shared" si="23"/>
        <v>165.28801110988215</v>
      </c>
      <c r="FJ14" s="62">
        <f ca="1">AVERAGE(OFFSET($FI$3,0,0,'Données projet'!$E$16+1,1))-AVERAGE(OFFSET($H$3,0,0,'Données projet'!$E$16+1,1))</f>
        <v>341.70983624543067</v>
      </c>
      <c r="FK14" s="62">
        <f t="shared" si="48"/>
        <v>250.82562837973805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4.0333333333333332</v>
      </c>
      <c r="FZ14" s="13">
        <f>IF('Données projet'!$A$244&gt;35,FZ13+FY14-GH13,IF(A14&lt;'Données projet'!$A$244,$FW$205^A14,IF(A14='Données projet'!$A$244,'Données projet'!$B$244,FZ13+FY14-GH13)))</f>
        <v>5.8034730112280171</v>
      </c>
      <c r="GA14" s="18">
        <f>FZ14*VLOOKUP('Données projet'!$B$17,Paramètres!$A$1:$I$89,3,0)*VLOOKUP('Données projet'!$B$17,Paramètres!$A$1:$I$89,5,0)</f>
        <v>2.7160253692547123</v>
      </c>
      <c r="GB14" s="14">
        <f t="shared" si="49"/>
        <v>1.1142329318476498</v>
      </c>
      <c r="GC14" s="22">
        <f t="shared" si="25"/>
        <v>6.6710332077532799</v>
      </c>
      <c r="GD14" s="62">
        <f t="shared" si="26"/>
        <v>161.84686931582897</v>
      </c>
      <c r="GE14" s="62">
        <f ca="1">AVERAGE(OFFSET($GD$3,0,0,'Données projet'!$E$17+1,1))-AVERAGE(OFFSET($H$3,0,0,'Données projet'!$E$17+1,1))</f>
        <v>368.69628434154333</v>
      </c>
      <c r="GF14" s="62">
        <f t="shared" si="50"/>
        <v>202.28197295839524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6.6</v>
      </c>
      <c r="GU14" s="13">
        <f>IF('Données projet'!$A$270&gt;35,GU13+GT14-HC13,IF(A14&lt;'Données projet'!$A$270,$GR$205^A14,IF(A14='Données projet'!$A$270,'Données projet'!$B$270,GU13+GT14-HC13)))</f>
        <v>14.666134454850974</v>
      </c>
      <c r="GV14" s="18">
        <f>GU14*VLOOKUP('Données projet'!$B$18,Paramètres!$A$1:$I$89,3,0)*VLOOKUP('Données projet'!$B$18,Paramètres!$A$1:$I$89,5,0)</f>
        <v>12.812335059757812</v>
      </c>
      <c r="GW14" s="14">
        <f t="shared" si="51"/>
        <v>4.3878565375042955</v>
      </c>
      <c r="GX14" s="22">
        <f t="shared" si="28"/>
        <v>29.957000365231504</v>
      </c>
      <c r="GY14" s="62">
        <f t="shared" si="29"/>
        <v>185.13283647330718</v>
      </c>
      <c r="GZ14" s="62">
        <f ca="1">AVERAGE(OFFSET($GY$3,0,0,'Données projet'!$E$18+1,1))-AVERAGE(OFFSET($H$3,0,0,'Données projet'!$E$18+1,1))</f>
        <v>378.51861272969165</v>
      </c>
      <c r="HA14" s="62">
        <f t="shared" si="52"/>
        <v>387.42368617035459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135.66666666666666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2.95</v>
      </c>
      <c r="N15" s="14">
        <f>IF('Données projet'!$A$36&gt;35,N14+M15-V14,IF(A15&lt;'Données projet'!$A$36,$K$205^A15,IF(A15='Données projet'!$A$36,'Données projet'!$B$36,N14+M15-V14)))</f>
        <v>11.548117842660865</v>
      </c>
      <c r="O15" s="14">
        <f>N15*VLOOKUP('Données projet'!$B$9,Paramètres!$A$1:$I$89,3,0)*VLOOKUP('Données projet'!$B$9,Paramètres!$A$1:$I$89,5,0)</f>
        <v>6.905774469911198</v>
      </c>
      <c r="P15" s="14">
        <f t="shared" si="33"/>
        <v>2.5414415945571998</v>
      </c>
      <c r="Q15" s="22">
        <f t="shared" si="2"/>
        <v>16.453901312282458</v>
      </c>
      <c r="R15" s="62">
        <f t="shared" si="0"/>
        <v>174.84582970710306</v>
      </c>
      <c r="S15" s="62">
        <f ca="1">AVERAGE(OFFSET($R$3,0,0,'Données projet'!$E$9+1,1))-AVERAGE(OFFSET($H$3,0,0,'Données projet'!$E$9+1,1))</f>
        <v>437.94016462147999</v>
      </c>
      <c r="T15" s="62">
        <f t="shared" si="34"/>
        <v>281.88254003380348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2.84</v>
      </c>
      <c r="AI15" s="14">
        <f>IF('Données projet'!$A$62&gt;35,AI14+AH15-AQ14,IF(A15&lt;'Données projet'!$A$62,$AF$205^A15,IF(A15='Données projet'!$A$62,'Données projet'!$B$62,AI14+AH15-AQ14)))</f>
        <v>7.7375596019531026</v>
      </c>
      <c r="AJ15" s="14">
        <f>AI15*VLOOKUP('Données projet'!$B$10,Paramètres!$A$1:$I$89,3,0)*VLOOKUP('Données projet'!$B$10,Paramètres!$A$1:$I$89,5,0)</f>
        <v>7.0009439278471666</v>
      </c>
      <c r="AK15" s="14">
        <f t="shared" si="35"/>
        <v>2.5723640768329017</v>
      </c>
      <c r="AL15" s="22">
        <f t="shared" si="4"/>
        <v>16.673511441484454</v>
      </c>
      <c r="AM15" s="62">
        <f t="shared" si="5"/>
        <v>175.06543983630507</v>
      </c>
      <c r="AN15" s="62">
        <f ca="1">AVERAGE(OFFSET($AM$3,0,0,'Données projet'!$E$10+1,1))-AVERAGE(OFFSET($H$3,0,0,'Données projet'!$E$10+1,1))</f>
        <v>434.56763649859136</v>
      </c>
      <c r="AO15" s="62">
        <f t="shared" si="36"/>
        <v>271.90302066766264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>
        <f>VLOOKUP(A15,'Données projet'!$A$87:$I$107,2,0)</f>
        <v>106</v>
      </c>
      <c r="BB15" s="13">
        <f>VLOOKUP(A15,'Données projet'!$A$87:$I$107,9,0)</f>
        <v>8.8333333333333339</v>
      </c>
      <c r="BC15" s="13">
        <f t="array" ref="BC15">INDEX(BB:BB,MIN(IF(ISNUMBER(BB15:BB211),ROW(BB15:BB211),"")))</f>
        <v>8.8333333333333339</v>
      </c>
      <c r="BD15" s="13">
        <f>IF('Données projet'!$A$88&gt;35,BD14+BC15-BL14,IF(A15&lt;'Données projet'!$A$88,$BA$205^A15,IF(A15='Données projet'!$A$88,'Données projet'!$B$88,BD14+BC15-BL14)))</f>
        <v>106</v>
      </c>
      <c r="BE15" s="14">
        <f>BD15*VLOOKUP('Données projet'!$B$11,Paramètres!$A$1:$I$89,3,0)*VLOOKUP('Données projet'!$B$11,Paramètres!$A$1:$I$89,5,0)</f>
        <v>63.388000000000012</v>
      </c>
      <c r="BF15" s="14">
        <f t="shared" si="37"/>
        <v>18.022104085041263</v>
      </c>
      <c r="BG15" s="22">
        <f t="shared" si="7"/>
        <v>141.78926461478019</v>
      </c>
      <c r="BH15" s="62">
        <f t="shared" si="8"/>
        <v>300.1811930096008</v>
      </c>
      <c r="BI15" s="62">
        <f ca="1">AVERAGE(OFFSET($BH$3,0,0,'Données projet'!$E$11+1,1))-AVERAGE(OFFSET($H$3,0,0,'Données projet'!$E$11+1,1))</f>
        <v>199.65420589615553</v>
      </c>
      <c r="BJ15" s="62">
        <f t="shared" si="38"/>
        <v>477.85821088970999</v>
      </c>
      <c r="BK15" s="16">
        <f>IF(ISNA(VLOOKUP(A15,'Données projet'!$A$87:$I$107,3,0)),0,VLOOKUP(A15,'Données projet'!$A$87:$I$107,3,0))</f>
        <v>1</v>
      </c>
      <c r="BL15" s="16">
        <f>IF(ISNA(VLOOKUP(A15,'Données projet'!$A$87:$I$107,4,0)),0,VLOOKUP(A15,'Données projet'!$A$87:$I$107,4,0))</f>
        <v>34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1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23.020547073308105</v>
      </c>
      <c r="BS15" s="24">
        <f t="shared" si="9"/>
        <v>23.020547073308105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2.95</v>
      </c>
      <c r="BY15" s="13">
        <f>IF('Données projet'!$A$114&gt;35,BY14+BX15-CG14,IF(A15&lt;'Données projet'!$A$114,$BV$205^A15,IF(A15='Données projet'!$A$114,'Données projet'!$B$114,BY14+BX15-CG14)))</f>
        <v>11.548117842660865</v>
      </c>
      <c r="BZ15" s="14">
        <f>BY15*VLOOKUP('Données projet'!$B$12,Paramètres!$A$1:$I$89,3,0)*VLOOKUP('Données projet'!$B$12,Paramètres!$A$1:$I$89,5,0)</f>
        <v>6.905774469911198</v>
      </c>
      <c r="CA15" s="14">
        <f t="shared" si="39"/>
        <v>2.5414415945571998</v>
      </c>
      <c r="CB15" s="22">
        <f t="shared" si="10"/>
        <v>16.453901312282458</v>
      </c>
      <c r="CC15" s="62">
        <f t="shared" si="11"/>
        <v>174.84582970710306</v>
      </c>
      <c r="CD15" s="62">
        <f ca="1">AVERAGE(OFFSET($CC$3,0,0,'Données projet'!$E$12+1,1))-AVERAGE(OFFSET($H$3,0,0,'Données projet'!$E$12+1,1))</f>
        <v>437.94016462147999</v>
      </c>
      <c r="CE15" s="62">
        <f t="shared" si="40"/>
        <v>281.88254003380348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2.84</v>
      </c>
      <c r="CT15" s="13">
        <f>IF('Données projet'!$A$140&gt;35,CT14+CS15-DB14,IF(A15&lt;'Données projet'!$A$140,$CQ$205^A15,IF(A15='Données projet'!$A$140,'Données projet'!$B$140,CT14+CS15-DB14)))</f>
        <v>7.7375596019531026</v>
      </c>
      <c r="CU15" s="18">
        <f>CT15*VLOOKUP('Données projet'!$B$13,Paramètres!$A$1:$I$89,3,0)*VLOOKUP('Données projet'!$B$13,Paramètres!$A$1:$I$89,5,0)</f>
        <v>8.8115328747041932</v>
      </c>
      <c r="CV15" s="14">
        <f t="shared" si="41"/>
        <v>3.1520967566021385</v>
      </c>
      <c r="CW15" s="22">
        <f t="shared" si="13"/>
        <v>20.83665494119186</v>
      </c>
      <c r="CX15" s="62">
        <f t="shared" si="14"/>
        <v>179.22858333601246</v>
      </c>
      <c r="CY15" s="62">
        <f ca="1">AVERAGE(OFFSET($CX$3,0,0,'Données projet'!$E$13+1,1))-AVERAGE(OFFSET($H$3,0,0,'Données projet'!$E$13+1,1))</f>
        <v>520.23742527061836</v>
      </c>
      <c r="CZ15" s="62">
        <f t="shared" si="42"/>
        <v>321.35925479331274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3.65</v>
      </c>
      <c r="DO15" s="13">
        <f>IF('Données projet'!$A$166&gt;35,DO14+DN15-DW14,IF(A15&lt;'Données projet'!$A$166,$DL$205^A15,IF(A15='Données projet'!$A$166,'Données projet'!$B$166,DO14+DN15-DW14)))</f>
        <v>13.121809125710287</v>
      </c>
      <c r="DP15" s="18">
        <f>DO15*VLOOKUP('Données projet'!$B$14,Paramètres!$A$1:$I$89,3,0)*VLOOKUP('Données projet'!$B$14,Paramètres!$A$1:$I$89,5,0)</f>
        <v>13.305514453470233</v>
      </c>
      <c r="DQ15" s="14">
        <f t="shared" si="43"/>
        <v>4.5367667299931158</v>
      </c>
      <c r="DR15" s="22">
        <f t="shared" si="16"/>
        <v>31.075306394532003</v>
      </c>
      <c r="DS15" s="62">
        <f t="shared" si="17"/>
        <v>189.4672347893526</v>
      </c>
      <c r="DT15" s="62">
        <f ca="1">AVERAGE(OFFSET($DS$3,0,0,'Données projet'!$E$14+1,1))-AVERAGE(OFFSET($H$3,0,0,'Données projet'!$E$14+1,1))</f>
        <v>547.89540791313675</v>
      </c>
      <c r="DU15" s="62">
        <f t="shared" si="44"/>
        <v>345.19555189302378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5.8</v>
      </c>
      <c r="EJ15" s="13">
        <f>IF('Données projet'!$A$192&gt;35,EJ14+EI15-ER14,IF(A15&lt;'Données projet'!$A$192,$EG$205^A15,IF(A15='Données projet'!$A$192,'Données projet'!$B$192,EJ14+EI15-ER14)))</f>
        <v>35.613561093793592</v>
      </c>
      <c r="EK15" s="18">
        <f>EJ15*VLOOKUP('Données projet'!$B$15,Paramètres!$A$1:$I$89,3,0)*VLOOKUP('Données projet'!$B$15,Paramètres!$A$1:$I$89,5,0)</f>
        <v>37.223294055233062</v>
      </c>
      <c r="EL15" s="14">
        <f t="shared" si="45"/>
        <v>11.259627548154779</v>
      </c>
      <c r="EM15" s="22">
        <f t="shared" si="19"/>
        <v>84.441088459233811</v>
      </c>
      <c r="EN15" s="62">
        <f t="shared" si="20"/>
        <v>242.83301685405442</v>
      </c>
      <c r="EO15" s="62">
        <f ca="1">AVERAGE(OFFSET($EN$3,0,0,'Données projet'!$E$15+1,1))-AVERAGE(OFFSET($H$3,0,0,'Données projet'!$E$15+1,1))</f>
        <v>418.23737352070503</v>
      </c>
      <c r="EP15" s="62">
        <f t="shared" si="46"/>
        <v>496.10742685332968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4.3703703703703702</v>
      </c>
      <c r="FE15" s="13">
        <f>IF('Données projet'!$A$218&gt;35,FE14+FD15-FM14,IF(A15&lt;'Données projet'!$A$218,$FB$205^A15,IF(A15='Données projet'!$A$218,'Données projet'!$B$218,FE14+FD15-FM14)))</f>
        <v>8.3336728514178713</v>
      </c>
      <c r="FF15" s="18">
        <f>FE15*VLOOKUP('Données projet'!$B$16,Paramètres!$A$1:$I$89,3,0)*VLOOKUP('Données projet'!$B$16,Paramètres!$A$1:$I$89,5,0)</f>
        <v>4.983536365147887</v>
      </c>
      <c r="FG15" s="14">
        <f t="shared" si="47"/>
        <v>1.9050058611951031</v>
      </c>
      <c r="FH15" s="22">
        <f t="shared" si="22"/>
        <v>11.997544377547372</v>
      </c>
      <c r="FI15" s="62">
        <f t="shared" si="23"/>
        <v>170.38947277236798</v>
      </c>
      <c r="FJ15" s="62">
        <f ca="1">AVERAGE(OFFSET($FI$3,0,0,'Données projet'!$E$16+1,1))-AVERAGE(OFFSET($H$3,0,0,'Données projet'!$E$16+1,1))</f>
        <v>341.70983624543067</v>
      </c>
      <c r="FK15" s="62">
        <f t="shared" si="48"/>
        <v>250.82562837973805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4.0333333333333332</v>
      </c>
      <c r="FZ15" s="13">
        <f>IF('Données projet'!$A$244&gt;35,FZ14+FY15-GH14,IF(A15&lt;'Données projet'!$A$244,$FW$205^A15,IF(A15='Données projet'!$A$244,'Données projet'!$B$244,FZ14+FY15-GH14)))</f>
        <v>6.8094831275223058</v>
      </c>
      <c r="GA15" s="18">
        <f>FZ15*VLOOKUP('Données projet'!$B$17,Paramètres!$A$1:$I$89,3,0)*VLOOKUP('Données projet'!$B$17,Paramètres!$A$1:$I$89,5,0)</f>
        <v>3.1868381036804387</v>
      </c>
      <c r="GB15" s="14">
        <f t="shared" si="49"/>
        <v>1.283278629295332</v>
      </c>
      <c r="GC15" s="22">
        <f t="shared" si="25"/>
        <v>7.7854533099328007</v>
      </c>
      <c r="GD15" s="62">
        <f t="shared" si="26"/>
        <v>166.1773817047534</v>
      </c>
      <c r="GE15" s="62">
        <f ca="1">AVERAGE(OFFSET($GD$3,0,0,'Données projet'!$E$17+1,1))-AVERAGE(OFFSET($H$3,0,0,'Données projet'!$E$17+1,1))</f>
        <v>368.69628434154333</v>
      </c>
      <c r="GF15" s="62">
        <f t="shared" si="50"/>
        <v>202.28197295839524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6.6</v>
      </c>
      <c r="GU15" s="13">
        <f>IF('Données projet'!$A$270&gt;35,GU14+GT15-HC14,IF(A15&lt;'Données projet'!$A$270,$GR$205^A15,IF(A15='Données projet'!$A$270,'Données projet'!$B$270,GU14+GT15-HC14)))</f>
        <v>18.721660210059202</v>
      </c>
      <c r="GV15" s="18">
        <f>GU15*VLOOKUP('Données projet'!$B$18,Paramètres!$A$1:$I$89,3,0)*VLOOKUP('Données projet'!$B$18,Paramètres!$A$1:$I$89,5,0)</f>
        <v>16.35524235950772</v>
      </c>
      <c r="GW15" s="14">
        <f t="shared" si="51"/>
        <v>5.4442664998513175</v>
      </c>
      <c r="GX15" s="22">
        <f t="shared" si="28"/>
        <v>37.967477930050322</v>
      </c>
      <c r="GY15" s="62">
        <f t="shared" si="29"/>
        <v>196.35940632487092</v>
      </c>
      <c r="GZ15" s="62">
        <f ca="1">AVERAGE(OFFSET($GY$3,0,0,'Données projet'!$E$18+1,1))-AVERAGE(OFFSET($H$3,0,0,'Données projet'!$E$18+1,1))</f>
        <v>378.51861272969165</v>
      </c>
      <c r="HA15" s="62">
        <f t="shared" si="52"/>
        <v>387.42368617035459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135.66666666666666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2.95</v>
      </c>
      <c r="N16" s="14">
        <f>IF('Données projet'!$A$36&gt;35,N15+M16-V15,IF(A16&lt;'Données projet'!$A$36,$K$205^A16,IF(A16='Données projet'!$A$36,'Données projet'!$B$36,N15+M16-V15)))</f>
        <v>14.159692027216899</v>
      </c>
      <c r="O16" s="14">
        <f>N16*VLOOKUP('Données projet'!$B$9,Paramètres!$A$1:$I$89,3,0)*VLOOKUP('Données projet'!$B$9,Paramètres!$A$1:$I$89,5,0)</f>
        <v>8.4674958322757057</v>
      </c>
      <c r="P16" s="14">
        <f t="shared" si="33"/>
        <v>3.0431010606214413</v>
      </c>
      <c r="Q16" s="22">
        <f t="shared" si="2"/>
        <v>20.047622921795863</v>
      </c>
      <c r="R16" s="62">
        <f t="shared" si="0"/>
        <v>181.62105441536755</v>
      </c>
      <c r="S16" s="62">
        <f ca="1">AVERAGE(OFFSET($R$3,0,0,'Données projet'!$E$9+1,1))-AVERAGE(OFFSET($H$3,0,0,'Données projet'!$E$9+1,1))</f>
        <v>437.94016462147999</v>
      </c>
      <c r="T16" s="62">
        <f t="shared" si="34"/>
        <v>281.88254003380348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2.84</v>
      </c>
      <c r="AI16" s="14">
        <f>IF('Données projet'!$A$62&gt;35,AI15+AH16-AQ15,IF(A16&lt;'Données projet'!$A$62,$AF$205^A16,IF(A16='Données projet'!$A$62,'Données projet'!$B$62,AI15+AH16-AQ15)))</f>
        <v>9.1760197856283234</v>
      </c>
      <c r="AJ16" s="14">
        <f>AI16*VLOOKUP('Données projet'!$B$10,Paramètres!$A$1:$I$89,3,0)*VLOOKUP('Données projet'!$B$10,Paramètres!$A$1:$I$89,5,0)</f>
        <v>8.3024627020365074</v>
      </c>
      <c r="AK16" s="14">
        <f t="shared" si="35"/>
        <v>2.9906343075904238</v>
      </c>
      <c r="AL16" s="22">
        <f t="shared" si="4"/>
        <v>19.668810625100239</v>
      </c>
      <c r="AM16" s="62">
        <f t="shared" si="5"/>
        <v>181.24224211867192</v>
      </c>
      <c r="AN16" s="62">
        <f ca="1">AVERAGE(OFFSET($AM$3,0,0,'Données projet'!$E$10+1,1))-AVERAGE(OFFSET($H$3,0,0,'Données projet'!$E$10+1,1))</f>
        <v>434.56763649859136</v>
      </c>
      <c r="AO16" s="62">
        <f t="shared" si="36"/>
        <v>271.90302066766264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20.8</v>
      </c>
      <c r="BD16" s="13">
        <f>IF('Données projet'!$A$88&gt;35,BD15+BC16-BL15,IF(A16&lt;'Données projet'!$A$88,$BA$205^A16,IF(A16='Données projet'!$A$88,'Données projet'!$B$88,BD15+BC16-BL15)))</f>
        <v>92.8</v>
      </c>
      <c r="BE16" s="14">
        <f>BD16*VLOOKUP('Données projet'!$B$11,Paramètres!$A$1:$I$89,3,0)*VLOOKUP('Données projet'!$B$11,Paramètres!$A$1:$I$89,5,0)</f>
        <v>55.494400000000006</v>
      </c>
      <c r="BF16" s="14">
        <f t="shared" si="37"/>
        <v>16.023988434505792</v>
      </c>
      <c r="BG16" s="22">
        <f t="shared" si="7"/>
        <v>124.5611931900976</v>
      </c>
      <c r="BH16" s="62">
        <f t="shared" si="8"/>
        <v>286.1346246836693</v>
      </c>
      <c r="BI16" s="62">
        <f ca="1">AVERAGE(OFFSET($BH$3,0,0,'Données projet'!$E$11+1,1))-AVERAGE(OFFSET($H$3,0,0,'Données projet'!$E$11+1,1))</f>
        <v>199.65420589615553</v>
      </c>
      <c r="BJ16" s="62">
        <f t="shared" si="38"/>
        <v>477.85821088970999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16.277984942160291</v>
      </c>
      <c r="BS16" s="24">
        <f t="shared" si="9"/>
        <v>16.277984942160291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2.95</v>
      </c>
      <c r="BY16" s="13">
        <f>IF('Données projet'!$A$114&gt;35,BY15+BX16-CG15,IF(A16&lt;'Données projet'!$A$114,$BV$205^A16,IF(A16='Données projet'!$A$114,'Données projet'!$B$114,BY15+BX16-CG15)))</f>
        <v>14.159692027216899</v>
      </c>
      <c r="BZ16" s="14">
        <f>BY16*VLOOKUP('Données projet'!$B$12,Paramètres!$A$1:$I$89,3,0)*VLOOKUP('Données projet'!$B$12,Paramètres!$A$1:$I$89,5,0)</f>
        <v>8.4674958322757057</v>
      </c>
      <c r="CA16" s="14">
        <f t="shared" si="39"/>
        <v>3.0431010606214413</v>
      </c>
      <c r="CB16" s="22">
        <f t="shared" si="10"/>
        <v>20.047622921795863</v>
      </c>
      <c r="CC16" s="62">
        <f t="shared" si="11"/>
        <v>181.62105441536755</v>
      </c>
      <c r="CD16" s="62">
        <f ca="1">AVERAGE(OFFSET($CC$3,0,0,'Données projet'!$E$12+1,1))-AVERAGE(OFFSET($H$3,0,0,'Données projet'!$E$12+1,1))</f>
        <v>437.94016462147999</v>
      </c>
      <c r="CE16" s="62">
        <f t="shared" si="40"/>
        <v>281.88254003380348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2.84</v>
      </c>
      <c r="CT16" s="13">
        <f>IF('Données projet'!$A$140&gt;35,CT15+CS16-DB15,IF(A16&lt;'Données projet'!$A$140,$CQ$205^A16,IF(A16='Données projet'!$A$140,'Données projet'!$B$140,CT15+CS16-DB15)))</f>
        <v>9.1760197856283234</v>
      </c>
      <c r="CU16" s="18">
        <f>CT16*VLOOKUP('Données projet'!$B$13,Paramètres!$A$1:$I$89,3,0)*VLOOKUP('Données projet'!$B$13,Paramètres!$A$1:$I$89,5,0)</f>
        <v>10.449651331873536</v>
      </c>
      <c r="CV16" s="14">
        <f t="shared" si="41"/>
        <v>3.6646323846759299</v>
      </c>
      <c r="CW16" s="22">
        <f t="shared" si="13"/>
        <v>24.582377472990316</v>
      </c>
      <c r="CX16" s="62">
        <f t="shared" si="14"/>
        <v>186.15580896656201</v>
      </c>
      <c r="CY16" s="62">
        <f ca="1">AVERAGE(OFFSET($CX$3,0,0,'Données projet'!$E$13+1,1))-AVERAGE(OFFSET($H$3,0,0,'Données projet'!$E$13+1,1))</f>
        <v>520.23742527061836</v>
      </c>
      <c r="CZ16" s="62">
        <f t="shared" si="42"/>
        <v>321.35925479331274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3.65</v>
      </c>
      <c r="DO16" s="13">
        <f>IF('Données projet'!$A$166&gt;35,DO15+DN16-DW15,IF(A16&lt;'Données projet'!$A$166,$DL$205^A16,IF(A16='Données projet'!$A$166,'Données projet'!$B$166,DO15+DN16-DW15)))</f>
        <v>16.261472127148366</v>
      </c>
      <c r="DP16" s="18">
        <f>DO16*VLOOKUP('Données projet'!$B$14,Paramètres!$A$1:$I$89,3,0)*VLOOKUP('Données projet'!$B$14,Paramètres!$A$1:$I$89,5,0)</f>
        <v>16.489132736928447</v>
      </c>
      <c r="DQ16" s="14">
        <f t="shared" si="43"/>
        <v>5.4836288594779292</v>
      </c>
      <c r="DR16" s="22">
        <f t="shared" si="16"/>
        <v>38.269226447074438</v>
      </c>
      <c r="DS16" s="62">
        <f t="shared" si="17"/>
        <v>199.84265794064612</v>
      </c>
      <c r="DT16" s="62">
        <f ca="1">AVERAGE(OFFSET($DS$3,0,0,'Données projet'!$E$14+1,1))-AVERAGE(OFFSET($H$3,0,0,'Données projet'!$E$14+1,1))</f>
        <v>547.89540791313675</v>
      </c>
      <c r="DU16" s="62">
        <f t="shared" si="44"/>
        <v>345.19555189302378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5.8</v>
      </c>
      <c r="EJ16" s="13">
        <f>IF('Données projet'!$A$192&gt;35,EJ15+EI16-ER15,IF(A16&lt;'Données projet'!$A$192,$EG$205^A16,IF(A16='Données projet'!$A$192,'Données projet'!$B$192,EJ15+EI16-ER15)))</f>
        <v>47.964142612378375</v>
      </c>
      <c r="EK16" s="18">
        <f>EJ16*VLOOKUP('Données projet'!$B$15,Paramètres!$A$1:$I$89,3,0)*VLOOKUP('Données projet'!$B$15,Paramètres!$A$1:$I$89,5,0)</f>
        <v>50.132121858457886</v>
      </c>
      <c r="EL16" s="14">
        <f t="shared" si="45"/>
        <v>14.647875467236421</v>
      </c>
      <c r="EM16" s="22">
        <f t="shared" si="19"/>
        <v>112.82516200891757</v>
      </c>
      <c r="EN16" s="62">
        <f t="shared" si="20"/>
        <v>274.39859350248923</v>
      </c>
      <c r="EO16" s="62">
        <f ca="1">AVERAGE(OFFSET($EN$3,0,0,'Données projet'!$E$15+1,1))-AVERAGE(OFFSET($H$3,0,0,'Données projet'!$E$15+1,1))</f>
        <v>418.23737352070503</v>
      </c>
      <c r="EP16" s="62">
        <f t="shared" si="46"/>
        <v>496.10742685332968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4.3703703703703702</v>
      </c>
      <c r="FE16" s="13">
        <f>IF('Données projet'!$A$218&gt;35,FE15+FD16-FM15,IF(A16&lt;'Données projet'!$A$218,$FB$205^A16,IF(A16='Données projet'!$A$218,'Données projet'!$B$218,FE15+FD16-FM15)))</f>
        <v>9.944267959210924</v>
      </c>
      <c r="FF16" s="18">
        <f>FE16*VLOOKUP('Données projet'!$B$16,Paramètres!$A$1:$I$89,3,0)*VLOOKUP('Données projet'!$B$16,Paramètres!$A$1:$I$89,5,0)</f>
        <v>5.9466722396081328</v>
      </c>
      <c r="FG16" s="14">
        <f t="shared" si="47"/>
        <v>2.2268992721234029</v>
      </c>
      <c r="FH16" s="22">
        <f t="shared" si="22"/>
        <v>14.235637049599092</v>
      </c>
      <c r="FI16" s="62">
        <f t="shared" si="23"/>
        <v>175.80906854317078</v>
      </c>
      <c r="FJ16" s="62">
        <f ca="1">AVERAGE(OFFSET($FI$3,0,0,'Données projet'!$E$16+1,1))-AVERAGE(OFFSET($H$3,0,0,'Données projet'!$E$16+1,1))</f>
        <v>341.70983624543067</v>
      </c>
      <c r="FK16" s="62">
        <f t="shared" si="48"/>
        <v>250.82562837973805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4.0333333333333332</v>
      </c>
      <c r="FZ16" s="13">
        <f>IF('Données projet'!$A$244&gt;35,FZ15+FY16-GH15,IF(A16&lt;'Données projet'!$A$244,$FW$205^A16,IF(A16='Données projet'!$A$244,'Données projet'!$B$244,FZ15+FY16-GH15)))</f>
        <v>7.989881295958547</v>
      </c>
      <c r="GA16" s="18">
        <f>FZ16*VLOOKUP('Données projet'!$B$17,Paramètres!$A$1:$I$89,3,0)*VLOOKUP('Données projet'!$B$17,Paramètres!$A$1:$I$89,5,0)</f>
        <v>3.7392644465085998</v>
      </c>
      <c r="GB16" s="14">
        <f t="shared" si="49"/>
        <v>1.4779710716998222</v>
      </c>
      <c r="GC16" s="22">
        <f t="shared" si="25"/>
        <v>9.0866851942130022</v>
      </c>
      <c r="GD16" s="62">
        <f t="shared" si="26"/>
        <v>170.66011668778469</v>
      </c>
      <c r="GE16" s="62">
        <f ca="1">AVERAGE(OFFSET($GD$3,0,0,'Données projet'!$E$17+1,1))-AVERAGE(OFFSET($H$3,0,0,'Données projet'!$E$17+1,1))</f>
        <v>368.69628434154333</v>
      </c>
      <c r="GF16" s="62">
        <f t="shared" si="50"/>
        <v>202.28197295839524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6.6</v>
      </c>
      <c r="GU16" s="13">
        <f>IF('Données projet'!$A$270&gt;35,GU15+GT16-HC15,IF(A16&lt;'Données projet'!$A$270,$GR$205^A16,IF(A16='Données projet'!$A$270,'Données projet'!$B$270,GU15+GT16-HC15)))</f>
        <v>23.89863273788427</v>
      </c>
      <c r="GV16" s="18">
        <f>GU16*VLOOKUP('Données projet'!$B$18,Paramètres!$A$1:$I$89,3,0)*VLOOKUP('Données projet'!$B$18,Paramètres!$A$1:$I$89,5,0)</f>
        <v>20.8778455598157</v>
      </c>
      <c r="GW16" s="14">
        <f t="shared" si="51"/>
        <v>6.7550152262411558</v>
      </c>
      <c r="GX16" s="22">
        <f t="shared" si="28"/>
        <v>48.127232535715684</v>
      </c>
      <c r="GY16" s="62">
        <f t="shared" si="29"/>
        <v>209.70066402928737</v>
      </c>
      <c r="GZ16" s="62">
        <f ca="1">AVERAGE(OFFSET($GY$3,0,0,'Données projet'!$E$18+1,1))-AVERAGE(OFFSET($H$3,0,0,'Données projet'!$E$18+1,1))</f>
        <v>378.51861272969165</v>
      </c>
      <c r="HA16" s="62">
        <f t="shared" si="52"/>
        <v>387.42368617035459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135.66666666666666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2.95</v>
      </c>
      <c r="N17" s="14">
        <f>IF('Données projet'!$A$36&gt;35,N16+M17-V16,IF(A17&lt;'Données projet'!$A$36,$K$205^A17,IF(A17='Données projet'!$A$36,'Données projet'!$B$36,N16+M17-V16)))</f>
        <v>17.361866326385897</v>
      </c>
      <c r="O17" s="14">
        <f>N17*VLOOKUP('Données projet'!$B$9,Paramètres!$A$1:$I$89,3,0)*VLOOKUP('Données projet'!$B$9,Paramètres!$A$1:$I$89,5,0)</f>
        <v>10.382396063178767</v>
      </c>
      <c r="P17" s="14">
        <f t="shared" si="33"/>
        <v>3.6437839393939777</v>
      </c>
      <c r="Q17" s="22">
        <f t="shared" si="2"/>
        <v>24.428930171147528</v>
      </c>
      <c r="R17" s="62">
        <f t="shared" si="0"/>
        <v>189.14987562055833</v>
      </c>
      <c r="S17" s="62">
        <f ca="1">AVERAGE(OFFSET($R$3,0,0,'Données projet'!$E$9+1,1))-AVERAGE(OFFSET($H$3,0,0,'Données projet'!$E$9+1,1))</f>
        <v>437.94016462147999</v>
      </c>
      <c r="T17" s="62">
        <f t="shared" si="34"/>
        <v>281.88254003380348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2.84</v>
      </c>
      <c r="AI17" s="14">
        <f>IF('Données projet'!$A$62&gt;35,AI16+AH17-AQ16,IF(A17&lt;'Données projet'!$A$62,$AF$205^A17,IF(A17='Données projet'!$A$62,'Données projet'!$B$62,AI16+AH17-AQ16)))</f>
        <v>10.881898613742376</v>
      </c>
      <c r="AJ17" s="14">
        <f>AI17*VLOOKUP('Données projet'!$B$10,Paramètres!$A$1:$I$89,3,0)*VLOOKUP('Données projet'!$B$10,Paramètres!$A$1:$I$89,5,0)</f>
        <v>9.8459418657141011</v>
      </c>
      <c r="AK17" s="14">
        <f t="shared" si="35"/>
        <v>3.4769159009359916</v>
      </c>
      <c r="AL17" s="22">
        <f t="shared" si="4"/>
        <v>23.203977276915577</v>
      </c>
      <c r="AM17" s="62">
        <f t="shared" si="5"/>
        <v>187.92492272632637</v>
      </c>
      <c r="AN17" s="62">
        <f ca="1">AVERAGE(OFFSET($AM$3,0,0,'Données projet'!$E$10+1,1))-AVERAGE(OFFSET($H$3,0,0,'Données projet'!$E$10+1,1))</f>
        <v>434.56763649859136</v>
      </c>
      <c r="AO17" s="62">
        <f t="shared" si="36"/>
        <v>271.90302066766264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20.8</v>
      </c>
      <c r="BD17" s="13">
        <f>IF('Données projet'!$A$88&gt;35,BD16+BC17-BL16,IF(A17&lt;'Données projet'!$A$88,$BA$205^A17,IF(A17='Données projet'!$A$88,'Données projet'!$B$88,BD16+BC17-BL16)))</f>
        <v>113.6</v>
      </c>
      <c r="BE17" s="14">
        <f>BD17*VLOOKUP('Données projet'!$B$11,Paramètres!$A$1:$I$89,3,0)*VLOOKUP('Données projet'!$B$11,Paramètres!$A$1:$I$89,5,0)</f>
        <v>67.9328</v>
      </c>
      <c r="BF17" s="14">
        <f t="shared" si="37"/>
        <v>19.159206778906245</v>
      </c>
      <c r="BG17" s="22">
        <f t="shared" si="7"/>
        <v>151.68524513992836</v>
      </c>
      <c r="BH17" s="62">
        <f t="shared" si="8"/>
        <v>316.40619058933919</v>
      </c>
      <c r="BI17" s="62">
        <f ca="1">AVERAGE(OFFSET($BH$3,0,0,'Données projet'!$E$11+1,1))-AVERAGE(OFFSET($H$3,0,0,'Données projet'!$E$11+1,1))</f>
        <v>199.65420589615553</v>
      </c>
      <c r="BJ17" s="62">
        <f t="shared" si="38"/>
        <v>477.85821088970999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11.510273536654053</v>
      </c>
      <c r="BS17" s="24">
        <f t="shared" si="9"/>
        <v>11.510273536654053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2.95</v>
      </c>
      <c r="BY17" s="13">
        <f>IF('Données projet'!$A$114&gt;35,BY16+BX17-CG16,IF(A17&lt;'Données projet'!$A$114,$BV$205^A17,IF(A17='Données projet'!$A$114,'Données projet'!$B$114,BY16+BX17-CG16)))</f>
        <v>17.361866326385897</v>
      </c>
      <c r="BZ17" s="14">
        <f>BY17*VLOOKUP('Données projet'!$B$12,Paramètres!$A$1:$I$89,3,0)*VLOOKUP('Données projet'!$B$12,Paramètres!$A$1:$I$89,5,0)</f>
        <v>10.382396063178767</v>
      </c>
      <c r="CA17" s="14">
        <f t="shared" si="39"/>
        <v>3.6437839393939777</v>
      </c>
      <c r="CB17" s="22">
        <f t="shared" si="10"/>
        <v>24.428930171147528</v>
      </c>
      <c r="CC17" s="62">
        <f t="shared" si="11"/>
        <v>189.14987562055833</v>
      </c>
      <c r="CD17" s="62">
        <f ca="1">AVERAGE(OFFSET($CC$3,0,0,'Données projet'!$E$12+1,1))-AVERAGE(OFFSET($H$3,0,0,'Données projet'!$E$12+1,1))</f>
        <v>437.94016462147999</v>
      </c>
      <c r="CE17" s="62">
        <f t="shared" si="40"/>
        <v>281.88254003380348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2.84</v>
      </c>
      <c r="CT17" s="13">
        <f>IF('Données projet'!$A$140&gt;35,CT16+CS17-DB16,IF(A17&lt;'Données projet'!$A$140,$CQ$205^A17,IF(A17='Données projet'!$A$140,'Données projet'!$B$140,CT16+CS17-DB16)))</f>
        <v>10.881898613742376</v>
      </c>
      <c r="CU17" s="18">
        <f>CT17*VLOOKUP('Données projet'!$B$13,Paramètres!$A$1:$I$89,3,0)*VLOOKUP('Données projet'!$B$13,Paramètres!$A$1:$I$89,5,0)</f>
        <v>12.392306141329817</v>
      </c>
      <c r="CV17" s="14">
        <f t="shared" si="41"/>
        <v>4.2605070693617311</v>
      </c>
      <c r="CW17" s="22">
        <f t="shared" si="13"/>
        <v>29.003649675287779</v>
      </c>
      <c r="CX17" s="62">
        <f t="shared" si="14"/>
        <v>193.7245951246986</v>
      </c>
      <c r="CY17" s="62">
        <f ca="1">AVERAGE(OFFSET($CX$3,0,0,'Données projet'!$E$13+1,1))-AVERAGE(OFFSET($H$3,0,0,'Données projet'!$E$13+1,1))</f>
        <v>520.23742527061836</v>
      </c>
      <c r="CZ17" s="62">
        <f t="shared" si="42"/>
        <v>321.35925479331274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3.65</v>
      </c>
      <c r="DO17" s="13">
        <f>IF('Données projet'!$A$166&gt;35,DO16+DN17-DW16,IF(A17&lt;'Données projet'!$A$166,$DL$205^A17,IF(A17='Données projet'!$A$166,'Données projet'!$B$166,DO16+DN17-DW16)))</f>
        <v>20.152364144963837</v>
      </c>
      <c r="DP17" s="18">
        <f>DO17*VLOOKUP('Données projet'!$B$14,Paramètres!$A$1:$I$89,3,0)*VLOOKUP('Données projet'!$B$14,Paramètres!$A$1:$I$89,5,0)</f>
        <v>20.434497242993334</v>
      </c>
      <c r="DQ17" s="14">
        <f t="shared" si="43"/>
        <v>6.6281092368495731</v>
      </c>
      <c r="DR17" s="22">
        <f t="shared" si="16"/>
        <v>47.134039619059727</v>
      </c>
      <c r="DS17" s="62">
        <f t="shared" si="17"/>
        <v>211.85498506847054</v>
      </c>
      <c r="DT17" s="62">
        <f ca="1">AVERAGE(OFFSET($DS$3,0,0,'Données projet'!$E$14+1,1))-AVERAGE(OFFSET($H$3,0,0,'Données projet'!$E$14+1,1))</f>
        <v>547.89540791313675</v>
      </c>
      <c r="DU17" s="62">
        <f t="shared" si="44"/>
        <v>345.19555189302378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5.8</v>
      </c>
      <c r="EJ17" s="13">
        <f>IF('Données projet'!$A$192&gt;35,EJ16+EI17-ER16,IF(A17&lt;'Données projet'!$A$192,$EG$205^A17,IF(A17='Données projet'!$A$192,'Données projet'!$B$192,EJ16+EI17-ER16)))</f>
        <v>64.597835933388069</v>
      </c>
      <c r="EK17" s="18">
        <f>EJ17*VLOOKUP('Données projet'!$B$15,Paramètres!$A$1:$I$89,3,0)*VLOOKUP('Données projet'!$B$15,Paramètres!$A$1:$I$89,5,0)</f>
        <v>67.517658117577213</v>
      </c>
      <c r="EL17" s="14">
        <f t="shared" si="45"/>
        <v>19.05571519004895</v>
      </c>
      <c r="EM17" s="22">
        <f t="shared" si="19"/>
        <v>150.7819585107822</v>
      </c>
      <c r="EN17" s="62">
        <f t="shared" si="20"/>
        <v>315.50290396019301</v>
      </c>
      <c r="EO17" s="62">
        <f ca="1">AVERAGE(OFFSET($EN$3,0,0,'Données projet'!$E$15+1,1))-AVERAGE(OFFSET($H$3,0,0,'Données projet'!$E$15+1,1))</f>
        <v>418.23737352070503</v>
      </c>
      <c r="EP17" s="62">
        <f t="shared" si="46"/>
        <v>496.10742685332968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4.3703703703703702</v>
      </c>
      <c r="FE17" s="13">
        <f>IF('Données projet'!$A$218&gt;35,FE16+FD17-FM16,IF(A17&lt;'Données projet'!$A$218,$FB$205^A17,IF(A17='Données projet'!$A$218,'Données projet'!$B$218,FE16+FD17-FM16)))</f>
        <v>11.866132377366407</v>
      </c>
      <c r="FF17" s="18">
        <f>FE17*VLOOKUP('Données projet'!$B$16,Paramètres!$A$1:$I$89,3,0)*VLOOKUP('Données projet'!$B$16,Paramètres!$A$1:$I$89,5,0)</f>
        <v>7.0959471616651122</v>
      </c>
      <c r="FG17" s="14">
        <f t="shared" si="47"/>
        <v>2.6031837849951125</v>
      </c>
      <c r="FH17" s="22">
        <f t="shared" si="22"/>
        <v>16.892653065433223</v>
      </c>
      <c r="FI17" s="62">
        <f t="shared" si="23"/>
        <v>181.61359851484403</v>
      </c>
      <c r="FJ17" s="62">
        <f ca="1">AVERAGE(OFFSET($FI$3,0,0,'Données projet'!$E$16+1,1))-AVERAGE(OFFSET($H$3,0,0,'Données projet'!$E$16+1,1))</f>
        <v>341.70983624543067</v>
      </c>
      <c r="FK17" s="62">
        <f t="shared" si="48"/>
        <v>250.82562837973805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4.0333333333333332</v>
      </c>
      <c r="FZ17" s="13">
        <f>IF('Données projet'!$A$244&gt;35,FZ16+FY17-GH16,IF(A17&lt;'Données projet'!$A$244,$FW$205^A17,IF(A17='Données projet'!$A$244,'Données projet'!$B$244,FZ16+FY17-GH16)))</f>
        <v>9.3748970263968268</v>
      </c>
      <c r="GA17" s="18">
        <f>FZ17*VLOOKUP('Données projet'!$B$17,Paramètres!$A$1:$I$89,3,0)*VLOOKUP('Données projet'!$B$17,Paramètres!$A$1:$I$89,5,0)</f>
        <v>4.3874518083537151</v>
      </c>
      <c r="GB17" s="14">
        <f t="shared" si="49"/>
        <v>1.7022012514780274</v>
      </c>
      <c r="GC17" s="22">
        <f t="shared" si="25"/>
        <v>10.606145745873619</v>
      </c>
      <c r="GD17" s="62">
        <f t="shared" si="26"/>
        <v>175.32709119528442</v>
      </c>
      <c r="GE17" s="62">
        <f ca="1">AVERAGE(OFFSET($GD$3,0,0,'Données projet'!$E$17+1,1))-AVERAGE(OFFSET($H$3,0,0,'Données projet'!$E$17+1,1))</f>
        <v>368.69628434154333</v>
      </c>
      <c r="GF17" s="62">
        <f t="shared" si="50"/>
        <v>202.28197295839524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6.6</v>
      </c>
      <c r="GU17" s="13">
        <f>IF('Données projet'!$A$270&gt;35,GU16+GT17-HC16,IF(A17&lt;'Données projet'!$A$270,$GR$205^A17,IF(A17='Données projet'!$A$270,'Données projet'!$B$270,GU16+GT17-HC16)))</f>
        <v>30.50715803683886</v>
      </c>
      <c r="GV17" s="18">
        <f>GU17*VLOOKUP('Données projet'!$B$18,Paramètres!$A$1:$I$89,3,0)*VLOOKUP('Données projet'!$B$18,Paramètres!$A$1:$I$89,5,0)</f>
        <v>26.651053260982433</v>
      </c>
      <c r="GW17" s="14">
        <f t="shared" si="51"/>
        <v>8.3813367159737684</v>
      </c>
      <c r="GX17" s="22">
        <f t="shared" si="28"/>
        <v>61.014745876532061</v>
      </c>
      <c r="GY17" s="62">
        <f t="shared" si="29"/>
        <v>225.73569132594287</v>
      </c>
      <c r="GZ17" s="62">
        <f ca="1">AVERAGE(OFFSET($GY$3,0,0,'Données projet'!$E$18+1,1))-AVERAGE(OFFSET($H$3,0,0,'Données projet'!$E$18+1,1))</f>
        <v>378.51861272969165</v>
      </c>
      <c r="HA17" s="62">
        <f t="shared" si="52"/>
        <v>387.42368617035459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135.66666666666666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2.95</v>
      </c>
      <c r="N18" s="14">
        <f>IF('Données projet'!$A$36&gt;35,N17+M18-V17,IF(A18&lt;'Données projet'!$A$36,$K$205^A18,IF(A18='Données projet'!$A$36,'Données projet'!$B$36,N17+M18-V17)))</f>
        <v>21.288203285487675</v>
      </c>
      <c r="O18" s="14">
        <f>N18*VLOOKUP('Données projet'!$B$9,Paramètres!$A$1:$I$89,3,0)*VLOOKUP('Données projet'!$B$9,Paramètres!$A$1:$I$89,5,0)</f>
        <v>12.730345564721631</v>
      </c>
      <c r="P18" s="14">
        <f t="shared" si="33"/>
        <v>4.3630366302307833</v>
      </c>
      <c r="Q18" s="22">
        <f t="shared" si="2"/>
        <v>29.770973989542124</v>
      </c>
      <c r="R18" s="62">
        <f t="shared" si="0"/>
        <v>197.60603388752128</v>
      </c>
      <c r="S18" s="62">
        <f ca="1">AVERAGE(OFFSET($R$3,0,0,'Données projet'!$E$9+1,1))-AVERAGE(OFFSET($H$3,0,0,'Données projet'!$E$9+1,1))</f>
        <v>437.94016462147999</v>
      </c>
      <c r="T18" s="62">
        <f t="shared" si="34"/>
        <v>281.88254003380348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2.84</v>
      </c>
      <c r="AI18" s="14">
        <f>IF('Données projet'!$A$62&gt;35,AI17+AH18-AQ17,IF(A18&lt;'Données projet'!$A$62,$AF$205^A18,IF(A18='Données projet'!$A$62,'Données projet'!$B$62,AI17+AH18-AQ17)))</f>
        <v>12.904910866172436</v>
      </c>
      <c r="AJ18" s="14">
        <f>AI18*VLOOKUP('Données projet'!$B$10,Paramètres!$A$1:$I$89,3,0)*VLOOKUP('Données projet'!$B$10,Paramètres!$A$1:$I$89,5,0)</f>
        <v>11.676363351712819</v>
      </c>
      <c r="AK18" s="14">
        <f t="shared" si="35"/>
        <v>4.0422676057380276</v>
      </c>
      <c r="AL18" s="22">
        <f t="shared" si="4"/>
        <v>27.376615584226887</v>
      </c>
      <c r="AM18" s="62">
        <f t="shared" si="5"/>
        <v>195.21167548220606</v>
      </c>
      <c r="AN18" s="62">
        <f ca="1">AVERAGE(OFFSET($AM$3,0,0,'Données projet'!$E$10+1,1))-AVERAGE(OFFSET($H$3,0,0,'Données projet'!$E$10+1,1))</f>
        <v>434.56763649859136</v>
      </c>
      <c r="AO18" s="62">
        <f t="shared" si="36"/>
        <v>271.90302066766264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20.8</v>
      </c>
      <c r="BD18" s="13">
        <f>IF('Données projet'!$A$88&gt;35,BD17+BC18-BL17,IF(A18&lt;'Données projet'!$A$88,$BA$205^A18,IF(A18='Données projet'!$A$88,'Données projet'!$B$88,BD17+BC18-BL17)))</f>
        <v>134.4</v>
      </c>
      <c r="BE18" s="14">
        <f>BD18*VLOOKUP('Données projet'!$B$11,Paramètres!$A$1:$I$89,3,0)*VLOOKUP('Données projet'!$B$11,Paramètres!$A$1:$I$89,5,0)</f>
        <v>80.371200000000016</v>
      </c>
      <c r="BF18" s="14">
        <f t="shared" si="37"/>
        <v>22.227919990990831</v>
      </c>
      <c r="BG18" s="22">
        <f t="shared" si="7"/>
        <v>178.69346731764236</v>
      </c>
      <c r="BH18" s="62">
        <f t="shared" si="8"/>
        <v>346.52852721562152</v>
      </c>
      <c r="BI18" s="62">
        <f ca="1">AVERAGE(OFFSET($BH$3,0,0,'Données projet'!$E$11+1,1))-AVERAGE(OFFSET($H$3,0,0,'Données projet'!$E$11+1,1))</f>
        <v>199.65420589615553</v>
      </c>
      <c r="BJ18" s="62">
        <f t="shared" si="38"/>
        <v>477.85821088970999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8.1389924710801456</v>
      </c>
      <c r="BS18" s="24">
        <f t="shared" si="9"/>
        <v>8.1389924710801456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2.95</v>
      </c>
      <c r="BY18" s="13">
        <f>IF('Données projet'!$A$114&gt;35,BY17+BX18-CG17,IF(A18&lt;'Données projet'!$A$114,$BV$205^A18,IF(A18='Données projet'!$A$114,'Données projet'!$B$114,BY17+BX18-CG17)))</f>
        <v>21.288203285487675</v>
      </c>
      <c r="BZ18" s="14">
        <f>BY18*VLOOKUP('Données projet'!$B$12,Paramètres!$A$1:$I$89,3,0)*VLOOKUP('Données projet'!$B$12,Paramètres!$A$1:$I$89,5,0)</f>
        <v>12.730345564721631</v>
      </c>
      <c r="CA18" s="14">
        <f t="shared" si="39"/>
        <v>4.3630366302307833</v>
      </c>
      <c r="CB18" s="22">
        <f t="shared" si="10"/>
        <v>29.770973989542124</v>
      </c>
      <c r="CC18" s="62">
        <f t="shared" si="11"/>
        <v>197.60603388752128</v>
      </c>
      <c r="CD18" s="62">
        <f ca="1">AVERAGE(OFFSET($CC$3,0,0,'Données projet'!$E$12+1,1))-AVERAGE(OFFSET($H$3,0,0,'Données projet'!$E$12+1,1))</f>
        <v>437.94016462147999</v>
      </c>
      <c r="CE18" s="62">
        <f t="shared" si="40"/>
        <v>281.88254003380348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2.84</v>
      </c>
      <c r="CT18" s="13">
        <f>IF('Données projet'!$A$140&gt;35,CT17+CS18-DB17,IF(A18&lt;'Données projet'!$A$140,$CQ$205^A18,IF(A18='Données projet'!$A$140,'Données projet'!$B$140,CT17+CS18-DB17)))</f>
        <v>12.904910866172436</v>
      </c>
      <c r="CU18" s="18">
        <f>CT18*VLOOKUP('Données projet'!$B$13,Paramètres!$A$1:$I$89,3,0)*VLOOKUP('Données projet'!$B$13,Paramètres!$A$1:$I$89,5,0)</f>
        <v>14.696112494397171</v>
      </c>
      <c r="CV18" s="14">
        <f t="shared" si="41"/>
        <v>4.953271865408813</v>
      </c>
      <c r="CW18" s="22">
        <f t="shared" si="13"/>
        <v>34.222677759995427</v>
      </c>
      <c r="CX18" s="62">
        <f t="shared" si="14"/>
        <v>202.0577376579746</v>
      </c>
      <c r="CY18" s="62">
        <f ca="1">AVERAGE(OFFSET($CX$3,0,0,'Données projet'!$E$13+1,1))-AVERAGE(OFFSET($H$3,0,0,'Données projet'!$E$13+1,1))</f>
        <v>520.23742527061836</v>
      </c>
      <c r="CZ18" s="62">
        <f t="shared" si="42"/>
        <v>321.35925479331274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3.65</v>
      </c>
      <c r="DO18" s="13">
        <f>IF('Données projet'!$A$166&gt;35,DO17+DN18-DW17,IF(A18&lt;'Données projet'!$A$166,$DL$205^A18,IF(A18='Données projet'!$A$166,'Données projet'!$B$166,DO17+DN18-DW17)))</f>
        <v>24.974232188561476</v>
      </c>
      <c r="DP18" s="18">
        <f>DO18*VLOOKUP('Données projet'!$B$14,Paramètres!$A$1:$I$89,3,0)*VLOOKUP('Données projet'!$B$14,Paramètres!$A$1:$I$89,5,0)</f>
        <v>25.323871439201337</v>
      </c>
      <c r="DQ18" s="14">
        <f t="shared" si="43"/>
        <v>8.0114524854610902</v>
      </c>
      <c r="DR18" s="22">
        <f t="shared" si="16"/>
        <v>58.059022502120392</v>
      </c>
      <c r="DS18" s="62">
        <f t="shared" si="17"/>
        <v>225.89408240009956</v>
      </c>
      <c r="DT18" s="62">
        <f ca="1">AVERAGE(OFFSET($DS$3,0,0,'Données projet'!$E$14+1,1))-AVERAGE(OFFSET($H$3,0,0,'Données projet'!$E$14+1,1))</f>
        <v>547.89540791313675</v>
      </c>
      <c r="DU18" s="62">
        <f t="shared" si="44"/>
        <v>345.19555189302378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87</v>
      </c>
      <c r="EH18" s="13">
        <f>VLOOKUP(A18,'Données projet'!$A$191:$I$211,9,0)</f>
        <v>5.8</v>
      </c>
      <c r="EI18" s="13">
        <f t="array" ref="EI18">INDEX(EH:EH,MIN(IF(ISNUMBER(EH18:EH214),ROW(EH18:EH214),"")))</f>
        <v>5.8</v>
      </c>
      <c r="EJ18" s="13">
        <f>IF('Données projet'!$A$192&gt;35,EJ17+EI18-ER17,IF(A18&lt;'Données projet'!$A$192,$EG$205^A18,IF(A18='Données projet'!$A$192,'Données projet'!$B$192,EJ17+EI18-ER17)))</f>
        <v>87</v>
      </c>
      <c r="EK18" s="18">
        <f>EJ18*VLOOKUP('Données projet'!$B$15,Paramètres!$A$1:$I$89,3,0)*VLOOKUP('Données projet'!$B$15,Paramètres!$A$1:$I$89,5,0)</f>
        <v>90.932400000000015</v>
      </c>
      <c r="EL18" s="14">
        <f t="shared" si="45"/>
        <v>24.78996235436804</v>
      </c>
      <c r="EM18" s="22">
        <f t="shared" si="19"/>
        <v>201.54978110052437</v>
      </c>
      <c r="EN18" s="62">
        <f t="shared" si="20"/>
        <v>369.38484099850353</v>
      </c>
      <c r="EO18" s="62">
        <f ca="1">AVERAGE(OFFSET($EN$3,0,0,'Données projet'!$E$15+1,1))-AVERAGE(OFFSET($H$3,0,0,'Données projet'!$E$15+1,1))</f>
        <v>418.23737352070503</v>
      </c>
      <c r="EP18" s="62">
        <f t="shared" si="46"/>
        <v>496.10742685332968</v>
      </c>
      <c r="EQ18" s="16">
        <f>IF(ISNA(VLOOKUP(A18,'Données projet'!$A$191:$I$211,3,0)),0,VLOOKUP(A18,'Données projet'!$A$191:$I$211,3,0))</f>
        <v>1</v>
      </c>
      <c r="ER18" s="16">
        <f>IF(ISNA(VLOOKUP(A18,'Données projet'!$A$191:$I$211,4,0)),0,VLOOKUP(A18,'Données projet'!$A$191:$I$211,4,0))</f>
        <v>21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4.3703703703703702</v>
      </c>
      <c r="FE18" s="13">
        <f>IF('Données projet'!$A$218&gt;35,FE17+FD18-FM17,IF(A18&lt;'Données projet'!$A$218,$FB$205^A18,IF(A18='Données projet'!$A$218,'Données projet'!$B$218,FE17+FD18-FM17)))</f>
        <v>14.159423114374338</v>
      </c>
      <c r="FF18" s="18">
        <f>FE18*VLOOKUP('Données projet'!$B$16,Paramètres!$A$1:$I$89,3,0)*VLOOKUP('Données projet'!$B$16,Paramètres!$A$1:$I$89,5,0)</f>
        <v>8.4673350223958543</v>
      </c>
      <c r="FG18" s="14">
        <f t="shared" si="47"/>
        <v>3.0430499948027987</v>
      </c>
      <c r="FH18" s="22">
        <f t="shared" si="22"/>
        <v>20.047253904954317</v>
      </c>
      <c r="FI18" s="62">
        <f t="shared" si="23"/>
        <v>187.88231380293348</v>
      </c>
      <c r="FJ18" s="62">
        <f ca="1">AVERAGE(OFFSET($FI$3,0,0,'Données projet'!$E$16+1,1))-AVERAGE(OFFSET($H$3,0,0,'Données projet'!$E$16+1,1))</f>
        <v>341.70983624543067</v>
      </c>
      <c r="FK18" s="62">
        <f t="shared" si="48"/>
        <v>250.82562837973805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4.0333333333333332</v>
      </c>
      <c r="FZ18" s="13">
        <f>IF('Données projet'!$A$244&gt;35,FZ17+FY18-GH17,IF(A18&lt;'Données projet'!$A$244,$FW$205^A18,IF(A18='Données projet'!$A$244,'Données projet'!$B$244,FZ17+FY18-GH17)))</f>
        <v>11.000000000000009</v>
      </c>
      <c r="GA18" s="18">
        <f>FZ18*VLOOKUP('Données projet'!$B$17,Paramètres!$A$1:$I$89,3,0)*VLOOKUP('Données projet'!$B$17,Paramètres!$A$1:$I$89,5,0)</f>
        <v>5.1480000000000041</v>
      </c>
      <c r="GB18" s="14">
        <f t="shared" si="49"/>
        <v>1.9604504824312596</v>
      </c>
      <c r="GC18" s="22">
        <f t="shared" si="25"/>
        <v>12.380551256901116</v>
      </c>
      <c r="GD18" s="62">
        <f t="shared" si="26"/>
        <v>180.21561115488029</v>
      </c>
      <c r="GE18" s="62">
        <f ca="1">AVERAGE(OFFSET($GD$3,0,0,'Données projet'!$E$17+1,1))-AVERAGE(OFFSET($H$3,0,0,'Données projet'!$E$17+1,1))</f>
        <v>368.69628434154333</v>
      </c>
      <c r="GF18" s="62">
        <f t="shared" si="50"/>
        <v>202.28197295839524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6.6</v>
      </c>
      <c r="GU18" s="13">
        <f>IF('Données projet'!$A$270&gt;35,GU17+GT18-HC17,IF(A18&lt;'Données projet'!$A$270,$GR$205^A18,IF(A18='Données projet'!$A$270,'Données projet'!$B$270,GU17+GT18-HC17)))</f>
        <v>38.943093594192561</v>
      </c>
      <c r="GV18" s="18">
        <f>GU18*VLOOKUP('Données projet'!$B$18,Paramètres!$A$1:$I$89,3,0)*VLOOKUP('Données projet'!$B$18,Paramètres!$A$1:$I$89,5,0)</f>
        <v>34.02068656388662</v>
      </c>
      <c r="GW18" s="14">
        <f t="shared" si="51"/>
        <v>10.399207521197393</v>
      </c>
      <c r="GX18" s="22">
        <f t="shared" si="28"/>
        <v>77.364648864854644</v>
      </c>
      <c r="GY18" s="62">
        <f t="shared" si="29"/>
        <v>245.19970876283381</v>
      </c>
      <c r="GZ18" s="62">
        <f ca="1">AVERAGE(OFFSET($GY$3,0,0,'Données projet'!$E$18+1,1))-AVERAGE(OFFSET($H$3,0,0,'Données projet'!$E$18+1,1))</f>
        <v>378.51861272969165</v>
      </c>
      <c r="HA18" s="62">
        <f t="shared" si="52"/>
        <v>387.42368617035459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135.66666666666666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2.95</v>
      </c>
      <c r="N19" s="14">
        <f>IF('Données projet'!$A$36&gt;35,N18+M19-V18,IF(A19&lt;'Données projet'!$A$36,$K$205^A19,IF(A19='Données projet'!$A$36,'Données projet'!$B$36,N18+M19-V18)))</f>
        <v>26.102470241664705</v>
      </c>
      <c r="O19" s="14">
        <f>N19*VLOOKUP('Données projet'!$B$9,Paramètres!$A$1:$I$89,3,0)*VLOOKUP('Données projet'!$B$9,Paramètres!$A$1:$I$89,5,0)</f>
        <v>15.609277204515495</v>
      </c>
      <c r="P19" s="14">
        <f t="shared" si="33"/>
        <v>5.2242638294030153</v>
      </c>
      <c r="Q19" s="22">
        <f t="shared" si="2"/>
        <v>36.28508396740807</v>
      </c>
      <c r="R19" s="62">
        <f t="shared" si="0"/>
        <v>207.20143821346588</v>
      </c>
      <c r="S19" s="62">
        <f ca="1">AVERAGE(OFFSET($R$3,0,0,'Données projet'!$E$9+1,1))-AVERAGE(OFFSET($H$3,0,0,'Données projet'!$E$9+1,1))</f>
        <v>437.94016462147999</v>
      </c>
      <c r="T19" s="62">
        <f t="shared" si="34"/>
        <v>281.88254003380348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2.84</v>
      </c>
      <c r="AI19" s="14">
        <f>IF('Données projet'!$A$62&gt;35,AI18+AH19-AQ18,IF(A19&lt;'Données projet'!$A$62,$AF$205^A19,IF(A19='Données projet'!$A$62,'Données projet'!$B$62,AI18+AH19-AQ18)))</f>
        <v>15.304013607840634</v>
      </c>
      <c r="AJ19" s="14">
        <f>AI19*VLOOKUP('Données projet'!$B$10,Paramètres!$A$1:$I$89,3,0)*VLOOKUP('Données projet'!$B$10,Paramètres!$A$1:$I$89,5,0)</f>
        <v>13.847071512374203</v>
      </c>
      <c r="AK19" s="14">
        <f t="shared" si="35"/>
        <v>4.6995463399043667</v>
      </c>
      <c r="AL19" s="22">
        <f t="shared" si="4"/>
        <v>32.302026092718499</v>
      </c>
      <c r="AM19" s="62">
        <f t="shared" si="5"/>
        <v>203.21838033877631</v>
      </c>
      <c r="AN19" s="62">
        <f ca="1">AVERAGE(OFFSET($AM$3,0,0,'Données projet'!$E$10+1,1))-AVERAGE(OFFSET($H$3,0,0,'Données projet'!$E$10+1,1))</f>
        <v>434.56763649859136</v>
      </c>
      <c r="AO19" s="62">
        <f t="shared" si="36"/>
        <v>271.90302066766264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20.8</v>
      </c>
      <c r="BD19" s="13">
        <f>IF('Données projet'!$A$88&gt;35,BD18+BC19-BL18,IF(A19&lt;'Données projet'!$A$88,$BA$205^A19,IF(A19='Données projet'!$A$88,'Données projet'!$B$88,BD18+BC19-BL18)))</f>
        <v>155.20000000000002</v>
      </c>
      <c r="BE19" s="14">
        <f>BD19*VLOOKUP('Données projet'!$B$11,Paramètres!$A$1:$I$89,3,0)*VLOOKUP('Données projet'!$B$11,Paramètres!$A$1:$I$89,5,0)</f>
        <v>92.809600000000017</v>
      </c>
      <c r="BF19" s="14">
        <f t="shared" si="37"/>
        <v>25.241615800824192</v>
      </c>
      <c r="BG19" s="22">
        <f t="shared" si="7"/>
        <v>205.60586751976882</v>
      </c>
      <c r="BH19" s="62">
        <f t="shared" si="8"/>
        <v>376.52222176582666</v>
      </c>
      <c r="BI19" s="62">
        <f ca="1">AVERAGE(OFFSET($BH$3,0,0,'Données projet'!$E$11+1,1))-AVERAGE(OFFSET($H$3,0,0,'Données projet'!$E$11+1,1))</f>
        <v>199.65420589615553</v>
      </c>
      <c r="BJ19" s="62">
        <f t="shared" si="38"/>
        <v>477.85821088970999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5.7551367683270263</v>
      </c>
      <c r="BS19" s="24">
        <f t="shared" si="9"/>
        <v>5.7551367683270263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2.95</v>
      </c>
      <c r="BY19" s="13">
        <f>IF('Données projet'!$A$114&gt;35,BY18+BX19-CG18,IF(A19&lt;'Données projet'!$A$114,$BV$205^A19,IF(A19='Données projet'!$A$114,'Données projet'!$B$114,BY18+BX19-CG18)))</f>
        <v>26.102470241664705</v>
      </c>
      <c r="BZ19" s="14">
        <f>BY19*VLOOKUP('Données projet'!$B$12,Paramètres!$A$1:$I$89,3,0)*VLOOKUP('Données projet'!$B$12,Paramètres!$A$1:$I$89,5,0)</f>
        <v>15.609277204515495</v>
      </c>
      <c r="CA19" s="14">
        <f t="shared" si="39"/>
        <v>5.2242638294030153</v>
      </c>
      <c r="CB19" s="22">
        <f t="shared" si="10"/>
        <v>36.28508396740807</v>
      </c>
      <c r="CC19" s="62">
        <f t="shared" si="11"/>
        <v>207.20143821346588</v>
      </c>
      <c r="CD19" s="62">
        <f ca="1">AVERAGE(OFFSET($CC$3,0,0,'Données projet'!$E$12+1,1))-AVERAGE(OFFSET($H$3,0,0,'Données projet'!$E$12+1,1))</f>
        <v>437.94016462147999</v>
      </c>
      <c r="CE19" s="62">
        <f t="shared" si="40"/>
        <v>281.88254003380348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2.84</v>
      </c>
      <c r="CT19" s="13">
        <f>IF('Données projet'!$A$140&gt;35,CT18+CS19-DB18,IF(A19&lt;'Données projet'!$A$140,$CQ$205^A19,IF(A19='Données projet'!$A$140,'Données projet'!$B$140,CT18+CS19-DB18)))</f>
        <v>15.304013607840634</v>
      </c>
      <c r="CU19" s="18">
        <f>CT19*VLOOKUP('Données projet'!$B$13,Paramètres!$A$1:$I$89,3,0)*VLOOKUP('Données projet'!$B$13,Paramètres!$A$1:$I$89,5,0)</f>
        <v>17.428210696608915</v>
      </c>
      <c r="CV19" s="14">
        <f t="shared" si="41"/>
        <v>5.7586812492547006</v>
      </c>
      <c r="CW19" s="22">
        <f t="shared" si="13"/>
        <v>40.383836805712463</v>
      </c>
      <c r="CX19" s="62">
        <f t="shared" si="14"/>
        <v>211.30019105177027</v>
      </c>
      <c r="CY19" s="62">
        <f ca="1">AVERAGE(OFFSET($CX$3,0,0,'Données projet'!$E$13+1,1))-AVERAGE(OFFSET($H$3,0,0,'Données projet'!$E$13+1,1))</f>
        <v>520.23742527061836</v>
      </c>
      <c r="CZ19" s="62">
        <f t="shared" si="42"/>
        <v>321.35925479331274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3.65</v>
      </c>
      <c r="DO19" s="13">
        <f>IF('Données projet'!$A$166&gt;35,DO18+DN19-DW18,IF(A19&lt;'Données projet'!$A$166,$DL$205^A19,IF(A19='Données projet'!$A$166,'Données projet'!$B$166,DO18+DN19-DW18)))</f>
        <v>30.949831440200953</v>
      </c>
      <c r="DP19" s="18">
        <f>DO19*VLOOKUP('Données projet'!$B$14,Paramètres!$A$1:$I$89,3,0)*VLOOKUP('Données projet'!$B$14,Paramètres!$A$1:$I$89,5,0)</f>
        <v>31.383129080363769</v>
      </c>
      <c r="DQ19" s="14">
        <f t="shared" si="43"/>
        <v>9.6835113353243223</v>
      </c>
      <c r="DR19" s="22">
        <f t="shared" si="16"/>
        <v>71.524398723990075</v>
      </c>
      <c r="DS19" s="62">
        <f t="shared" si="17"/>
        <v>242.44075297004787</v>
      </c>
      <c r="DT19" s="62">
        <f ca="1">AVERAGE(OFFSET($DS$3,0,0,'Données projet'!$E$14+1,1))-AVERAGE(OFFSET($H$3,0,0,'Données projet'!$E$14+1,1))</f>
        <v>547.89540791313675</v>
      </c>
      <c r="DU19" s="62">
        <f t="shared" si="44"/>
        <v>345.19555189302378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14.2</v>
      </c>
      <c r="EJ19" s="13">
        <f>IF('Données projet'!$A$192&gt;35,EJ18+EI19-ER18,IF(A19&lt;'Données projet'!$A$192,$EG$205^A19,IF(A19='Données projet'!$A$192,'Données projet'!$B$192,EJ18+EI19-ER18)))</f>
        <v>80.2</v>
      </c>
      <c r="EK19" s="18">
        <f>EJ19*VLOOKUP('Données projet'!$B$15,Paramètres!$A$1:$I$89,3,0)*VLOOKUP('Données projet'!$B$15,Paramètres!$A$1:$I$89,5,0)</f>
        <v>83.825040000000001</v>
      </c>
      <c r="EL19" s="14">
        <f t="shared" si="45"/>
        <v>23.069868948400639</v>
      </c>
      <c r="EM19" s="22">
        <f t="shared" si="19"/>
        <v>186.17529975179778</v>
      </c>
      <c r="EN19" s="62">
        <f t="shared" si="20"/>
        <v>357.09165399785559</v>
      </c>
      <c r="EO19" s="62">
        <f ca="1">AVERAGE(OFFSET($EN$3,0,0,'Données projet'!$E$15+1,1))-AVERAGE(OFFSET($H$3,0,0,'Données projet'!$E$15+1,1))</f>
        <v>418.23737352070503</v>
      </c>
      <c r="EP19" s="62">
        <f t="shared" si="46"/>
        <v>496.10742685332968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4.3703703703703702</v>
      </c>
      <c r="FE19" s="13">
        <f>IF('Données projet'!$A$218&gt;35,FE18+FD19-FM18,IF(A19&lt;'Données projet'!$A$218,$FB$205^A19,IF(A19='Données projet'!$A$218,'Données projet'!$B$218,FE18+FD19-FM18)))</f>
        <v>16.895923335078734</v>
      </c>
      <c r="FF19" s="18">
        <f>FE19*VLOOKUP('Données projet'!$B$16,Paramètres!$A$1:$I$89,3,0)*VLOOKUP('Données projet'!$B$16,Paramètres!$A$1:$I$89,5,0)</f>
        <v>10.103762154377083</v>
      </c>
      <c r="FG19" s="14">
        <f t="shared" si="47"/>
        <v>3.5572414534253478</v>
      </c>
      <c r="FH19" s="22">
        <f t="shared" si="22"/>
        <v>23.79291461692257</v>
      </c>
      <c r="FI19" s="62">
        <f t="shared" si="23"/>
        <v>194.70926886298037</v>
      </c>
      <c r="FJ19" s="62">
        <f ca="1">AVERAGE(OFFSET($FI$3,0,0,'Données projet'!$E$16+1,1))-AVERAGE(OFFSET($H$3,0,0,'Données projet'!$E$16+1,1))</f>
        <v>341.70983624543067</v>
      </c>
      <c r="FK19" s="62">
        <f t="shared" si="48"/>
        <v>250.82562837973805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4.0333333333333332</v>
      </c>
      <c r="FZ19" s="13">
        <f>IF('Données projet'!$A$244&gt;35,FZ18+FY19-GH18,IF(A19&lt;'Données projet'!$A$244,$FW$205^A19,IF(A19='Données projet'!$A$244,'Données projet'!$B$244,FZ18+FY19-GH18)))</f>
        <v>12.906808433127466</v>
      </c>
      <c r="GA19" s="18">
        <f>FZ19*VLOOKUP('Données projet'!$B$17,Paramètres!$A$1:$I$89,3,0)*VLOOKUP('Données projet'!$B$17,Paramètres!$A$1:$I$89,5,0)</f>
        <v>6.0403863467036549</v>
      </c>
      <c r="GB19" s="14">
        <f t="shared" si="49"/>
        <v>2.2578799602736463</v>
      </c>
      <c r="GC19" s="22">
        <f t="shared" si="25"/>
        <v>14.452813817985463</v>
      </c>
      <c r="GD19" s="62">
        <f t="shared" si="26"/>
        <v>185.36916806404327</v>
      </c>
      <c r="GE19" s="62">
        <f ca="1">AVERAGE(OFFSET($GD$3,0,0,'Données projet'!$E$17+1,1))-AVERAGE(OFFSET($H$3,0,0,'Données projet'!$E$17+1,1))</f>
        <v>368.69628434154333</v>
      </c>
      <c r="GF19" s="62">
        <f t="shared" si="50"/>
        <v>202.28197295839524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6.6</v>
      </c>
      <c r="GU19" s="13">
        <f>IF('Données projet'!$A$270&gt;35,GU18+GT19-HC18,IF(A19&lt;'Données projet'!$A$270,$GR$205^A19,IF(A19='Données projet'!$A$270,'Données projet'!$B$270,GU18+GT19-HC18)))</f>
        <v>49.711760658095955</v>
      </c>
      <c r="GV19" s="18">
        <f>GU19*VLOOKUP('Données projet'!$B$18,Paramètres!$A$1:$I$89,3,0)*VLOOKUP('Données projet'!$B$18,Paramètres!$A$1:$I$89,5,0)</f>
        <v>43.428194110912635</v>
      </c>
      <c r="GW19" s="14">
        <f t="shared" si="51"/>
        <v>12.902896129065022</v>
      </c>
      <c r="GX19" s="22">
        <f t="shared" si="28"/>
        <v>98.109982167961064</v>
      </c>
      <c r="GY19" s="62">
        <f t="shared" si="29"/>
        <v>269.02633641401889</v>
      </c>
      <c r="GZ19" s="62">
        <f ca="1">AVERAGE(OFFSET($GY$3,0,0,'Données projet'!$E$18+1,1))-AVERAGE(OFFSET($H$3,0,0,'Données projet'!$E$18+1,1))</f>
        <v>378.51861272969165</v>
      </c>
      <c r="HA19" s="62">
        <f t="shared" si="52"/>
        <v>387.42368617035459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135.66666666666666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2.95</v>
      </c>
      <c r="N20" s="14">
        <f>IF('Données projet'!$A$36&gt;35,N19+M20-V19,IF(A20&lt;'Données projet'!$A$36,$K$205^A20,IF(A20='Données projet'!$A$36,'Données projet'!$B$36,N19+M20-V19)))</f>
        <v>32.005470052114035</v>
      </c>
      <c r="O20" s="14">
        <f>N20*VLOOKUP('Données projet'!$B$9,Paramètres!$A$1:$I$89,3,0)*VLOOKUP('Données projet'!$B$9,Paramètres!$A$1:$I$89,5,0)</f>
        <v>19.139271091164193</v>
      </c>
      <c r="P20" s="14">
        <f t="shared" si="33"/>
        <v>6.2554901258679063</v>
      </c>
      <c r="Q20" s="22">
        <f t="shared" si="2"/>
        <v>44.229209119664233</v>
      </c>
      <c r="R20" s="62">
        <f t="shared" si="0"/>
        <v>218.19460696867966</v>
      </c>
      <c r="S20" s="62">
        <f ca="1">AVERAGE(OFFSET($R$3,0,0,'Données projet'!$E$9+1,1))-AVERAGE(OFFSET($H$3,0,0,'Données projet'!$E$9+1,1))</f>
        <v>437.94016462147999</v>
      </c>
      <c r="T20" s="62">
        <f t="shared" si="34"/>
        <v>281.88254003380348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2.84</v>
      </c>
      <c r="AI20" s="14">
        <f>IF('Données projet'!$A$62&gt;35,AI19+AH20-AQ19,IF(A20&lt;'Données projet'!$A$62,$AF$205^A20,IF(A20='Données projet'!$A$62,'Données projet'!$B$62,AI19+AH20-AQ19)))</f>
        <v>18.149124386663679</v>
      </c>
      <c r="AJ20" s="14">
        <f>AI20*VLOOKUP('Données projet'!$B$10,Paramètres!$A$1:$I$89,3,0)*VLOOKUP('Données projet'!$B$10,Paramètres!$A$1:$I$89,5,0)</f>
        <v>16.421327745053297</v>
      </c>
      <c r="AK20" s="14">
        <f t="shared" si="35"/>
        <v>5.4636995753466904</v>
      </c>
      <c r="AL20" s="22">
        <f t="shared" si="4"/>
        <v>38.11642258302998</v>
      </c>
      <c r="AM20" s="62">
        <f t="shared" si="5"/>
        <v>212.08182043204542</v>
      </c>
      <c r="AN20" s="62">
        <f ca="1">AVERAGE(OFFSET($AM$3,0,0,'Données projet'!$E$10+1,1))-AVERAGE(OFFSET($H$3,0,0,'Données projet'!$E$10+1,1))</f>
        <v>434.56763649859136</v>
      </c>
      <c r="AO20" s="62">
        <f t="shared" si="36"/>
        <v>271.90302066766264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>
        <f>VLOOKUP(A20,'Données projet'!$A$87:$I$107,2,0)</f>
        <v>176</v>
      </c>
      <c r="BB20" s="13">
        <f>VLOOKUP(A20,'Données projet'!$A$87:$I$107,9,0)</f>
        <v>20.8</v>
      </c>
      <c r="BC20" s="13">
        <f t="array" ref="BC20">INDEX(BB:BB,MIN(IF(ISNUMBER(BB20:BB216),ROW(BB20:BB216),"")))</f>
        <v>20.8</v>
      </c>
      <c r="BD20" s="13">
        <f>IF('Données projet'!$A$88&gt;35,BD19+BC20-BL19,IF(A20&lt;'Données projet'!$A$88,$BA$205^A20,IF(A20='Données projet'!$A$88,'Données projet'!$B$88,BD19+BC20-BL19)))</f>
        <v>176.00000000000003</v>
      </c>
      <c r="BE20" s="14">
        <f>BD20*VLOOKUP('Données projet'!$B$11,Paramètres!$A$1:$I$89,3,0)*VLOOKUP('Données projet'!$B$11,Paramètres!$A$1:$I$89,5,0)</f>
        <v>105.24800000000003</v>
      </c>
      <c r="BF20" s="14">
        <f t="shared" si="37"/>
        <v>28.208515027560551</v>
      </c>
      <c r="BG20" s="22">
        <f t="shared" si="7"/>
        <v>232.43676367300134</v>
      </c>
      <c r="BH20" s="62">
        <f t="shared" si="8"/>
        <v>406.40216152201674</v>
      </c>
      <c r="BI20" s="62">
        <f ca="1">AVERAGE(OFFSET($BH$3,0,0,'Données projet'!$E$11+1,1))-AVERAGE(OFFSET($H$3,0,0,'Données projet'!$E$11+1,1))</f>
        <v>199.65420589615553</v>
      </c>
      <c r="BJ20" s="62">
        <f t="shared" si="38"/>
        <v>477.85821088970999</v>
      </c>
      <c r="BK20" s="16">
        <f>IF(ISNA(VLOOKUP(A20,'Données projet'!$A$87:$I$107,3,0)),0,VLOOKUP(A20,'Données projet'!$A$87:$I$107,3,0))</f>
        <v>2</v>
      </c>
      <c r="BL20" s="16">
        <f>IF(ISNA(VLOOKUP(A20,'Données projet'!$A$87:$I$107,4,0)),0,VLOOKUP(A20,'Données projet'!$A$87:$I$107,4,0))</f>
        <v>43</v>
      </c>
      <c r="BM20" s="17">
        <f>IF(ISNA(VLOOKUP(A20,'Données projet'!$A$87:$I$107,5,0)),0%,VLOOKUP(A20,'Données projet'!$A$87:$I$107,5,0)*VLOOKUP('Données projet'!$B$11,Paramètres!$A$1:$I$89,7,0))</f>
        <v>9.0000000000000011E-2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0.8</v>
      </c>
      <c r="BP20" s="23">
        <f>EXP(-LN(2)/35)*BP19+(1-EXP(-LN(2)/35))/(LN(2)/35)*BL20*BM20*VLOOKUP('Données projet'!$B$11,Paramètres!$A$1:$I$89,3,0)*0.475*44/12</f>
        <v>3.0700150566455107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27.360873274416509</v>
      </c>
      <c r="BS20" s="24">
        <f t="shared" si="9"/>
        <v>30.430888331062018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2.95</v>
      </c>
      <c r="BY20" s="13">
        <f>IF('Données projet'!$A$114&gt;35,BY19+BX20-CG19,IF(A20&lt;'Données projet'!$A$114,$BV$205^A20,IF(A20='Données projet'!$A$114,'Données projet'!$B$114,BY19+BX20-CG19)))</f>
        <v>32.005470052114035</v>
      </c>
      <c r="BZ20" s="14">
        <f>BY20*VLOOKUP('Données projet'!$B$12,Paramètres!$A$1:$I$89,3,0)*VLOOKUP('Données projet'!$B$12,Paramètres!$A$1:$I$89,5,0)</f>
        <v>19.139271091164193</v>
      </c>
      <c r="CA20" s="14">
        <f t="shared" si="39"/>
        <v>6.2554901258679063</v>
      </c>
      <c r="CB20" s="22">
        <f t="shared" si="10"/>
        <v>44.229209119664233</v>
      </c>
      <c r="CC20" s="62">
        <f t="shared" si="11"/>
        <v>218.19460696867966</v>
      </c>
      <c r="CD20" s="62">
        <f ca="1">AVERAGE(OFFSET($CC$3,0,0,'Données projet'!$E$12+1,1))-AVERAGE(OFFSET($H$3,0,0,'Données projet'!$E$12+1,1))</f>
        <v>437.94016462147999</v>
      </c>
      <c r="CE20" s="62">
        <f t="shared" si="40"/>
        <v>281.88254003380348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2.84</v>
      </c>
      <c r="CT20" s="13">
        <f>IF('Données projet'!$A$140&gt;35,CT19+CS20-DB19,IF(A20&lt;'Données projet'!$A$140,$CQ$205^A20,IF(A20='Données projet'!$A$140,'Données projet'!$B$140,CT19+CS20-DB19)))</f>
        <v>18.149124386663679</v>
      </c>
      <c r="CU20" s="18">
        <f>CT20*VLOOKUP('Données projet'!$B$13,Paramètres!$A$1:$I$89,3,0)*VLOOKUP('Données projet'!$B$13,Paramètres!$A$1:$I$89,5,0)</f>
        <v>20.668222851532597</v>
      </c>
      <c r="CV20" s="14">
        <f t="shared" si="41"/>
        <v>6.6950513986739653</v>
      </c>
      <c r="CW20" s="22">
        <f t="shared" si="13"/>
        <v>47.657702652443085</v>
      </c>
      <c r="CX20" s="62">
        <f t="shared" si="14"/>
        <v>221.62310050145851</v>
      </c>
      <c r="CY20" s="62">
        <f ca="1">AVERAGE(OFFSET($CX$3,0,0,'Données projet'!$E$13+1,1))-AVERAGE(OFFSET($H$3,0,0,'Données projet'!$E$13+1,1))</f>
        <v>520.23742527061836</v>
      </c>
      <c r="CZ20" s="62">
        <f t="shared" si="42"/>
        <v>321.35925479331274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3.65</v>
      </c>
      <c r="DO20" s="13">
        <f>IF('Données projet'!$A$166&gt;35,DO19+DN20-DW19,IF(A20&lt;'Données projet'!$A$166,$DL$205^A20,IF(A20='Données projet'!$A$166,'Données projet'!$B$166,DO19+DN20-DW19)))</f>
        <v>38.355215845858055</v>
      </c>
      <c r="DP20" s="18">
        <f>DO20*VLOOKUP('Données projet'!$B$14,Paramètres!$A$1:$I$89,3,0)*VLOOKUP('Données projet'!$B$14,Paramètres!$A$1:$I$89,5,0)</f>
        <v>38.892188867700071</v>
      </c>
      <c r="DQ20" s="14">
        <f t="shared" si="43"/>
        <v>11.704543208803392</v>
      </c>
      <c r="DR20" s="22">
        <f t="shared" si="16"/>
        <v>88.122641699910204</v>
      </c>
      <c r="DS20" s="62">
        <f t="shared" si="17"/>
        <v>262.08803954892562</v>
      </c>
      <c r="DT20" s="62">
        <f ca="1">AVERAGE(OFFSET($DS$3,0,0,'Données projet'!$E$14+1,1))-AVERAGE(OFFSET($H$3,0,0,'Données projet'!$E$14+1,1))</f>
        <v>547.89540791313675</v>
      </c>
      <c r="DU20" s="62">
        <f t="shared" si="44"/>
        <v>345.19555189302378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14.2</v>
      </c>
      <c r="EJ20" s="13">
        <f>IF('Données projet'!$A$192&gt;35,EJ19+EI20-ER19,IF(A20&lt;'Données projet'!$A$192,$EG$205^A20,IF(A20='Données projet'!$A$192,'Données projet'!$B$192,EJ19+EI20-ER19)))</f>
        <v>94.4</v>
      </c>
      <c r="EK20" s="18">
        <f>EJ20*VLOOKUP('Données projet'!$B$15,Paramètres!$A$1:$I$89,3,0)*VLOOKUP('Données projet'!$B$15,Paramètres!$A$1:$I$89,5,0)</f>
        <v>98.666880000000006</v>
      </c>
      <c r="EL20" s="14">
        <f t="shared" si="45"/>
        <v>26.644152444270922</v>
      </c>
      <c r="EM20" s="22">
        <f t="shared" si="19"/>
        <v>218.25004817377183</v>
      </c>
      <c r="EN20" s="62">
        <f t="shared" si="20"/>
        <v>392.21544602278726</v>
      </c>
      <c r="EO20" s="62">
        <f ca="1">AVERAGE(OFFSET($EN$3,0,0,'Données projet'!$E$15+1,1))-AVERAGE(OFFSET($H$3,0,0,'Données projet'!$E$15+1,1))</f>
        <v>418.23737352070503</v>
      </c>
      <c r="EP20" s="62">
        <f t="shared" si="46"/>
        <v>496.10742685332968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4.3703703703703702</v>
      </c>
      <c r="FE20" s="13">
        <f>IF('Données projet'!$A$218&gt;35,FE19+FD20-FM19,IF(A20&lt;'Données projet'!$A$218,$FB$205^A20,IF(A20='Données projet'!$A$218,'Données projet'!$B$218,FE19+FD20-FM19)))</f>
        <v>20.161289272799031</v>
      </c>
      <c r="FF20" s="18">
        <f>FE20*VLOOKUP('Données projet'!$B$16,Paramètres!$A$1:$I$89,3,0)*VLOOKUP('Données projet'!$B$16,Paramètres!$A$1:$I$89,5,0)</f>
        <v>12.056450985133822</v>
      </c>
      <c r="FG20" s="14">
        <f t="shared" si="47"/>
        <v>4.1583170764789594</v>
      </c>
      <c r="FH20" s="22">
        <f t="shared" si="22"/>
        <v>28.240721040642256</v>
      </c>
      <c r="FI20" s="62">
        <f t="shared" si="23"/>
        <v>202.20611888965769</v>
      </c>
      <c r="FJ20" s="62">
        <f ca="1">AVERAGE(OFFSET($FI$3,0,0,'Données projet'!$E$16+1,1))-AVERAGE(OFFSET($H$3,0,0,'Données projet'!$E$16+1,1))</f>
        <v>341.70983624543067</v>
      </c>
      <c r="FK20" s="62">
        <f t="shared" si="48"/>
        <v>250.82562837973805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4.0333333333333332</v>
      </c>
      <c r="FZ20" s="13">
        <f>IF('Données projet'!$A$244&gt;35,FZ19+FY20-GH19,IF(A20&lt;'Données projet'!$A$244,$FW$205^A20,IF(A20='Données projet'!$A$244,'Données projet'!$B$244,FZ19+FY20-GH19)))</f>
        <v>15.144154902677286</v>
      </c>
      <c r="GA20" s="18">
        <f>FZ20*VLOOKUP('Données projet'!$B$17,Paramètres!$A$1:$I$89,3,0)*VLOOKUP('Données projet'!$B$17,Paramètres!$A$1:$I$89,5,0)</f>
        <v>7.087464494452969</v>
      </c>
      <c r="GB20" s="14">
        <f t="shared" si="49"/>
        <v>2.6004339108238987</v>
      </c>
      <c r="GC20" s="22">
        <f t="shared" si="25"/>
        <v>16.873089722523879</v>
      </c>
      <c r="GD20" s="62">
        <f t="shared" si="26"/>
        <v>190.8384875715393</v>
      </c>
      <c r="GE20" s="62">
        <f ca="1">AVERAGE(OFFSET($GD$3,0,0,'Données projet'!$E$17+1,1))-AVERAGE(OFFSET($H$3,0,0,'Données projet'!$E$17+1,1))</f>
        <v>368.69628434154333</v>
      </c>
      <c r="GF20" s="62">
        <f t="shared" si="50"/>
        <v>202.28197295839524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6.6</v>
      </c>
      <c r="GU20" s="13">
        <f>IF('Données projet'!$A$270&gt;35,GU19+GT20-HC19,IF(A20&lt;'Données projet'!$A$270,$GR$205^A20,IF(A20='Données projet'!$A$270,'Données projet'!$B$270,GU19+GT20-HC19)))</f>
        <v>63.458213501978861</v>
      </c>
      <c r="GV20" s="18">
        <f>GU20*VLOOKUP('Données projet'!$B$18,Paramètres!$A$1:$I$89,3,0)*VLOOKUP('Données projet'!$B$18,Paramètres!$A$1:$I$89,5,0)</f>
        <v>55.437095315328747</v>
      </c>
      <c r="GW20" s="14">
        <f t="shared" si="51"/>
        <v>16.009366884744278</v>
      </c>
      <c r="GX20" s="22">
        <f t="shared" si="28"/>
        <v>124.4359216651272</v>
      </c>
      <c r="GY20" s="62">
        <f t="shared" si="29"/>
        <v>298.40131951414264</v>
      </c>
      <c r="GZ20" s="62">
        <f ca="1">AVERAGE(OFFSET($GY$3,0,0,'Données projet'!$E$18+1,1))-AVERAGE(OFFSET($H$3,0,0,'Données projet'!$E$18+1,1))</f>
        <v>378.51861272969165</v>
      </c>
      <c r="HA20" s="62">
        <f t="shared" si="52"/>
        <v>387.42368617035459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135.66666666666666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2.95</v>
      </c>
      <c r="N21" s="14">
        <f>IF('Données projet'!$A$36&gt;35,N20+M21-V20,IF(A21&lt;'Données projet'!$A$36,$K$205^A21,IF(A21='Données projet'!$A$36,'Données projet'!$B$36,N20+M21-V20)))</f>
        <v>39.243416572187222</v>
      </c>
      <c r="O21" s="14">
        <f>N21*VLOOKUP('Données projet'!$B$9,Paramètres!$A$1:$I$89,3,0)*VLOOKUP('Données projet'!$B$9,Paramètres!$A$1:$I$89,5,0)</f>
        <v>23.467563110167958</v>
      </c>
      <c r="P21" s="14">
        <f t="shared" si="33"/>
        <v>7.4902719297203753</v>
      </c>
      <c r="Q21" s="22">
        <f t="shared" si="2"/>
        <v>53.918229361138849</v>
      </c>
      <c r="R21" s="62">
        <f t="shared" si="0"/>
        <v>230.90097954631696</v>
      </c>
      <c r="S21" s="62">
        <f ca="1">AVERAGE(OFFSET($R$3,0,0,'Données projet'!$E$9+1,1))-AVERAGE(OFFSET($H$3,0,0,'Données projet'!$E$9+1,1))</f>
        <v>437.94016462147999</v>
      </c>
      <c r="T21" s="62">
        <f t="shared" si="34"/>
        <v>281.88254003380348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2.84</v>
      </c>
      <c r="AI21" s="14">
        <f>IF('Données projet'!$A$62&gt;35,AI20+AH21-AQ20,IF(A21&lt;'Données projet'!$A$62,$AF$205^A21,IF(A21='Données projet'!$A$62,'Données projet'!$B$62,AI20+AH21-AQ20)))</f>
        <v>21.523158855127722</v>
      </c>
      <c r="AJ21" s="14">
        <f>AI21*VLOOKUP('Données projet'!$B$10,Paramètres!$A$1:$I$89,3,0)*VLOOKUP('Données projet'!$B$10,Paramètres!$A$1:$I$89,5,0)</f>
        <v>19.474154132119562</v>
      </c>
      <c r="AK21" s="14">
        <f t="shared" si="35"/>
        <v>6.3521052651756742</v>
      </c>
      <c r="AL21" s="22">
        <f t="shared" si="4"/>
        <v>44.980735116955863</v>
      </c>
      <c r="AM21" s="62">
        <f t="shared" si="5"/>
        <v>221.96348530213396</v>
      </c>
      <c r="AN21" s="62">
        <f ca="1">AVERAGE(OFFSET($AM$3,0,0,'Données projet'!$E$10+1,1))-AVERAGE(OFFSET($H$3,0,0,'Données projet'!$E$10+1,1))</f>
        <v>434.56763649859136</v>
      </c>
      <c r="AO21" s="62">
        <f t="shared" si="36"/>
        <v>271.90302066766264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19.8</v>
      </c>
      <c r="BD21" s="13">
        <f>IF('Données projet'!$A$88&gt;35,BD20+BC21-BL20,IF(A21&lt;'Données projet'!$A$88,$BA$205^A21,IF(A21='Données projet'!$A$88,'Données projet'!$B$88,BD20+BC21-BL20)))</f>
        <v>152.80000000000004</v>
      </c>
      <c r="BE21" s="14">
        <f>BD21*VLOOKUP('Données projet'!$B$11,Paramètres!$A$1:$I$89,3,0)*VLOOKUP('Données projet'!$B$11,Paramètres!$A$1:$I$89,5,0)</f>
        <v>91.374400000000037</v>
      </c>
      <c r="BF21" s="14">
        <f t="shared" si="37"/>
        <v>24.89640423383166</v>
      </c>
      <c r="BG21" s="22">
        <f t="shared" si="7"/>
        <v>202.50498404059022</v>
      </c>
      <c r="BH21" s="62">
        <f t="shared" si="8"/>
        <v>379.48773422576835</v>
      </c>
      <c r="BI21" s="62">
        <f ca="1">AVERAGE(OFFSET($BH$3,0,0,'Données projet'!$E$11+1,1))-AVERAGE(OFFSET($H$3,0,0,'Données projet'!$E$11+1,1))</f>
        <v>199.65420589615553</v>
      </c>
      <c r="BJ21" s="62">
        <f t="shared" si="38"/>
        <v>477.85821088970999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3.0098139339089802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19.347059031525692</v>
      </c>
      <c r="BS21" s="24">
        <f t="shared" si="9"/>
        <v>22.356872965434672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2.95</v>
      </c>
      <c r="BY21" s="13">
        <f>IF('Données projet'!$A$114&gt;35,BY20+BX21-CG20,IF(A21&lt;'Données projet'!$A$114,$BV$205^A21,IF(A21='Données projet'!$A$114,'Données projet'!$B$114,BY20+BX21-CG20)))</f>
        <v>39.243416572187222</v>
      </c>
      <c r="BZ21" s="14">
        <f>BY21*VLOOKUP('Données projet'!$B$12,Paramètres!$A$1:$I$89,3,0)*VLOOKUP('Données projet'!$B$12,Paramètres!$A$1:$I$89,5,0)</f>
        <v>23.467563110167958</v>
      </c>
      <c r="CA21" s="14">
        <f t="shared" si="39"/>
        <v>7.4902719297203753</v>
      </c>
      <c r="CB21" s="22">
        <f t="shared" si="10"/>
        <v>53.918229361138849</v>
      </c>
      <c r="CC21" s="62">
        <f t="shared" si="11"/>
        <v>230.90097954631696</v>
      </c>
      <c r="CD21" s="62">
        <f ca="1">AVERAGE(OFFSET($CC$3,0,0,'Données projet'!$E$12+1,1))-AVERAGE(OFFSET($H$3,0,0,'Données projet'!$E$12+1,1))</f>
        <v>437.94016462147999</v>
      </c>
      <c r="CE21" s="62">
        <f t="shared" si="40"/>
        <v>281.88254003380348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2.84</v>
      </c>
      <c r="CT21" s="13">
        <f>IF('Données projet'!$A$140&gt;35,CT20+CS21-DB20,IF(A21&lt;'Données projet'!$A$140,$CQ$205^A21,IF(A21='Données projet'!$A$140,'Données projet'!$B$140,CT20+CS21-DB20)))</f>
        <v>21.523158855127722</v>
      </c>
      <c r="CU21" s="18">
        <f>CT21*VLOOKUP('Données projet'!$B$13,Paramètres!$A$1:$I$89,3,0)*VLOOKUP('Données projet'!$B$13,Paramètres!$A$1:$I$89,5,0)</f>
        <v>24.510573304219449</v>
      </c>
      <c r="CV21" s="14">
        <f t="shared" si="41"/>
        <v>7.7836767292316065</v>
      </c>
      <c r="CW21" s="22">
        <f t="shared" si="13"/>
        <v>56.245818808260594</v>
      </c>
      <c r="CX21" s="62">
        <f t="shared" si="14"/>
        <v>233.2285689934387</v>
      </c>
      <c r="CY21" s="62">
        <f ca="1">AVERAGE(OFFSET($CX$3,0,0,'Données projet'!$E$13+1,1))-AVERAGE(OFFSET($H$3,0,0,'Données projet'!$E$13+1,1))</f>
        <v>520.23742527061836</v>
      </c>
      <c r="CZ21" s="62">
        <f t="shared" si="42"/>
        <v>321.35925479331274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3.65</v>
      </c>
      <c r="DO21" s="13">
        <f>IF('Données projet'!$A$166&gt;35,DO20+DN21-DW20,IF(A21&lt;'Données projet'!$A$166,$DL$205^A21,IF(A21='Données projet'!$A$166,'Données projet'!$B$166,DO20+DN21-DW20)))</f>
        <v>47.532490941824946</v>
      </c>
      <c r="DP21" s="18">
        <f>DO21*VLOOKUP('Données projet'!$B$14,Paramètres!$A$1:$I$89,3,0)*VLOOKUP('Données projet'!$B$14,Paramètres!$A$1:$I$89,5,0)</f>
        <v>48.197945815010499</v>
      </c>
      <c r="DQ21" s="14">
        <f t="shared" si="43"/>
        <v>14.147381769152156</v>
      </c>
      <c r="DR21" s="22">
        <f t="shared" si="16"/>
        <v>108.58477887574996</v>
      </c>
      <c r="DS21" s="62">
        <f t="shared" si="17"/>
        <v>285.56752906092805</v>
      </c>
      <c r="DT21" s="62">
        <f ca="1">AVERAGE(OFFSET($DS$3,0,0,'Données projet'!$E$14+1,1))-AVERAGE(OFFSET($H$3,0,0,'Données projet'!$E$14+1,1))</f>
        <v>547.89540791313675</v>
      </c>
      <c r="DU21" s="62">
        <f t="shared" si="44"/>
        <v>345.19555189302378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14.2</v>
      </c>
      <c r="EJ21" s="13">
        <f>IF('Données projet'!$A$192&gt;35,EJ20+EI21-ER20,IF(A21&lt;'Données projet'!$A$192,$EG$205^A21,IF(A21='Données projet'!$A$192,'Données projet'!$B$192,EJ20+EI21-ER20)))</f>
        <v>108.60000000000001</v>
      </c>
      <c r="EK21" s="18">
        <f>EJ21*VLOOKUP('Données projet'!$B$15,Paramètres!$A$1:$I$89,3,0)*VLOOKUP('Données projet'!$B$15,Paramètres!$A$1:$I$89,5,0)</f>
        <v>113.50872000000003</v>
      </c>
      <c r="EL21" s="14">
        <f t="shared" si="45"/>
        <v>30.15614960847255</v>
      </c>
      <c r="EM21" s="22">
        <f t="shared" si="19"/>
        <v>250.2163145680897</v>
      </c>
      <c r="EN21" s="62">
        <f t="shared" si="20"/>
        <v>427.19906475326781</v>
      </c>
      <c r="EO21" s="62">
        <f ca="1">AVERAGE(OFFSET($EN$3,0,0,'Données projet'!$E$15+1,1))-AVERAGE(OFFSET($H$3,0,0,'Données projet'!$E$15+1,1))</f>
        <v>418.23737352070503</v>
      </c>
      <c r="EP21" s="62">
        <f t="shared" si="46"/>
        <v>496.10742685332968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4.3703703703703702</v>
      </c>
      <c r="FE21" s="13">
        <f>IF('Données projet'!$A$218&gt;35,FE20+FD21-FM20,IF(A21&lt;'Données projet'!$A$218,$FB$205^A21,IF(A21='Données projet'!$A$218,'Données projet'!$B$218,FE20+FD21-FM20)))</f>
        <v>24.057731387639919</v>
      </c>
      <c r="FF21" s="18">
        <f>FE21*VLOOKUP('Données projet'!$B$16,Paramètres!$A$1:$I$89,3,0)*VLOOKUP('Données projet'!$B$16,Paramètres!$A$1:$I$89,5,0)</f>
        <v>14.386523369808673</v>
      </c>
      <c r="FG21" s="14">
        <f t="shared" si="47"/>
        <v>4.8609578896833261</v>
      </c>
      <c r="FH21" s="22">
        <f t="shared" si="22"/>
        <v>33.522696526948565</v>
      </c>
      <c r="FI21" s="62">
        <f t="shared" si="23"/>
        <v>210.50544671212668</v>
      </c>
      <c r="FJ21" s="62">
        <f ca="1">AVERAGE(OFFSET($FI$3,0,0,'Données projet'!$E$16+1,1))-AVERAGE(OFFSET($H$3,0,0,'Données projet'!$E$16+1,1))</f>
        <v>341.70983624543067</v>
      </c>
      <c r="FK21" s="62">
        <f t="shared" si="48"/>
        <v>250.82562837973805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4.0333333333333332</v>
      </c>
      <c r="FZ21" s="13">
        <f>IF('Données projet'!$A$244&gt;35,FZ20+FY21-GH20,IF(A21&lt;'Données projet'!$A$244,$FW$205^A21,IF(A21='Données projet'!$A$244,'Données projet'!$B$244,FZ20+FY21-GH20)))</f>
        <v>17.769336928223975</v>
      </c>
      <c r="GA21" s="18">
        <f>FZ21*VLOOKUP('Données projet'!$B$17,Paramètres!$A$1:$I$89,3,0)*VLOOKUP('Données projet'!$B$17,Paramètres!$A$1:$I$89,5,0)</f>
        <v>8.3160496824088206</v>
      </c>
      <c r="GB21" s="14">
        <f t="shared" si="49"/>
        <v>2.9949583873109544</v>
      </c>
      <c r="GC21" s="22">
        <f t="shared" si="25"/>
        <v>19.700005721428607</v>
      </c>
      <c r="GD21" s="62">
        <f t="shared" si="26"/>
        <v>196.6827559066067</v>
      </c>
      <c r="GE21" s="62">
        <f ca="1">AVERAGE(OFFSET($GD$3,0,0,'Données projet'!$E$17+1,1))-AVERAGE(OFFSET($H$3,0,0,'Données projet'!$E$17+1,1))</f>
        <v>368.69628434154333</v>
      </c>
      <c r="GF21" s="62">
        <f t="shared" si="50"/>
        <v>202.28197295839524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6.6</v>
      </c>
      <c r="GU21" s="13">
        <f>IF('Données projet'!$A$270&gt;35,GU20+GT21-HC20,IF(A21&lt;'Données projet'!$A$270,$GR$205^A21,IF(A21='Données projet'!$A$270,'Données projet'!$B$270,GU20+GT21-HC20)))</f>
        <v>81.005878841406769</v>
      </c>
      <c r="GV21" s="18">
        <f>GU21*VLOOKUP('Données projet'!$B$18,Paramètres!$A$1:$I$89,3,0)*VLOOKUP('Données projet'!$B$18,Paramètres!$A$1:$I$89,5,0)</f>
        <v>70.766735755852963</v>
      </c>
      <c r="GW21" s="14">
        <f t="shared" si="51"/>
        <v>19.863744192515547</v>
      </c>
      <c r="GX21" s="22">
        <f t="shared" si="28"/>
        <v>157.84808591007513</v>
      </c>
      <c r="GY21" s="62">
        <f t="shared" si="29"/>
        <v>334.83083609525323</v>
      </c>
      <c r="GZ21" s="62">
        <f ca="1">AVERAGE(OFFSET($GY$3,0,0,'Données projet'!$E$18+1,1))-AVERAGE(OFFSET($H$3,0,0,'Données projet'!$E$18+1,1))</f>
        <v>378.51861272969165</v>
      </c>
      <c r="HA21" s="62">
        <f t="shared" si="52"/>
        <v>387.42368617035459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135.66666666666666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2.95</v>
      </c>
      <c r="N22" s="14">
        <f>IF('Données projet'!$A$36&gt;35,N21+M22-V21,IF(A22&lt;'Données projet'!$A$36,$K$205^A22,IF(A22='Données projet'!$A$36,'Données projet'!$B$36,N21+M22-V21)))</f>
        <v>48.118204224171201</v>
      </c>
      <c r="O22" s="14">
        <f>N22*VLOOKUP('Données projet'!$B$9,Paramètres!$A$1:$I$89,3,0)*VLOOKUP('Données projet'!$B$9,Paramètres!$A$1:$I$89,5,0)</f>
        <v>28.77468612605438</v>
      </c>
      <c r="P22" s="14">
        <f t="shared" si="33"/>
        <v>8.9687894077481118</v>
      </c>
      <c r="Q22" s="22">
        <f t="shared" si="2"/>
        <v>65.736553221372674</v>
      </c>
      <c r="R22" s="62">
        <f t="shared" si="0"/>
        <v>245.70551424854625</v>
      </c>
      <c r="S22" s="62">
        <f ca="1">AVERAGE(OFFSET($R$3,0,0,'Données projet'!$E$9+1,1))-AVERAGE(OFFSET($H$3,0,0,'Données projet'!$E$9+1,1))</f>
        <v>437.94016462147999</v>
      </c>
      <c r="T22" s="62">
        <f t="shared" si="34"/>
        <v>281.88254003380348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2.84</v>
      </c>
      <c r="AI22" s="14">
        <f>IF('Données projet'!$A$62&gt;35,AI21+AH22-AQ21,IF(A22&lt;'Données projet'!$A$62,$AF$205^A22,IF(A22='Données projet'!$A$62,'Données projet'!$B$62,AI21+AH22-AQ21)))</f>
        <v>25.524447198315809</v>
      </c>
      <c r="AJ22" s="14">
        <f>AI22*VLOOKUP('Données projet'!$B$10,Paramètres!$A$1:$I$89,3,0)*VLOOKUP('Données projet'!$B$10,Paramètres!$A$1:$I$89,5,0)</f>
        <v>23.094519825036141</v>
      </c>
      <c r="AK22" s="14">
        <f t="shared" si="35"/>
        <v>7.3849670435644734</v>
      </c>
      <c r="AL22" s="22">
        <f t="shared" si="4"/>
        <v>53.085106296146058</v>
      </c>
      <c r="AM22" s="62">
        <f t="shared" si="5"/>
        <v>233.05406732331963</v>
      </c>
      <c r="AN22" s="62">
        <f ca="1">AVERAGE(OFFSET($AM$3,0,0,'Données projet'!$E$10+1,1))-AVERAGE(OFFSET($H$3,0,0,'Données projet'!$E$10+1,1))</f>
        <v>434.56763649859136</v>
      </c>
      <c r="AO22" s="62">
        <f t="shared" si="36"/>
        <v>271.90302066766264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19.8</v>
      </c>
      <c r="BD22" s="13">
        <f>IF('Données projet'!$A$88&gt;35,BD21+BC22-BL21,IF(A22&lt;'Données projet'!$A$88,$BA$205^A22,IF(A22='Données projet'!$A$88,'Données projet'!$B$88,BD21+BC22-BL21)))</f>
        <v>172.60000000000005</v>
      </c>
      <c r="BE22" s="14">
        <f>BD22*VLOOKUP('Données projet'!$B$11,Paramètres!$A$1:$I$89,3,0)*VLOOKUP('Données projet'!$B$11,Paramètres!$A$1:$I$89,5,0)</f>
        <v>103.21480000000004</v>
      </c>
      <c r="BF22" s="14">
        <f t="shared" si="37"/>
        <v>27.726463199430338</v>
      </c>
      <c r="BG22" s="22">
        <f t="shared" si="7"/>
        <v>228.05603340567458</v>
      </c>
      <c r="BH22" s="62">
        <f t="shared" si="8"/>
        <v>408.02499443284819</v>
      </c>
      <c r="BI22" s="62">
        <f ca="1">AVERAGE(OFFSET($BH$3,0,0,'Données projet'!$E$11+1,1))-AVERAGE(OFFSET($H$3,0,0,'Données projet'!$E$11+1,1))</f>
        <v>199.65420589615553</v>
      </c>
      <c r="BJ22" s="62">
        <f t="shared" si="38"/>
        <v>477.85821088970999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2.9507933184702542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13.680436637208256</v>
      </c>
      <c r="BS22" s="24">
        <f t="shared" si="9"/>
        <v>16.63122995567851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2.95</v>
      </c>
      <c r="BY22" s="13">
        <f>IF('Données projet'!$A$114&gt;35,BY21+BX22-CG21,IF(A22&lt;'Données projet'!$A$114,$BV$205^A22,IF(A22='Données projet'!$A$114,'Données projet'!$B$114,BY21+BX22-CG21)))</f>
        <v>48.118204224171201</v>
      </c>
      <c r="BZ22" s="14">
        <f>BY22*VLOOKUP('Données projet'!$B$12,Paramètres!$A$1:$I$89,3,0)*VLOOKUP('Données projet'!$B$12,Paramètres!$A$1:$I$89,5,0)</f>
        <v>28.77468612605438</v>
      </c>
      <c r="CA22" s="14">
        <f t="shared" si="39"/>
        <v>8.9687894077481118</v>
      </c>
      <c r="CB22" s="22">
        <f t="shared" si="10"/>
        <v>65.736553221372674</v>
      </c>
      <c r="CC22" s="62">
        <f t="shared" si="11"/>
        <v>245.70551424854625</v>
      </c>
      <c r="CD22" s="62">
        <f ca="1">AVERAGE(OFFSET($CC$3,0,0,'Données projet'!$E$12+1,1))-AVERAGE(OFFSET($H$3,0,0,'Données projet'!$E$12+1,1))</f>
        <v>437.94016462147999</v>
      </c>
      <c r="CE22" s="62">
        <f t="shared" si="40"/>
        <v>281.88254003380348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2.84</v>
      </c>
      <c r="CT22" s="13">
        <f>IF('Données projet'!$A$140&gt;35,CT21+CS22-DB21,IF(A22&lt;'Données projet'!$A$140,$CQ$205^A22,IF(A22='Données projet'!$A$140,'Données projet'!$B$140,CT21+CS22-DB21)))</f>
        <v>25.524447198315809</v>
      </c>
      <c r="CU22" s="18">
        <f>CT22*VLOOKUP('Données projet'!$B$13,Paramètres!$A$1:$I$89,3,0)*VLOOKUP('Données projet'!$B$13,Paramètres!$A$1:$I$89,5,0)</f>
        <v>29.067240469442044</v>
      </c>
      <c r="CV22" s="14">
        <f t="shared" si="41"/>
        <v>9.0493141601842488</v>
      </c>
      <c r="CW22" s="22">
        <f t="shared" si="13"/>
        <v>66.386332646599115</v>
      </c>
      <c r="CX22" s="62">
        <f t="shared" si="14"/>
        <v>246.35529367377268</v>
      </c>
      <c r="CY22" s="62">
        <f ca="1">AVERAGE(OFFSET($CX$3,0,0,'Données projet'!$E$13+1,1))-AVERAGE(OFFSET($H$3,0,0,'Données projet'!$E$13+1,1))</f>
        <v>520.23742527061836</v>
      </c>
      <c r="CZ22" s="62">
        <f t="shared" si="42"/>
        <v>321.35925479331274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3.65</v>
      </c>
      <c r="DO22" s="13">
        <f>IF('Données projet'!$A$166&gt;35,DO21+DN22-DW21,IF(A22&lt;'Données projet'!$A$166,$DL$205^A22,IF(A22='Données projet'!$A$166,'Données projet'!$B$166,DO21+DN22-DW21)))</f>
        <v>58.90561805764559</v>
      </c>
      <c r="DP22" s="18">
        <f>DO22*VLOOKUP('Données projet'!$B$14,Paramètres!$A$1:$I$89,3,0)*VLOOKUP('Données projet'!$B$14,Paramètres!$A$1:$I$89,5,0)</f>
        <v>59.730296710452635</v>
      </c>
      <c r="DQ22" s="14">
        <f t="shared" si="43"/>
        <v>17.100061689857345</v>
      </c>
      <c r="DR22" s="22">
        <f t="shared" si="16"/>
        <v>133.81287421387319</v>
      </c>
      <c r="DS22" s="62">
        <f t="shared" si="17"/>
        <v>313.78183524104679</v>
      </c>
      <c r="DT22" s="62">
        <f ca="1">AVERAGE(OFFSET($DS$3,0,0,'Données projet'!$E$14+1,1))-AVERAGE(OFFSET($H$3,0,0,'Données projet'!$E$14+1,1))</f>
        <v>547.89540791313675</v>
      </c>
      <c r="DU22" s="62">
        <f t="shared" si="44"/>
        <v>345.19555189302378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14.2</v>
      </c>
      <c r="EJ22" s="13">
        <f>IF('Données projet'!$A$192&gt;35,EJ21+EI22-ER21,IF(A22&lt;'Données projet'!$A$192,$EG$205^A22,IF(A22='Données projet'!$A$192,'Données projet'!$B$192,EJ21+EI22-ER21)))</f>
        <v>122.80000000000001</v>
      </c>
      <c r="EK22" s="18">
        <f>EJ22*VLOOKUP('Données projet'!$B$15,Paramètres!$A$1:$I$89,3,0)*VLOOKUP('Données projet'!$B$15,Paramètres!$A$1:$I$89,5,0)</f>
        <v>128.35056000000003</v>
      </c>
      <c r="EL22" s="14">
        <f t="shared" si="45"/>
        <v>33.614939391686505</v>
      </c>
      <c r="EM22" s="22">
        <f t="shared" si="19"/>
        <v>282.08991144052067</v>
      </c>
      <c r="EN22" s="62">
        <f t="shared" si="20"/>
        <v>462.05887246769424</v>
      </c>
      <c r="EO22" s="62">
        <f ca="1">AVERAGE(OFFSET($EN$3,0,0,'Données projet'!$E$15+1,1))-AVERAGE(OFFSET($H$3,0,0,'Données projet'!$E$15+1,1))</f>
        <v>418.23737352070503</v>
      </c>
      <c r="EP22" s="62">
        <f t="shared" si="46"/>
        <v>496.10742685332968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4.3703703703703702</v>
      </c>
      <c r="FE22" s="13">
        <f>IF('Données projet'!$A$218&gt;35,FE21+FD22-FM21,IF(A22&lt;'Données projet'!$A$218,$FB$205^A22,IF(A22='Données projet'!$A$218,'Données projet'!$B$218,FE21+FD22-FM21)))</f>
        <v>28.707213694944539</v>
      </c>
      <c r="FF22" s="18">
        <f>FE22*VLOOKUP('Données projet'!$B$16,Paramètres!$A$1:$I$89,3,0)*VLOOKUP('Données projet'!$B$16,Paramètres!$A$1:$I$89,5,0)</f>
        <v>17.166913789576835</v>
      </c>
      <c r="FG22" s="14">
        <f t="shared" si="47"/>
        <v>5.6823256068972627</v>
      </c>
      <c r="FH22" s="22">
        <f t="shared" si="22"/>
        <v>39.79575861552572</v>
      </c>
      <c r="FI22" s="62">
        <f t="shared" si="23"/>
        <v>219.7647196426993</v>
      </c>
      <c r="FJ22" s="62">
        <f ca="1">AVERAGE(OFFSET($FI$3,0,0,'Données projet'!$E$16+1,1))-AVERAGE(OFFSET($H$3,0,0,'Données projet'!$E$16+1,1))</f>
        <v>341.70983624543067</v>
      </c>
      <c r="FK22" s="62">
        <f t="shared" si="48"/>
        <v>250.82562837973805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4.0333333333333332</v>
      </c>
      <c r="FZ22" s="13">
        <f>IF('Données projet'!$A$244&gt;35,FZ21+FY22-GH21,IF(A22&lt;'Données projet'!$A$244,$FW$205^A22,IF(A22='Données projet'!$A$244,'Données projet'!$B$244,FZ21+FY22-GH21)))</f>
        <v>20.849584337844028</v>
      </c>
      <c r="GA22" s="18">
        <f>FZ22*VLOOKUP('Données projet'!$B$17,Paramètres!$A$1:$I$89,3,0)*VLOOKUP('Données projet'!$B$17,Paramètres!$A$1:$I$89,5,0)</f>
        <v>9.7576054701110042</v>
      </c>
      <c r="GB22" s="14">
        <f t="shared" si="49"/>
        <v>3.4493380909966378</v>
      </c>
      <c r="GC22" s="22">
        <f t="shared" si="25"/>
        <v>23.002093368929142</v>
      </c>
      <c r="GD22" s="62">
        <f t="shared" si="26"/>
        <v>202.97105439610272</v>
      </c>
      <c r="GE22" s="62">
        <f ca="1">AVERAGE(OFFSET($GD$3,0,0,'Données projet'!$E$17+1,1))-AVERAGE(OFFSET($H$3,0,0,'Données projet'!$E$17+1,1))</f>
        <v>368.69628434154333</v>
      </c>
      <c r="GF22" s="62">
        <f t="shared" si="50"/>
        <v>202.28197295839524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6.6</v>
      </c>
      <c r="GU22" s="13">
        <f>IF('Données projet'!$A$270&gt;35,GU21+GT22-HC21,IF(A22&lt;'Données projet'!$A$270,$GR$205^A22,IF(A22='Données projet'!$A$270,'Données projet'!$B$270,GU21+GT22-HC21)))</f>
        <v>103.40587994435182</v>
      </c>
      <c r="GV22" s="18">
        <f>GU22*VLOOKUP('Données projet'!$B$18,Paramètres!$A$1:$I$89,3,0)*VLOOKUP('Données projet'!$B$18,Paramètres!$A$1:$I$89,5,0)</f>
        <v>90.335376719385764</v>
      </c>
      <c r="GW22" s="14">
        <f t="shared" si="51"/>
        <v>24.646092265003244</v>
      </c>
      <c r="GX22" s="22">
        <f t="shared" si="28"/>
        <v>200.25939181447754</v>
      </c>
      <c r="GY22" s="62">
        <f t="shared" si="29"/>
        <v>380.22835284165114</v>
      </c>
      <c r="GZ22" s="62">
        <f ca="1">AVERAGE(OFFSET($GY$3,0,0,'Données projet'!$E$18+1,1))-AVERAGE(OFFSET($H$3,0,0,'Données projet'!$E$18+1,1))</f>
        <v>378.51861272969165</v>
      </c>
      <c r="HA22" s="62">
        <f t="shared" si="52"/>
        <v>387.42368617035459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135.66666666666666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59</v>
      </c>
      <c r="L23" s="13">
        <f>VLOOKUP(A23,'Données projet'!$A$35:$I$55,9,0)</f>
        <v>2.95</v>
      </c>
      <c r="M23" s="13">
        <f t="array" ref="M23">INDEX(L:L,MIN(IF(ISNUMBER(L23:L219),ROW(L23:L219),"")))</f>
        <v>2.95</v>
      </c>
      <c r="N23" s="14">
        <f>IF('Données projet'!$A$36&gt;35,N22+M23-V22,IF(A23&lt;'Données projet'!$A$36,$K$205^A23,IF(A23='Données projet'!$A$36,'Données projet'!$B$36,N22+M23-V22)))</f>
        <v>59</v>
      </c>
      <c r="O23" s="14">
        <f>N23*VLOOKUP('Données projet'!$B$9,Paramètres!$A$1:$I$89,3,0)*VLOOKUP('Données projet'!$B$9,Paramètres!$A$1:$I$89,5,0)</f>
        <v>35.282000000000004</v>
      </c>
      <c r="P23" s="14">
        <f t="shared" si="33"/>
        <v>10.73915395799758</v>
      </c>
      <c r="Q23" s="22">
        <f t="shared" si="2"/>
        <v>80.153509810179131</v>
      </c>
      <c r="R23" s="62">
        <f t="shared" si="0"/>
        <v>263.07808042048282</v>
      </c>
      <c r="S23" s="62">
        <f ca="1">AVERAGE(OFFSET($R$3,0,0,'Données projet'!$E$9+1,1))-AVERAGE(OFFSET($H$3,0,0,'Données projet'!$E$9+1,1))</f>
        <v>437.94016462147999</v>
      </c>
      <c r="T23" s="62">
        <f t="shared" si="34"/>
        <v>281.88254003380348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3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1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2.0312247417624798</v>
      </c>
      <c r="AC23" s="24">
        <f t="shared" si="3"/>
        <v>2.0312247417624798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2.84</v>
      </c>
      <c r="AI23" s="14">
        <f>IF('Données projet'!$A$62&gt;35,AI22+AH23-AQ22,IF(A23&lt;'Données projet'!$A$62,$AF$205^A23,IF(A23='Données projet'!$A$62,'Données projet'!$B$62,AI22+AH23-AQ22)))</f>
        <v>30.269599790850293</v>
      </c>
      <c r="AJ23" s="14">
        <f>AI23*VLOOKUP('Données projet'!$B$10,Paramètres!$A$1:$I$89,3,0)*VLOOKUP('Données projet'!$B$10,Paramètres!$A$1:$I$89,5,0)</f>
        <v>27.387933890761346</v>
      </c>
      <c r="AK23" s="14">
        <f t="shared" si="35"/>
        <v>8.5857736856986921</v>
      </c>
      <c r="AL23" s="22">
        <f t="shared" si="4"/>
        <v>62.654207362334567</v>
      </c>
      <c r="AM23" s="62">
        <f t="shared" si="5"/>
        <v>245.57877797263828</v>
      </c>
      <c r="AN23" s="62">
        <f ca="1">AVERAGE(OFFSET($AM$3,0,0,'Données projet'!$E$10+1,1))-AVERAGE(OFFSET($H$3,0,0,'Données projet'!$E$10+1,1))</f>
        <v>434.56763649859136</v>
      </c>
      <c r="AO23" s="62">
        <f t="shared" si="36"/>
        <v>271.90302066766264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19.8</v>
      </c>
      <c r="BD23" s="13">
        <f>IF('Données projet'!$A$88&gt;35,BD22+BC23-BL22,IF(A23&lt;'Données projet'!$A$88,$BA$205^A23,IF(A23='Données projet'!$A$88,'Données projet'!$B$88,BD22+BC23-BL22)))</f>
        <v>192.40000000000006</v>
      </c>
      <c r="BE23" s="14">
        <f>BD23*VLOOKUP('Données projet'!$B$11,Paramètres!$A$1:$I$89,3,0)*VLOOKUP('Données projet'!$B$11,Paramètres!$A$1:$I$89,5,0)</f>
        <v>115.05520000000004</v>
      </c>
      <c r="BF23" s="14">
        <f t="shared" si="37"/>
        <v>30.5188966745568</v>
      </c>
      <c r="BG23" s="22">
        <f t="shared" si="7"/>
        <v>253.54155170818649</v>
      </c>
      <c r="BH23" s="62">
        <f t="shared" si="8"/>
        <v>436.46612231849019</v>
      </c>
      <c r="BI23" s="62">
        <f ca="1">AVERAGE(OFFSET($BH$3,0,0,'Données projet'!$E$11+1,1))-AVERAGE(OFFSET($H$3,0,0,'Données projet'!$E$11+1,1))</f>
        <v>199.65420589615553</v>
      </c>
      <c r="BJ23" s="62">
        <f t="shared" si="38"/>
        <v>477.85821088970999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2.8929300613012607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9.6735295157628478</v>
      </c>
      <c r="BS23" s="24">
        <f t="shared" si="9"/>
        <v>12.566459577064109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59</v>
      </c>
      <c r="BW23" s="13">
        <f>VLOOKUP(A23,'Données projet'!$A$113:$I$133,9,0)</f>
        <v>2.95</v>
      </c>
      <c r="BX23" s="13">
        <f t="array" ref="BX23">INDEX(BW:BW,MIN(IF(ISNUMBER(BW23:BW219),ROW(BW23:BW219),"")))</f>
        <v>2.95</v>
      </c>
      <c r="BY23" s="13">
        <f>IF('Données projet'!$A$114&gt;35,BY22+BX23-CG22,IF(A23&lt;'Données projet'!$A$114,$BV$205^A23,IF(A23='Données projet'!$A$114,'Données projet'!$B$114,BY22+BX23-CG22)))</f>
        <v>59</v>
      </c>
      <c r="BZ23" s="14">
        <f>BY23*VLOOKUP('Données projet'!$B$12,Paramètres!$A$1:$I$89,3,0)*VLOOKUP('Données projet'!$B$12,Paramètres!$A$1:$I$89,5,0)</f>
        <v>35.282000000000004</v>
      </c>
      <c r="CA23" s="14">
        <f t="shared" si="39"/>
        <v>10.73915395799758</v>
      </c>
      <c r="CB23" s="22">
        <f t="shared" si="10"/>
        <v>80.153509810179131</v>
      </c>
      <c r="CC23" s="62">
        <f t="shared" si="11"/>
        <v>263.07808042048282</v>
      </c>
      <c r="CD23" s="62">
        <f ca="1">AVERAGE(OFFSET($CC$3,0,0,'Données projet'!$E$12+1,1))-AVERAGE(OFFSET($H$3,0,0,'Données projet'!$E$12+1,1))</f>
        <v>437.94016462147999</v>
      </c>
      <c r="CE23" s="62">
        <f t="shared" si="40"/>
        <v>281.88254003380348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3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1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2.0312247417624798</v>
      </c>
      <c r="CN23" s="24">
        <f t="shared" si="12"/>
        <v>2.0312247417624798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2.84</v>
      </c>
      <c r="CT23" s="13">
        <f>IF('Données projet'!$A$140&gt;35,CT22+CS23-DB22,IF(A23&lt;'Données projet'!$A$140,$CQ$205^A23,IF(A23='Données projet'!$A$140,'Données projet'!$B$140,CT22+CS23-DB22)))</f>
        <v>30.269599790850293</v>
      </c>
      <c r="CU23" s="18">
        <f>CT23*VLOOKUP('Données projet'!$B$13,Paramètres!$A$1:$I$89,3,0)*VLOOKUP('Données projet'!$B$13,Paramètres!$A$1:$I$89,5,0)</f>
        <v>34.47102024182032</v>
      </c>
      <c r="CV23" s="14">
        <f t="shared" si="41"/>
        <v>10.52074612273822</v>
      </c>
      <c r="CW23" s="22">
        <f t="shared" si="13"/>
        <v>78.360659751606121</v>
      </c>
      <c r="CX23" s="62">
        <f t="shared" si="14"/>
        <v>261.28523036190984</v>
      </c>
      <c r="CY23" s="62">
        <f ca="1">AVERAGE(OFFSET($CX$3,0,0,'Données projet'!$E$13+1,1))-AVERAGE(OFFSET($H$3,0,0,'Données projet'!$E$13+1,1))</f>
        <v>520.23742527061836</v>
      </c>
      <c r="CZ23" s="62">
        <f t="shared" si="42"/>
        <v>321.35925479331274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73</v>
      </c>
      <c r="DM23" s="13">
        <f>VLOOKUP(A23,'Données projet'!$A$165:$I$185,9,0)</f>
        <v>3.65</v>
      </c>
      <c r="DN23" s="13">
        <f t="array" ref="DN23">INDEX(DM:DM,MIN(IF(ISNUMBER(DM23:DM219),ROW(DM23:DM219),"")))</f>
        <v>3.65</v>
      </c>
      <c r="DO23" s="13">
        <f>IF('Données projet'!$A$166&gt;35,DO22+DN23-DW22,IF(A23&lt;'Données projet'!$A$166,$DL$205^A23,IF(A23='Données projet'!$A$166,'Données projet'!$B$166,DO22+DN23-DW22)))</f>
        <v>73</v>
      </c>
      <c r="DP23" s="18">
        <f>DO23*VLOOKUP('Données projet'!$B$14,Paramètres!$A$1:$I$89,3,0)*VLOOKUP('Données projet'!$B$14,Paramètres!$A$1:$I$89,5,0)</f>
        <v>74.022000000000006</v>
      </c>
      <c r="DQ23" s="14">
        <f t="shared" si="43"/>
        <v>20.668991235856851</v>
      </c>
      <c r="DR23" s="22">
        <f t="shared" si="16"/>
        <v>164.92014306911736</v>
      </c>
      <c r="DS23" s="62">
        <f t="shared" si="17"/>
        <v>347.84471367942103</v>
      </c>
      <c r="DT23" s="62">
        <f ca="1">AVERAGE(OFFSET($DS$3,0,0,'Données projet'!$E$14+1,1))-AVERAGE(OFFSET($H$3,0,0,'Données projet'!$E$14+1,1))</f>
        <v>547.89540791313675</v>
      </c>
      <c r="DU23" s="62">
        <f t="shared" si="44"/>
        <v>345.19555189302378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6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137</v>
      </c>
      <c r="EH23" s="13">
        <f>VLOOKUP(A23,'Données projet'!$A$191:$I$211,9,0)</f>
        <v>14.2</v>
      </c>
      <c r="EI23" s="13">
        <f t="array" ref="EI23">INDEX(EH:EH,MIN(IF(ISNUMBER(EH23:EH219),ROW(EH23:EH219),"")))</f>
        <v>14.2</v>
      </c>
      <c r="EJ23" s="13">
        <f>IF('Données projet'!$A$192&gt;35,EJ22+EI23-ER22,IF(A23&lt;'Données projet'!$A$192,$EG$205^A23,IF(A23='Données projet'!$A$192,'Données projet'!$B$192,EJ22+EI23-ER22)))</f>
        <v>137</v>
      </c>
      <c r="EK23" s="18">
        <f>EJ23*VLOOKUP('Données projet'!$B$15,Paramètres!$A$1:$I$89,3,0)*VLOOKUP('Données projet'!$B$15,Paramètres!$A$1:$I$89,5,0)</f>
        <v>143.19240000000002</v>
      </c>
      <c r="EL23" s="14">
        <f t="shared" si="45"/>
        <v>37.027377071278792</v>
      </c>
      <c r="EM23" s="22">
        <f t="shared" si="19"/>
        <v>313.88277839914394</v>
      </c>
      <c r="EN23" s="62">
        <f t="shared" si="20"/>
        <v>496.80734900944765</v>
      </c>
      <c r="EO23" s="62">
        <f ca="1">AVERAGE(OFFSET($EN$3,0,0,'Données projet'!$E$15+1,1))-AVERAGE(OFFSET($H$3,0,0,'Données projet'!$E$15+1,1))</f>
        <v>418.23737352070503</v>
      </c>
      <c r="EP23" s="62">
        <f t="shared" si="46"/>
        <v>496.10742685332968</v>
      </c>
      <c r="EQ23" s="16">
        <f>IF(ISNA(VLOOKUP(A23,'Données projet'!$A$191:$I$211,3,0)),0,VLOOKUP(A23,'Données projet'!$A$191:$I$211,3,0))</f>
        <v>2</v>
      </c>
      <c r="ER23" s="16">
        <f>IF(ISNA(VLOOKUP(A23,'Données projet'!$A$191:$I$211,4,0)),0,VLOOKUP(A23,'Données projet'!$A$191:$I$211,4,0))</f>
        <v>43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4.3703703703703702</v>
      </c>
      <c r="FE23" s="13">
        <f>IF('Données projet'!$A$218&gt;35,FE22+FD23-FM22,IF(A23&lt;'Données projet'!$A$218,$FB$205^A23,IF(A23='Données projet'!$A$218,'Données projet'!$B$218,FE22+FD23-FM22)))</f>
        <v>34.255271407286948</v>
      </c>
      <c r="FF23" s="18">
        <f>FE23*VLOOKUP('Données projet'!$B$16,Paramètres!$A$1:$I$89,3,0)*VLOOKUP('Données projet'!$B$16,Paramètres!$A$1:$I$89,5,0)</f>
        <v>20.484652301557595</v>
      </c>
      <c r="FG23" s="14">
        <f t="shared" si="47"/>
        <v>6.6424817979453561</v>
      </c>
      <c r="FH23" s="22">
        <f t="shared" si="22"/>
        <v>47.246425223300974</v>
      </c>
      <c r="FI23" s="62">
        <f t="shared" si="23"/>
        <v>230.17099583360468</v>
      </c>
      <c r="FJ23" s="62">
        <f ca="1">AVERAGE(OFFSET($FI$3,0,0,'Données projet'!$E$16+1,1))-AVERAGE(OFFSET($H$3,0,0,'Données projet'!$E$16+1,1))</f>
        <v>341.70983624543067</v>
      </c>
      <c r="FK23" s="62">
        <f t="shared" si="48"/>
        <v>250.82562837973805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4.0333333333333332</v>
      </c>
      <c r="FZ23" s="13">
        <f>IF('Données projet'!$A$244&gt;35,FZ22+FY23-GH22,IF(A23&lt;'Données projet'!$A$244,$FW$205^A23,IF(A23='Données projet'!$A$244,'Données projet'!$B$244,FZ22+FY23-GH22)))</f>
        <v>24.463780996262496</v>
      </c>
      <c r="GA23" s="18">
        <f>FZ23*VLOOKUP('Données projet'!$B$17,Paramètres!$A$1:$I$89,3,0)*VLOOKUP('Données projet'!$B$17,Paramètres!$A$1:$I$89,5,0)</f>
        <v>11.449049506250848</v>
      </c>
      <c r="GB23" s="14">
        <f t="shared" si="49"/>
        <v>3.972653949520474</v>
      </c>
      <c r="GC23" s="22">
        <f t="shared" si="25"/>
        <v>26.859466852135053</v>
      </c>
      <c r="GD23" s="62">
        <f t="shared" si="26"/>
        <v>209.78403746243876</v>
      </c>
      <c r="GE23" s="62">
        <f ca="1">AVERAGE(OFFSET($GD$3,0,0,'Données projet'!$E$17+1,1))-AVERAGE(OFFSET($H$3,0,0,'Données projet'!$E$17+1,1))</f>
        <v>368.69628434154333</v>
      </c>
      <c r="GF23" s="62">
        <f t="shared" si="50"/>
        <v>202.28197295839524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>
        <f>VLOOKUP(A23,'Données projet'!$A$269:$I$289,2,0)</f>
        <v>132</v>
      </c>
      <c r="GS23" s="13">
        <f>VLOOKUP(A23,'Données projet'!$A$269:$I$289,9,0)</f>
        <v>6.6</v>
      </c>
      <c r="GT23" s="13">
        <f t="array" ref="GT23">INDEX(GS:GS,MIN(IF(ISNUMBER(GS23:GS219),ROW(GS23:GS219),"")))</f>
        <v>6.6</v>
      </c>
      <c r="GU23" s="13">
        <f>IF('Données projet'!$A$270&gt;35,GU22+GT23-HC22,IF(A23&lt;'Données projet'!$A$270,$GR$205^A23,IF(A23='Données projet'!$A$270,'Données projet'!$B$270,GU22+GT23-HC22)))</f>
        <v>132</v>
      </c>
      <c r="GV23" s="18">
        <f>GU23*VLOOKUP('Données projet'!$B$18,Paramètres!$A$1:$I$89,3,0)*VLOOKUP('Données projet'!$B$18,Paramètres!$A$1:$I$89,5,0)</f>
        <v>115.3152</v>
      </c>
      <c r="GW23" s="14">
        <f t="shared" si="51"/>
        <v>30.579827148797317</v>
      </c>
      <c r="GX23" s="22">
        <f t="shared" si="28"/>
        <v>254.10050561748861</v>
      </c>
      <c r="GY23" s="62">
        <f t="shared" si="29"/>
        <v>437.02507622779228</v>
      </c>
      <c r="GZ23" s="62">
        <f ca="1">AVERAGE(OFFSET($GY$3,0,0,'Données projet'!$E$18+1,1))-AVERAGE(OFFSET($H$3,0,0,'Données projet'!$E$18+1,1))</f>
        <v>378.51861272969165</v>
      </c>
      <c r="HA23" s="62">
        <f t="shared" si="52"/>
        <v>387.42368617035459</v>
      </c>
      <c r="HB23" s="16">
        <f>IF(ISNA(VLOOKUP(A23,'Données projet'!$A$269:$I$289,3,0)),0,VLOOKUP(A23,'Données projet'!$A$269:$I$289,3,0))</f>
        <v>1</v>
      </c>
      <c r="HC23" s="16">
        <f>IF(ISNA(VLOOKUP(A23,'Données projet'!$A$269:$I$289,4,0)),0,VLOOKUP(A23,'Données projet'!$A$269:$I$289,4,0))</f>
        <v>50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135.66666666666666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10</v>
      </c>
      <c r="N24" s="14">
        <f>IF('Données projet'!$A$36&gt;35,N23+M24-V23,IF(A24&lt;'Données projet'!$A$36,$K$205^A24,IF(A24='Données projet'!$A$36,'Données projet'!$B$36,N23+M24-V23)))</f>
        <v>66</v>
      </c>
      <c r="O24" s="14">
        <f>N24*VLOOKUP('Données projet'!$B$9,Paramètres!$A$1:$I$89,3,0)*VLOOKUP('Données projet'!$B$9,Paramètres!$A$1:$I$89,5,0)</f>
        <v>39.468000000000004</v>
      </c>
      <c r="P24" s="14">
        <f t="shared" si="33"/>
        <v>11.8575305564269</v>
      </c>
      <c r="Q24" s="22">
        <f t="shared" si="2"/>
        <v>89.391965719110203</v>
      </c>
      <c r="R24" s="62">
        <f t="shared" si="0"/>
        <v>275.24207551710595</v>
      </c>
      <c r="S24" s="62">
        <f ca="1">AVERAGE(OFFSET($R$3,0,0,'Données projet'!$E$9+1,1))-AVERAGE(OFFSET($H$3,0,0,'Données projet'!$E$9+1,1))</f>
        <v>437.94016462147999</v>
      </c>
      <c r="T24" s="62">
        <f t="shared" si="34"/>
        <v>281.88254003380348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1.4362927890141435</v>
      </c>
      <c r="AC24" s="24">
        <f t="shared" si="3"/>
        <v>1.4362927890141435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2.84</v>
      </c>
      <c r="AI24" s="14">
        <f>IF('Données projet'!$A$62&gt;35,AI23+AH24-AQ23,IF(A24&lt;'Données projet'!$A$62,$AF$205^A24,IF(A24='Données projet'!$A$62,'Données projet'!$B$62,AI23+AH24-AQ23)))</f>
        <v>35.896905597183761</v>
      </c>
      <c r="AJ24" s="14">
        <f>AI24*VLOOKUP('Données projet'!$B$10,Paramètres!$A$1:$I$89,3,0)*VLOOKUP('Données projet'!$B$10,Paramètres!$A$1:$I$89,5,0)</f>
        <v>32.479520184331868</v>
      </c>
      <c r="AK24" s="14">
        <f t="shared" si="35"/>
        <v>9.9818332765986337</v>
      </c>
      <c r="AL24" s="22">
        <f t="shared" si="4"/>
        <v>73.953523944453949</v>
      </c>
      <c r="AM24" s="62">
        <f t="shared" si="5"/>
        <v>259.80363374244968</v>
      </c>
      <c r="AN24" s="62">
        <f ca="1">AVERAGE(OFFSET($AM$3,0,0,'Données projet'!$E$10+1,1))-AVERAGE(OFFSET($H$3,0,0,'Données projet'!$E$10+1,1))</f>
        <v>434.56763649859136</v>
      </c>
      <c r="AO24" s="62">
        <f t="shared" si="36"/>
        <v>271.90302066766264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19.8</v>
      </c>
      <c r="BD24" s="13">
        <f>IF('Données projet'!$A$88&gt;35,BD23+BC24-BL23,IF(A24&lt;'Données projet'!$A$88,$BA$205^A24,IF(A24='Données projet'!$A$88,'Données projet'!$B$88,BD23+BC24-BL23)))</f>
        <v>212.20000000000007</v>
      </c>
      <c r="BE24" s="14">
        <f>BD24*VLOOKUP('Données projet'!$B$11,Paramètres!$A$1:$I$89,3,0)*VLOOKUP('Données projet'!$B$11,Paramètres!$A$1:$I$89,5,0)</f>
        <v>126.89560000000006</v>
      </c>
      <c r="BF24" s="14">
        <f t="shared" si="37"/>
        <v>33.278017701950326</v>
      </c>
      <c r="BG24" s="22">
        <f t="shared" si="7"/>
        <v>278.96905083089689</v>
      </c>
      <c r="BH24" s="62">
        <f t="shared" si="8"/>
        <v>464.81916062889263</v>
      </c>
      <c r="BI24" s="62">
        <f ca="1">AVERAGE(OFFSET($BH$3,0,0,'Données projet'!$E$11+1,1))-AVERAGE(OFFSET($H$3,0,0,'Données projet'!$E$11+1,1))</f>
        <v>199.65420589615553</v>
      </c>
      <c r="BJ24" s="62">
        <f t="shared" si="38"/>
        <v>477.85821088970999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2.8362014673122493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6.8402183186041299</v>
      </c>
      <c r="BS24" s="24">
        <f t="shared" si="9"/>
        <v>9.6764197859163801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10</v>
      </c>
      <c r="BY24" s="13">
        <f>IF('Données projet'!$A$114&gt;35,BY23+BX24-CG23,IF(A24&lt;'Données projet'!$A$114,$BV$205^A24,IF(A24='Données projet'!$A$114,'Données projet'!$B$114,BY23+BX24-CG23)))</f>
        <v>66</v>
      </c>
      <c r="BZ24" s="14">
        <f>BY24*VLOOKUP('Données projet'!$B$12,Paramètres!$A$1:$I$89,3,0)*VLOOKUP('Données projet'!$B$12,Paramètres!$A$1:$I$89,5,0)</f>
        <v>39.468000000000004</v>
      </c>
      <c r="CA24" s="14">
        <f t="shared" si="39"/>
        <v>11.8575305564269</v>
      </c>
      <c r="CB24" s="22">
        <f t="shared" si="10"/>
        <v>89.391965719110203</v>
      </c>
      <c r="CC24" s="62">
        <f t="shared" si="11"/>
        <v>275.24207551710595</v>
      </c>
      <c r="CD24" s="62">
        <f ca="1">AVERAGE(OFFSET($CC$3,0,0,'Données projet'!$E$12+1,1))-AVERAGE(OFFSET($H$3,0,0,'Données projet'!$E$12+1,1))</f>
        <v>437.94016462147999</v>
      </c>
      <c r="CE24" s="62">
        <f t="shared" si="40"/>
        <v>281.88254003380348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1.4362927890141435</v>
      </c>
      <c r="CN24" s="24">
        <f t="shared" si="12"/>
        <v>1.4362927890141435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2.84</v>
      </c>
      <c r="CT24" s="13">
        <f>IF('Données projet'!$A$140&gt;35,CT23+CS24-DB23,IF(A24&lt;'Données projet'!$A$140,$CQ$205^A24,IF(A24='Données projet'!$A$140,'Données projet'!$B$140,CT23+CS24-DB23)))</f>
        <v>35.896905597183761</v>
      </c>
      <c r="CU24" s="18">
        <f>CT24*VLOOKUP('Données projet'!$B$13,Paramètres!$A$1:$I$89,3,0)*VLOOKUP('Données projet'!$B$13,Paramètres!$A$1:$I$89,5,0)</f>
        <v>40.879396094072867</v>
      </c>
      <c r="CV24" s="14">
        <f t="shared" si="41"/>
        <v>12.231435114289109</v>
      </c>
      <c r="CW24" s="22">
        <f t="shared" si="13"/>
        <v>92.501364354563762</v>
      </c>
      <c r="CX24" s="62">
        <f t="shared" si="14"/>
        <v>278.35147415255949</v>
      </c>
      <c r="CY24" s="62">
        <f ca="1">AVERAGE(OFFSET($CX$3,0,0,'Données projet'!$E$13+1,1))-AVERAGE(OFFSET($H$3,0,0,'Données projet'!$E$13+1,1))</f>
        <v>520.23742527061836</v>
      </c>
      <c r="CZ24" s="62">
        <f t="shared" si="42"/>
        <v>321.35925479331274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7.2</v>
      </c>
      <c r="DO24" s="13">
        <f>IF('Données projet'!$A$166&gt;35,DO23+DN24-DW23,IF(A24&lt;'Données projet'!$A$166,$DL$205^A24,IF(A24='Données projet'!$A$166,'Données projet'!$B$166,DO23+DN24-DW23)))</f>
        <v>74.2</v>
      </c>
      <c r="DP24" s="18">
        <f>DO24*VLOOKUP('Données projet'!$B$14,Paramètres!$A$1:$I$89,3,0)*VLOOKUP('Données projet'!$B$14,Paramètres!$A$1:$I$89,5,0)</f>
        <v>75.238800000000012</v>
      </c>
      <c r="DQ24" s="14">
        <f t="shared" si="43"/>
        <v>20.96892143970209</v>
      </c>
      <c r="DR24" s="22">
        <f t="shared" si="16"/>
        <v>167.56178150748116</v>
      </c>
      <c r="DS24" s="62">
        <f t="shared" si="17"/>
        <v>353.41189130547684</v>
      </c>
      <c r="DT24" s="62">
        <f ca="1">AVERAGE(OFFSET($DS$3,0,0,'Données projet'!$E$14+1,1))-AVERAGE(OFFSET($H$3,0,0,'Données projet'!$E$14+1,1))</f>
        <v>547.89540791313675</v>
      </c>
      <c r="DU24" s="62">
        <f t="shared" si="44"/>
        <v>345.19555189302378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13.8</v>
      </c>
      <c r="EJ24" s="13">
        <f>IF('Données projet'!$A$192&gt;35,EJ23+EI24-ER23,IF(A24&lt;'Données projet'!$A$192,$EG$205^A24,IF(A24='Données projet'!$A$192,'Données projet'!$B$192,EJ23+EI24-ER23)))</f>
        <v>107.80000000000001</v>
      </c>
      <c r="EK24" s="18">
        <f>EJ24*VLOOKUP('Données projet'!$B$15,Paramètres!$A$1:$I$89,3,0)*VLOOKUP('Données projet'!$B$15,Paramètres!$A$1:$I$89,5,0)</f>
        <v>112.67256000000002</v>
      </c>
      <c r="EL24" s="14">
        <f t="shared" si="45"/>
        <v>29.959778123077367</v>
      </c>
      <c r="EM24" s="22">
        <f t="shared" si="19"/>
        <v>248.41798889769305</v>
      </c>
      <c r="EN24" s="62">
        <f t="shared" si="20"/>
        <v>434.26809869568876</v>
      </c>
      <c r="EO24" s="62">
        <f ca="1">AVERAGE(OFFSET($EN$3,0,0,'Données projet'!$E$15+1,1))-AVERAGE(OFFSET($H$3,0,0,'Données projet'!$E$15+1,1))</f>
        <v>418.23737352070503</v>
      </c>
      <c r="EP24" s="62">
        <f t="shared" si="46"/>
        <v>496.10742685332968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4.3703703703703702</v>
      </c>
      <c r="FE24" s="13">
        <f>IF('Données projet'!$A$218&gt;35,FE23+FD24-FM23,IF(A24&lt;'Données projet'!$A$218,$FB$205^A24,IF(A24='Données projet'!$A$218,'Données projet'!$B$218,FE23+FD24-FM23)))</f>
        <v>40.875566387466414</v>
      </c>
      <c r="FF24" s="18">
        <f>FE24*VLOOKUP('Données projet'!$B$16,Paramètres!$A$1:$I$89,3,0)*VLOOKUP('Données projet'!$B$16,Paramètres!$A$1:$I$89,5,0)</f>
        <v>24.443588699704918</v>
      </c>
      <c r="FG24" s="14">
        <f t="shared" si="47"/>
        <v>7.7648778842379169</v>
      </c>
      <c r="FH24" s="22">
        <f t="shared" si="22"/>
        <v>56.096412633700432</v>
      </c>
      <c r="FI24" s="62">
        <f t="shared" si="23"/>
        <v>241.94652243169614</v>
      </c>
      <c r="FJ24" s="62">
        <f ca="1">AVERAGE(OFFSET($FI$3,0,0,'Données projet'!$E$16+1,1))-AVERAGE(OFFSET($H$3,0,0,'Données projet'!$E$16+1,1))</f>
        <v>341.70983624543067</v>
      </c>
      <c r="FK24" s="62">
        <f t="shared" si="48"/>
        <v>250.82562837973805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4.0333333333333332</v>
      </c>
      <c r="FZ24" s="13">
        <f>IF('Données projet'!$A$244&gt;35,FZ23+FY24-GH23,IF(A24&lt;'Données projet'!$A$244,$FW$205^A24,IF(A24='Données projet'!$A$244,'Données projet'!$B$244,FZ23+FY24-GH23)))</f>
        <v>28.704484988067634</v>
      </c>
      <c r="GA24" s="18">
        <f>FZ24*VLOOKUP('Données projet'!$B$17,Paramètres!$A$1:$I$89,3,0)*VLOOKUP('Données projet'!$B$17,Paramètres!$A$1:$I$89,5,0)</f>
        <v>13.433698974415652</v>
      </c>
      <c r="GB24" s="14">
        <f t="shared" si="49"/>
        <v>4.575364602221593</v>
      </c>
      <c r="GC24" s="22">
        <f t="shared" si="25"/>
        <v>31.365785729309867</v>
      </c>
      <c r="GD24" s="62">
        <f t="shared" si="26"/>
        <v>217.21589552730558</v>
      </c>
      <c r="GE24" s="62">
        <f ca="1">AVERAGE(OFFSET($GD$3,0,0,'Données projet'!$E$17+1,1))-AVERAGE(OFFSET($H$3,0,0,'Données projet'!$E$17+1,1))</f>
        <v>368.69628434154333</v>
      </c>
      <c r="GF24" s="62">
        <f t="shared" si="50"/>
        <v>202.28197295839524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12.2</v>
      </c>
      <c r="GU24" s="13">
        <f>IF('Données projet'!$A$270&gt;35,GU23+GT24-HC23,IF(A24&lt;'Données projet'!$A$270,$GR$205^A24,IF(A24='Données projet'!$A$270,'Données projet'!$B$270,GU23+GT24-HC23)))</f>
        <v>94.199999999999989</v>
      </c>
      <c r="GV24" s="18">
        <f>GU24*VLOOKUP('Données projet'!$B$18,Paramètres!$A$1:$I$89,3,0)*VLOOKUP('Données projet'!$B$18,Paramètres!$A$1:$I$89,5,0)</f>
        <v>82.293120000000002</v>
      </c>
      <c r="GW24" s="14">
        <f t="shared" si="51"/>
        <v>22.696938367376966</v>
      </c>
      <c r="GX24" s="22">
        <f t="shared" si="28"/>
        <v>182.85768498984825</v>
      </c>
      <c r="GY24" s="62">
        <f t="shared" si="29"/>
        <v>368.70779478784397</v>
      </c>
      <c r="GZ24" s="62">
        <f ca="1">AVERAGE(OFFSET($GY$3,0,0,'Données projet'!$E$18+1,1))-AVERAGE(OFFSET($H$3,0,0,'Données projet'!$E$18+1,1))</f>
        <v>378.51861272969165</v>
      </c>
      <c r="HA24" s="62">
        <f t="shared" si="52"/>
        <v>387.42368617035459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135.66666666666666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10</v>
      </c>
      <c r="N25" s="14">
        <f>IF('Données projet'!$A$36&gt;35,N24+M25-V24,IF(A25&lt;'Données projet'!$A$36,$K$205^A25,IF(A25='Données projet'!$A$36,'Données projet'!$B$36,N24+M25-V24)))</f>
        <v>76</v>
      </c>
      <c r="O25" s="14">
        <f>N25*VLOOKUP('Données projet'!$B$9,Paramètres!$A$1:$I$89,3,0)*VLOOKUP('Données projet'!$B$9,Paramètres!$A$1:$I$89,5,0)</f>
        <v>45.448</v>
      </c>
      <c r="P25" s="14">
        <f t="shared" si="33"/>
        <v>13.431735195887134</v>
      </c>
      <c r="Q25" s="22">
        <f t="shared" si="2"/>
        <v>102.54887213283676</v>
      </c>
      <c r="R25" s="62">
        <f t="shared" si="0"/>
        <v>291.29497237721978</v>
      </c>
      <c r="S25" s="62">
        <f ca="1">AVERAGE(OFFSET($R$3,0,0,'Données projet'!$E$9+1,1))-AVERAGE(OFFSET($H$3,0,0,'Données projet'!$E$9+1,1))</f>
        <v>437.94016462147999</v>
      </c>
      <c r="T25" s="62">
        <f t="shared" si="34"/>
        <v>281.88254003380348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1.0156123708812401</v>
      </c>
      <c r="AC25" s="24">
        <f t="shared" si="3"/>
        <v>1.0156123708812401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2.84</v>
      </c>
      <c r="AI25" s="14">
        <f>IF('Données projet'!$A$62&gt;35,AI24+AH25-AQ24,IF(A25&lt;'Données projet'!$A$62,$AF$205^A25,IF(A25='Données projet'!$A$62,'Données projet'!$B$62,AI24+AH25-AQ24)))</f>
        <v>42.570362355521766</v>
      </c>
      <c r="AJ25" s="14">
        <f>AI25*VLOOKUP('Données projet'!$B$10,Paramètres!$A$1:$I$89,3,0)*VLOOKUP('Données projet'!$B$10,Paramètres!$A$1:$I$89,5,0)</f>
        <v>38.517663859276098</v>
      </c>
      <c r="AK25" s="14">
        <f t="shared" si="35"/>
        <v>11.604894236587789</v>
      </c>
      <c r="AL25" s="22">
        <f t="shared" si="4"/>
        <v>87.2967886836296</v>
      </c>
      <c r="AM25" s="62">
        <f t="shared" si="5"/>
        <v>276.04288892801259</v>
      </c>
      <c r="AN25" s="62">
        <f ca="1">AVERAGE(OFFSET($AM$3,0,0,'Données projet'!$E$10+1,1))-AVERAGE(OFFSET($H$3,0,0,'Données projet'!$E$10+1,1))</f>
        <v>434.56763649859136</v>
      </c>
      <c r="AO25" s="62">
        <f t="shared" si="36"/>
        <v>271.90302066766264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>
        <f>VLOOKUP(A25,'Données projet'!$A$87:$I$107,2,0)</f>
        <v>232</v>
      </c>
      <c r="BB25" s="13">
        <f>VLOOKUP(A25,'Données projet'!$A$87:$I$107,9,0)</f>
        <v>19.8</v>
      </c>
      <c r="BC25" s="13">
        <f t="array" ref="BC25">INDEX(BB:BB,MIN(IF(ISNUMBER(BB25:BB221),ROW(BB25:BB221),"")))</f>
        <v>19.8</v>
      </c>
      <c r="BD25" s="13">
        <f>IF('Données projet'!$A$88&gt;35,BD24+BC25-BL24,IF(A25&lt;'Données projet'!$A$88,$BA$205^A25,IF(A25='Données projet'!$A$88,'Données projet'!$B$88,BD24+BC25-BL24)))</f>
        <v>232.00000000000009</v>
      </c>
      <c r="BE25" s="14">
        <f>BD25*VLOOKUP('Données projet'!$B$11,Paramètres!$A$1:$I$89,3,0)*VLOOKUP('Données projet'!$B$11,Paramètres!$A$1:$I$89,5,0)</f>
        <v>138.73600000000005</v>
      </c>
      <c r="BF25" s="14">
        <f t="shared" si="37"/>
        <v>36.007288175538072</v>
      </c>
      <c r="BG25" s="22">
        <f t="shared" si="7"/>
        <v>304.34456023906222</v>
      </c>
      <c r="BH25" s="62">
        <f t="shared" si="8"/>
        <v>493.09066048344522</v>
      </c>
      <c r="BI25" s="62">
        <f ca="1">AVERAGE(OFFSET($BH$3,0,0,'Données projet'!$E$11+1,1))-AVERAGE(OFFSET($H$3,0,0,'Données projet'!$E$11+1,1))</f>
        <v>199.65420589615553</v>
      </c>
      <c r="BJ25" s="62">
        <f t="shared" si="38"/>
        <v>477.85821088970999</v>
      </c>
      <c r="BK25" s="16">
        <f>IF(ISNA(VLOOKUP(A25,'Données projet'!$A$87:$I$107,3,0)),0,VLOOKUP(A25,'Données projet'!$A$87:$I$107,3,0))</f>
        <v>3</v>
      </c>
      <c r="BL25" s="16">
        <f>IF(ISNA(VLOOKUP(A25,'Données projet'!$A$87:$I$107,4,0)),0,VLOOKUP(A25,'Données projet'!$A$87:$I$107,4,0))</f>
        <v>56</v>
      </c>
      <c r="BM25" s="17">
        <f>IF(ISNA(VLOOKUP(A25,'Données projet'!$A$87:$I$107,5,0)),0%,VLOOKUP(A25,'Données projet'!$A$87:$I$107,5,0)*VLOOKUP('Données projet'!$B$11,Paramètres!$A$1:$I$89,7,0))</f>
        <v>0.18000000000000002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0.6</v>
      </c>
      <c r="BP25" s="23">
        <f>EXP(-LN(2)/35)*BP24+(1-EXP(-LN(2)/35))/(LN(2)/35)*BL25*BM25*VLOOKUP('Données projet'!$B$11,Paramètres!$A$1:$I$89,3,0)*0.475*44/12</f>
        <v>10.776903573527015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27.586481865621199</v>
      </c>
      <c r="BS25" s="24">
        <f t="shared" si="9"/>
        <v>38.363385439148217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10</v>
      </c>
      <c r="BY25" s="13">
        <f>IF('Données projet'!$A$114&gt;35,BY24+BX25-CG24,IF(A25&lt;'Données projet'!$A$114,$BV$205^A25,IF(A25='Données projet'!$A$114,'Données projet'!$B$114,BY24+BX25-CG24)))</f>
        <v>76</v>
      </c>
      <c r="BZ25" s="14">
        <f>BY25*VLOOKUP('Données projet'!$B$12,Paramètres!$A$1:$I$89,3,0)*VLOOKUP('Données projet'!$B$12,Paramètres!$A$1:$I$89,5,0)</f>
        <v>45.448</v>
      </c>
      <c r="CA25" s="14">
        <f t="shared" si="39"/>
        <v>13.431735195887134</v>
      </c>
      <c r="CB25" s="22">
        <f t="shared" si="10"/>
        <v>102.54887213283676</v>
      </c>
      <c r="CC25" s="62">
        <f t="shared" si="11"/>
        <v>291.29497237721978</v>
      </c>
      <c r="CD25" s="62">
        <f ca="1">AVERAGE(OFFSET($CC$3,0,0,'Données projet'!$E$12+1,1))-AVERAGE(OFFSET($H$3,0,0,'Données projet'!$E$12+1,1))</f>
        <v>437.94016462147999</v>
      </c>
      <c r="CE25" s="62">
        <f t="shared" si="40"/>
        <v>281.88254003380348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1.0156123708812401</v>
      </c>
      <c r="CN25" s="24">
        <f t="shared" si="12"/>
        <v>1.0156123708812401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2.84</v>
      </c>
      <c r="CT25" s="13">
        <f>IF('Données projet'!$A$140&gt;35,CT24+CS25-DB24,IF(A25&lt;'Données projet'!$A$140,$CQ$205^A25,IF(A25='Données projet'!$A$140,'Données projet'!$B$140,CT24+CS25-DB24)))</f>
        <v>42.570362355521766</v>
      </c>
      <c r="CU25" s="18">
        <f>CT25*VLOOKUP('Données projet'!$B$13,Paramètres!$A$1:$I$89,3,0)*VLOOKUP('Données projet'!$B$13,Paramètres!$A$1:$I$89,5,0)</f>
        <v>48.479128650468184</v>
      </c>
      <c r="CV25" s="14">
        <f t="shared" si="41"/>
        <v>14.220284684155688</v>
      </c>
      <c r="CW25" s="22">
        <f t="shared" si="13"/>
        <v>109.20147822446989</v>
      </c>
      <c r="CX25" s="62">
        <f t="shared" si="14"/>
        <v>297.9475784688529</v>
      </c>
      <c r="CY25" s="62">
        <f ca="1">AVERAGE(OFFSET($CX$3,0,0,'Données projet'!$E$13+1,1))-AVERAGE(OFFSET($H$3,0,0,'Données projet'!$E$13+1,1))</f>
        <v>520.23742527061836</v>
      </c>
      <c r="CZ25" s="62">
        <f t="shared" si="42"/>
        <v>321.35925479331274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7.2</v>
      </c>
      <c r="DO25" s="13">
        <f>IF('Données projet'!$A$166&gt;35,DO24+DN25-DW24,IF(A25&lt;'Données projet'!$A$166,$DL$205^A25,IF(A25='Données projet'!$A$166,'Données projet'!$B$166,DO24+DN25-DW24)))</f>
        <v>81.400000000000006</v>
      </c>
      <c r="DP25" s="18">
        <f>DO25*VLOOKUP('Données projet'!$B$14,Paramètres!$A$1:$I$89,3,0)*VLOOKUP('Données projet'!$B$14,Paramètres!$A$1:$I$89,5,0)</f>
        <v>82.539600000000007</v>
      </c>
      <c r="DQ25" s="14">
        <f t="shared" si="43"/>
        <v>22.756995627482848</v>
      </c>
      <c r="DR25" s="22">
        <f t="shared" si="16"/>
        <v>183.39157071786599</v>
      </c>
      <c r="DS25" s="62">
        <f t="shared" si="17"/>
        <v>372.13767096224899</v>
      </c>
      <c r="DT25" s="62">
        <f ca="1">AVERAGE(OFFSET($DS$3,0,0,'Données projet'!$E$14+1,1))-AVERAGE(OFFSET($H$3,0,0,'Données projet'!$E$14+1,1))</f>
        <v>547.89540791313675</v>
      </c>
      <c r="DU25" s="62">
        <f t="shared" si="44"/>
        <v>345.19555189302378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13.8</v>
      </c>
      <c r="EJ25" s="13">
        <f>IF('Données projet'!$A$192&gt;35,EJ24+EI25-ER24,IF(A25&lt;'Données projet'!$A$192,$EG$205^A25,IF(A25='Données projet'!$A$192,'Données projet'!$B$192,EJ24+EI25-ER24)))</f>
        <v>121.60000000000001</v>
      </c>
      <c r="EK25" s="18">
        <f>EJ25*VLOOKUP('Données projet'!$B$15,Paramètres!$A$1:$I$89,3,0)*VLOOKUP('Données projet'!$B$15,Paramètres!$A$1:$I$89,5,0)</f>
        <v>127.09632000000002</v>
      </c>
      <c r="EL25" s="14">
        <f t="shared" si="45"/>
        <v>33.324524590112638</v>
      </c>
      <c r="EM25" s="22">
        <f t="shared" si="19"/>
        <v>279.39963766111288</v>
      </c>
      <c r="EN25" s="62">
        <f t="shared" si="20"/>
        <v>468.14573790549588</v>
      </c>
      <c r="EO25" s="62">
        <f ca="1">AVERAGE(OFFSET($EN$3,0,0,'Données projet'!$E$15+1,1))-AVERAGE(OFFSET($H$3,0,0,'Données projet'!$E$15+1,1))</f>
        <v>418.23737352070503</v>
      </c>
      <c r="EP25" s="62">
        <f t="shared" si="46"/>
        <v>496.10742685332968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4.3703703703703702</v>
      </c>
      <c r="FE25" s="13">
        <f>IF('Données projet'!$A$218&gt;35,FE24+FD25-FM24,IF(A25&lt;'Données projet'!$A$218,$FB$205^A25,IF(A25='Données projet'!$A$218,'Données projet'!$B$218,FE24+FD25-FM24)))</f>
        <v>48.775323004469058</v>
      </c>
      <c r="FF25" s="18">
        <f>FE25*VLOOKUP('Données projet'!$B$16,Paramètres!$A$1:$I$89,3,0)*VLOOKUP('Données projet'!$B$16,Paramètres!$A$1:$I$89,5,0)</f>
        <v>29.167643156672497</v>
      </c>
      <c r="FG25" s="14">
        <f t="shared" si="47"/>
        <v>9.0769279301265016</v>
      </c>
      <c r="FH25" s="22">
        <f t="shared" si="22"/>
        <v>66.60929464284159</v>
      </c>
      <c r="FI25" s="62">
        <f t="shared" si="23"/>
        <v>255.35539488722458</v>
      </c>
      <c r="FJ25" s="62">
        <f ca="1">AVERAGE(OFFSET($FI$3,0,0,'Données projet'!$E$16+1,1))-AVERAGE(OFFSET($H$3,0,0,'Données projet'!$E$16+1,1))</f>
        <v>341.70983624543067</v>
      </c>
      <c r="FK25" s="62">
        <f t="shared" si="48"/>
        <v>250.82562837973805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4.0333333333333332</v>
      </c>
      <c r="FZ25" s="13">
        <f>IF('Données projet'!$A$244&gt;35,FZ24+FY25-GH24,IF(A25&lt;'Données projet'!$A$244,$FW$205^A25,IF(A25='Données projet'!$A$244,'Données projet'!$B$244,FZ24+FY25-GH24)))</f>
        <v>33.680298992051981</v>
      </c>
      <c r="GA25" s="18">
        <f>FZ25*VLOOKUP('Données projet'!$B$17,Paramètres!$A$1:$I$89,3,0)*VLOOKUP('Données projet'!$B$17,Paramètres!$A$1:$I$89,5,0)</f>
        <v>15.762379928280327</v>
      </c>
      <c r="GB25" s="14">
        <f t="shared" si="49"/>
        <v>5.2695154194815341</v>
      </c>
      <c r="GC25" s="22">
        <f t="shared" si="25"/>
        <v>36.630551064018576</v>
      </c>
      <c r="GD25" s="62">
        <f t="shared" si="26"/>
        <v>225.37665130840156</v>
      </c>
      <c r="GE25" s="62">
        <f ca="1">AVERAGE(OFFSET($GD$3,0,0,'Données projet'!$E$17+1,1))-AVERAGE(OFFSET($H$3,0,0,'Données projet'!$E$17+1,1))</f>
        <v>368.69628434154333</v>
      </c>
      <c r="GF25" s="62">
        <f t="shared" si="50"/>
        <v>202.28197295839524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12.2</v>
      </c>
      <c r="GU25" s="13">
        <f>IF('Données projet'!$A$270&gt;35,GU24+GT25-HC24,IF(A25&lt;'Données projet'!$A$270,$GR$205^A25,IF(A25='Données projet'!$A$270,'Données projet'!$B$270,GU24+GT25-HC24)))</f>
        <v>106.39999999999999</v>
      </c>
      <c r="GV25" s="18">
        <f>GU25*VLOOKUP('Données projet'!$B$18,Paramètres!$A$1:$I$89,3,0)*VLOOKUP('Données projet'!$B$18,Paramètres!$A$1:$I$89,5,0)</f>
        <v>92.951040000000006</v>
      </c>
      <c r="GW25" s="14">
        <f t="shared" si="51"/>
        <v>25.275602869272223</v>
      </c>
      <c r="GX25" s="22">
        <f t="shared" si="28"/>
        <v>205.9114029973158</v>
      </c>
      <c r="GY25" s="62">
        <f t="shared" si="29"/>
        <v>394.65750324169881</v>
      </c>
      <c r="GZ25" s="62">
        <f ca="1">AVERAGE(OFFSET($GY$3,0,0,'Données projet'!$E$18+1,1))-AVERAGE(OFFSET($H$3,0,0,'Données projet'!$E$18+1,1))</f>
        <v>378.51861272969165</v>
      </c>
      <c r="HA25" s="62">
        <f t="shared" si="52"/>
        <v>387.42368617035459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135.66666666666666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10</v>
      </c>
      <c r="N26" s="14">
        <f>IF('Données projet'!$A$36&gt;35,N25+M26-V25,IF(A26&lt;'Données projet'!$A$36,$K$205^A26,IF(A26='Données projet'!$A$36,'Données projet'!$B$36,N25+M26-V25)))</f>
        <v>86</v>
      </c>
      <c r="O26" s="14">
        <f>N26*VLOOKUP('Données projet'!$B$9,Paramètres!$A$1:$I$89,3,0)*VLOOKUP('Données projet'!$B$9,Paramètres!$A$1:$I$89,5,0)</f>
        <v>51.428000000000004</v>
      </c>
      <c r="P26" s="14">
        <f t="shared" si="33"/>
        <v>14.981940313719676</v>
      </c>
      <c r="Q26" s="22">
        <f t="shared" si="2"/>
        <v>115.66397937972845</v>
      </c>
      <c r="R26" s="62">
        <f t="shared" si="0"/>
        <v>307.27703393379466</v>
      </c>
      <c r="S26" s="62">
        <f ca="1">AVERAGE(OFFSET($R$3,0,0,'Données projet'!$E$9+1,1))-AVERAGE(OFFSET($H$3,0,0,'Données projet'!$E$9+1,1))</f>
        <v>437.94016462147999</v>
      </c>
      <c r="T26" s="62">
        <f t="shared" si="34"/>
        <v>281.88254003380348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0.71814639450707185</v>
      </c>
      <c r="AC26" s="24">
        <f t="shared" si="3"/>
        <v>0.71814639450707185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2.84</v>
      </c>
      <c r="AI26" s="14">
        <f>IF('Données projet'!$A$62&gt;35,AI25+AH26-AQ25,IF(A26&lt;'Données projet'!$A$62,$AF$205^A26,IF(A26='Données projet'!$A$62,'Données projet'!$B$62,AI25+AH26-AQ25)))</f>
        <v>50.484455997861858</v>
      </c>
      <c r="AJ26" s="14">
        <f>AI26*VLOOKUP('Données projet'!$B$10,Paramètres!$A$1:$I$89,3,0)*VLOOKUP('Données projet'!$B$10,Paramètres!$A$1:$I$89,5,0)</f>
        <v>45.678335786865411</v>
      </c>
      <c r="AK26" s="14">
        <f t="shared" si="35"/>
        <v>13.491867326427556</v>
      </c>
      <c r="AL26" s="22">
        <f t="shared" si="4"/>
        <v>103.0547704223186</v>
      </c>
      <c r="AM26" s="62">
        <f t="shared" si="5"/>
        <v>294.66782497638485</v>
      </c>
      <c r="AN26" s="62">
        <f ca="1">AVERAGE(OFFSET($AM$3,0,0,'Données projet'!$E$10+1,1))-AVERAGE(OFFSET($H$3,0,0,'Données projet'!$E$10+1,1))</f>
        <v>434.56763649859136</v>
      </c>
      <c r="AO26" s="62">
        <f t="shared" si="36"/>
        <v>271.90302066766264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16.625</v>
      </c>
      <c r="BD26" s="13">
        <f>IF('Données projet'!$A$88&gt;35,BD25+BC26-BL25,IF(A26&lt;'Données projet'!$A$88,$BA$205^A26,IF(A26='Données projet'!$A$88,'Données projet'!$B$88,BD25+BC26-BL25)))</f>
        <v>192.62500000000009</v>
      </c>
      <c r="BE26" s="14">
        <f>BD26*VLOOKUP('Données projet'!$B$11,Paramètres!$A$1:$I$89,3,0)*VLOOKUP('Données projet'!$B$11,Paramètres!$A$1:$I$89,5,0)</f>
        <v>115.18975000000006</v>
      </c>
      <c r="BF26" s="14">
        <f t="shared" si="37"/>
        <v>30.550430193620951</v>
      </c>
      <c r="BG26" s="22">
        <f t="shared" si="7"/>
        <v>253.83081383722325</v>
      </c>
      <c r="BH26" s="62">
        <f t="shared" si="8"/>
        <v>445.44386839128947</v>
      </c>
      <c r="BI26" s="62">
        <f ca="1">AVERAGE(OFFSET($BH$3,0,0,'Données projet'!$E$11+1,1))-AVERAGE(OFFSET($H$3,0,0,'Données projet'!$E$11+1,1))</f>
        <v>199.65420589615553</v>
      </c>
      <c r="BJ26" s="62">
        <f t="shared" si="38"/>
        <v>477.85821088970999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10.565575067712274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19.506588396260472</v>
      </c>
      <c r="BS26" s="24">
        <f t="shared" si="9"/>
        <v>30.072163463972746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10</v>
      </c>
      <c r="BY26" s="13">
        <f>IF('Données projet'!$A$114&gt;35,BY25+BX26-CG25,IF(A26&lt;'Données projet'!$A$114,$BV$205^A26,IF(A26='Données projet'!$A$114,'Données projet'!$B$114,BY25+BX26-CG25)))</f>
        <v>86</v>
      </c>
      <c r="BZ26" s="14">
        <f>BY26*VLOOKUP('Données projet'!$B$12,Paramètres!$A$1:$I$89,3,0)*VLOOKUP('Données projet'!$B$12,Paramètres!$A$1:$I$89,5,0)</f>
        <v>51.428000000000004</v>
      </c>
      <c r="CA26" s="14">
        <f t="shared" si="39"/>
        <v>14.981940313719676</v>
      </c>
      <c r="CB26" s="22">
        <f t="shared" si="10"/>
        <v>115.66397937972845</v>
      </c>
      <c r="CC26" s="62">
        <f t="shared" si="11"/>
        <v>307.27703393379466</v>
      </c>
      <c r="CD26" s="62">
        <f ca="1">AVERAGE(OFFSET($CC$3,0,0,'Données projet'!$E$12+1,1))-AVERAGE(OFFSET($H$3,0,0,'Données projet'!$E$12+1,1))</f>
        <v>437.94016462147999</v>
      </c>
      <c r="CE26" s="62">
        <f t="shared" si="40"/>
        <v>281.88254003380348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0.71814639450707185</v>
      </c>
      <c r="CN26" s="24">
        <f t="shared" si="12"/>
        <v>0.71814639450707185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2.84</v>
      </c>
      <c r="CT26" s="13">
        <f>IF('Données projet'!$A$140&gt;35,CT25+CS26-DB25,IF(A26&lt;'Données projet'!$A$140,$CQ$205^A26,IF(A26='Données projet'!$A$140,'Données projet'!$B$140,CT25+CS26-DB25)))</f>
        <v>50.484455997861858</v>
      </c>
      <c r="CU26" s="18">
        <f>CT26*VLOOKUP('Données projet'!$B$13,Paramètres!$A$1:$I$89,3,0)*VLOOKUP('Données projet'!$B$13,Paramètres!$A$1:$I$89,5,0)</f>
        <v>57.491698490365089</v>
      </c>
      <c r="CV26" s="14">
        <f t="shared" si="41"/>
        <v>16.532524156727764</v>
      </c>
      <c r="CW26" s="22">
        <f t="shared" si="13"/>
        <v>128.9255211103534</v>
      </c>
      <c r="CX26" s="62">
        <f t="shared" si="14"/>
        <v>320.53857566441962</v>
      </c>
      <c r="CY26" s="62">
        <f ca="1">AVERAGE(OFFSET($CX$3,0,0,'Données projet'!$E$13+1,1))-AVERAGE(OFFSET($H$3,0,0,'Données projet'!$E$13+1,1))</f>
        <v>520.23742527061836</v>
      </c>
      <c r="CZ26" s="62">
        <f t="shared" si="42"/>
        <v>321.35925479331274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7.2</v>
      </c>
      <c r="DO26" s="13">
        <f>IF('Données projet'!$A$166&gt;35,DO25+DN26-DW25,IF(A26&lt;'Données projet'!$A$166,$DL$205^A26,IF(A26='Données projet'!$A$166,'Données projet'!$B$166,DO25+DN26-DW25)))</f>
        <v>88.600000000000009</v>
      </c>
      <c r="DP26" s="18">
        <f>DO26*VLOOKUP('Données projet'!$B$14,Paramètres!$A$1:$I$89,3,0)*VLOOKUP('Données projet'!$B$14,Paramètres!$A$1:$I$89,5,0)</f>
        <v>89.840400000000017</v>
      </c>
      <c r="DQ26" s="14">
        <f t="shared" si="43"/>
        <v>24.526729341796202</v>
      </c>
      <c r="DR26" s="22">
        <f t="shared" si="16"/>
        <v>199.18941693696172</v>
      </c>
      <c r="DS26" s="62">
        <f t="shared" si="17"/>
        <v>390.80247149102797</v>
      </c>
      <c r="DT26" s="62">
        <f ca="1">AVERAGE(OFFSET($DS$3,0,0,'Données projet'!$E$14+1,1))-AVERAGE(OFFSET($H$3,0,0,'Données projet'!$E$14+1,1))</f>
        <v>547.89540791313675</v>
      </c>
      <c r="DU26" s="62">
        <f t="shared" si="44"/>
        <v>345.19555189302378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13.8</v>
      </c>
      <c r="EJ26" s="13">
        <f>IF('Données projet'!$A$192&gt;35,EJ25+EI26-ER25,IF(A26&lt;'Données projet'!$A$192,$EG$205^A26,IF(A26='Données projet'!$A$192,'Données projet'!$B$192,EJ25+EI26-ER25)))</f>
        <v>135.4</v>
      </c>
      <c r="EK26" s="18">
        <f>EJ26*VLOOKUP('Données projet'!$B$15,Paramètres!$A$1:$I$89,3,0)*VLOOKUP('Données projet'!$B$15,Paramètres!$A$1:$I$89,5,0)</f>
        <v>141.52008000000001</v>
      </c>
      <c r="EL26" s="14">
        <f t="shared" si="45"/>
        <v>36.645015308895196</v>
      </c>
      <c r="EM26" s="22">
        <f t="shared" si="19"/>
        <v>310.3042076629925</v>
      </c>
      <c r="EN26" s="62">
        <f t="shared" si="20"/>
        <v>501.91726221705869</v>
      </c>
      <c r="EO26" s="62">
        <f ca="1">AVERAGE(OFFSET($EN$3,0,0,'Données projet'!$E$15+1,1))-AVERAGE(OFFSET($H$3,0,0,'Données projet'!$E$15+1,1))</f>
        <v>418.23737352070503</v>
      </c>
      <c r="EP26" s="62">
        <f t="shared" si="46"/>
        <v>496.10742685332968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4.3703703703703702</v>
      </c>
      <c r="FE26" s="13">
        <f>IF('Données projet'!$A$218&gt;35,FE25+FD26-FM25,IF(A26&lt;'Données projet'!$A$218,$FB$205^A26,IF(A26='Données projet'!$A$218,'Données projet'!$B$218,FE25+FD26-FM25)))</f>
        <v>58.201814542189823</v>
      </c>
      <c r="FF26" s="18">
        <f>FE26*VLOOKUP('Données projet'!$B$16,Paramètres!$A$1:$I$89,3,0)*VLOOKUP('Données projet'!$B$16,Paramètres!$A$1:$I$89,5,0)</f>
        <v>34.804685096229512</v>
      </c>
      <c r="FG26" s="14">
        <f t="shared" si="47"/>
        <v>10.610678220189007</v>
      </c>
      <c r="FH26" s="22">
        <f t="shared" si="22"/>
        <v>79.098424442762266</v>
      </c>
      <c r="FI26" s="62">
        <f t="shared" si="23"/>
        <v>270.71147899682848</v>
      </c>
      <c r="FJ26" s="62">
        <f ca="1">AVERAGE(OFFSET($FI$3,0,0,'Données projet'!$E$16+1,1))-AVERAGE(OFFSET($H$3,0,0,'Données projet'!$E$16+1,1))</f>
        <v>341.70983624543067</v>
      </c>
      <c r="FK26" s="62">
        <f t="shared" si="48"/>
        <v>250.82562837973805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4.0333333333333332</v>
      </c>
      <c r="FZ26" s="13">
        <f>IF('Données projet'!$A$244&gt;35,FZ25+FY26-GH25,IF(A26&lt;'Données projet'!$A$244,$FW$205^A26,IF(A26='Données projet'!$A$244,'Données projet'!$B$244,FZ25+FY26-GH25)))</f>
        <v>39.518651550988245</v>
      </c>
      <c r="GA26" s="18">
        <f>FZ26*VLOOKUP('Données projet'!$B$17,Paramètres!$A$1:$I$89,3,0)*VLOOKUP('Données projet'!$B$17,Paramètres!$A$1:$I$89,5,0)</f>
        <v>18.4947289258625</v>
      </c>
      <c r="GB26" s="14">
        <f t="shared" si="49"/>
        <v>6.0689792334081645</v>
      </c>
      <c r="GC26" s="22">
        <f t="shared" si="25"/>
        <v>42.781791710729742</v>
      </c>
      <c r="GD26" s="62">
        <f t="shared" si="26"/>
        <v>234.39484626479597</v>
      </c>
      <c r="GE26" s="62">
        <f ca="1">AVERAGE(OFFSET($GD$3,0,0,'Données projet'!$E$17+1,1))-AVERAGE(OFFSET($H$3,0,0,'Données projet'!$E$17+1,1))</f>
        <v>368.69628434154333</v>
      </c>
      <c r="GF26" s="62">
        <f t="shared" si="50"/>
        <v>202.28197295839524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12.2</v>
      </c>
      <c r="GU26" s="13">
        <f>IF('Données projet'!$A$270&gt;35,GU25+GT26-HC25,IF(A26&lt;'Données projet'!$A$270,$GR$205^A26,IF(A26='Données projet'!$A$270,'Données projet'!$B$270,GU25+GT26-HC25)))</f>
        <v>118.6</v>
      </c>
      <c r="GV26" s="18">
        <f>GU26*VLOOKUP('Données projet'!$B$18,Paramètres!$A$1:$I$89,3,0)*VLOOKUP('Données projet'!$B$18,Paramètres!$A$1:$I$89,5,0)</f>
        <v>103.60896</v>
      </c>
      <c r="GW26" s="14">
        <f t="shared" si="51"/>
        <v>27.820000397643376</v>
      </c>
      <c r="GX26" s="22">
        <f t="shared" si="28"/>
        <v>228.90543935922889</v>
      </c>
      <c r="GY26" s="62">
        <f t="shared" si="29"/>
        <v>420.51849391329512</v>
      </c>
      <c r="GZ26" s="62">
        <f ca="1">AVERAGE(OFFSET($GY$3,0,0,'Données projet'!$E$18+1,1))-AVERAGE(OFFSET($H$3,0,0,'Données projet'!$E$18+1,1))</f>
        <v>378.51861272969165</v>
      </c>
      <c r="HA26" s="62">
        <f t="shared" si="52"/>
        <v>387.42368617035459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135.66666666666666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10</v>
      </c>
      <c r="N27" s="14">
        <f>IF('Données projet'!$A$36&gt;35,N26+M27-V26,IF(A27&lt;'Données projet'!$A$36,$K$205^A27,IF(A27='Données projet'!$A$36,'Données projet'!$B$36,N26+M27-V26)))</f>
        <v>96</v>
      </c>
      <c r="O27" s="14">
        <f>N27*VLOOKUP('Données projet'!$B$9,Paramètres!$A$1:$I$89,3,0)*VLOOKUP('Données projet'!$B$9,Paramètres!$A$1:$I$89,5,0)</f>
        <v>57.408000000000008</v>
      </c>
      <c r="P27" s="14">
        <f t="shared" si="33"/>
        <v>16.511255298579947</v>
      </c>
      <c r="Q27" s="22">
        <f t="shared" si="2"/>
        <v>128.74270297836009</v>
      </c>
      <c r="R27" s="62">
        <f t="shared" si="0"/>
        <v>323.19417941746218</v>
      </c>
      <c r="S27" s="62">
        <f ca="1">AVERAGE(OFFSET($R$3,0,0,'Données projet'!$E$9+1,1))-AVERAGE(OFFSET($H$3,0,0,'Données projet'!$E$9+1,1))</f>
        <v>437.94016462147999</v>
      </c>
      <c r="T27" s="62">
        <f t="shared" si="34"/>
        <v>281.88254003380348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0.50780618544062017</v>
      </c>
      <c r="AC27" s="24">
        <f t="shared" si="3"/>
        <v>0.50780618544062017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2.84</v>
      </c>
      <c r="AI27" s="14">
        <f>IF('Données projet'!$A$62&gt;35,AI26+AH27-AQ26,IF(A27&lt;'Données projet'!$A$62,$AF$205^A27,IF(A27='Données projet'!$A$62,'Données projet'!$B$62,AI26+AH27-AQ26)))</f>
        <v>59.869828593776646</v>
      </c>
      <c r="AJ27" s="14">
        <f>AI27*VLOOKUP('Données projet'!$B$10,Paramètres!$A$1:$I$89,3,0)*VLOOKUP('Données projet'!$B$10,Paramètres!$A$1:$I$89,5,0)</f>
        <v>54.17022091164911</v>
      </c>
      <c r="AK27" s="14">
        <f t="shared" si="35"/>
        <v>15.685665051562438</v>
      </c>
      <c r="AL27" s="22">
        <f t="shared" si="4"/>
        <v>121.66566805259345</v>
      </c>
      <c r="AM27" s="62">
        <f t="shared" si="5"/>
        <v>316.11714449169551</v>
      </c>
      <c r="AN27" s="62">
        <f ca="1">AVERAGE(OFFSET($AM$3,0,0,'Données projet'!$E$10+1,1))-AVERAGE(OFFSET($H$3,0,0,'Données projet'!$E$10+1,1))</f>
        <v>434.56763649859136</v>
      </c>
      <c r="AO27" s="62">
        <f t="shared" si="36"/>
        <v>271.90302066766264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16.625</v>
      </c>
      <c r="BD27" s="13">
        <f>IF('Données projet'!$A$88&gt;35,BD26+BC27-BL26,IF(A27&lt;'Données projet'!$A$88,$BA$205^A27,IF(A27='Données projet'!$A$88,'Données projet'!$B$88,BD26+BC27-BL26)))</f>
        <v>209.25000000000009</v>
      </c>
      <c r="BE27" s="14">
        <f>BD27*VLOOKUP('Données projet'!$B$11,Paramètres!$A$1:$I$89,3,0)*VLOOKUP('Données projet'!$B$11,Paramètres!$A$1:$I$89,5,0)</f>
        <v>125.13150000000006</v>
      </c>
      <c r="BF27" s="14">
        <f t="shared" si="37"/>
        <v>32.868905092404546</v>
      </c>
      <c r="BG27" s="22">
        <f t="shared" si="7"/>
        <v>275.18403886927132</v>
      </c>
      <c r="BH27" s="62">
        <f t="shared" si="8"/>
        <v>469.63551530837344</v>
      </c>
      <c r="BI27" s="62">
        <f ca="1">AVERAGE(OFFSET($BH$3,0,0,'Données projet'!$E$11+1,1))-AVERAGE(OFFSET($H$3,0,0,'Données projet'!$E$11+1,1))</f>
        <v>199.65420589615553</v>
      </c>
      <c r="BJ27" s="62">
        <f t="shared" si="38"/>
        <v>477.85821088970999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10.358390584998899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13.793240932810601</v>
      </c>
      <c r="BS27" s="24">
        <f t="shared" si="9"/>
        <v>24.151631517809498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10</v>
      </c>
      <c r="BY27" s="13">
        <f>IF('Données projet'!$A$114&gt;35,BY26+BX27-CG26,IF(A27&lt;'Données projet'!$A$114,$BV$205^A27,IF(A27='Données projet'!$A$114,'Données projet'!$B$114,BY26+BX27-CG26)))</f>
        <v>96</v>
      </c>
      <c r="BZ27" s="14">
        <f>BY27*VLOOKUP('Données projet'!$B$12,Paramètres!$A$1:$I$89,3,0)*VLOOKUP('Données projet'!$B$12,Paramètres!$A$1:$I$89,5,0)</f>
        <v>57.408000000000008</v>
      </c>
      <c r="CA27" s="14">
        <f t="shared" si="39"/>
        <v>16.511255298579947</v>
      </c>
      <c r="CB27" s="22">
        <f t="shared" si="10"/>
        <v>128.74270297836009</v>
      </c>
      <c r="CC27" s="62">
        <f t="shared" si="11"/>
        <v>323.19417941746218</v>
      </c>
      <c r="CD27" s="62">
        <f ca="1">AVERAGE(OFFSET($CC$3,0,0,'Données projet'!$E$12+1,1))-AVERAGE(OFFSET($H$3,0,0,'Données projet'!$E$12+1,1))</f>
        <v>437.94016462147999</v>
      </c>
      <c r="CE27" s="62">
        <f t="shared" si="40"/>
        <v>281.88254003380348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0.50780618544062017</v>
      </c>
      <c r="CN27" s="24">
        <f t="shared" si="12"/>
        <v>0.50780618544062017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2.84</v>
      </c>
      <c r="CT27" s="13">
        <f>IF('Données projet'!$A$140&gt;35,CT26+CS27-DB26,IF(A27&lt;'Données projet'!$A$140,$CQ$205^A27,IF(A27='Données projet'!$A$140,'Données projet'!$B$140,CT26+CS27-DB26)))</f>
        <v>59.869828593776646</v>
      </c>
      <c r="CU27" s="18">
        <f>CT27*VLOOKUP('Données projet'!$B$13,Paramètres!$A$1:$I$89,3,0)*VLOOKUP('Données projet'!$B$13,Paramètres!$A$1:$I$89,5,0)</f>
        <v>68.179760802592838</v>
      </c>
      <c r="CV27" s="14">
        <f t="shared" si="41"/>
        <v>19.220737211915747</v>
      </c>
      <c r="CW27" s="22">
        <f t="shared" si="13"/>
        <v>152.22253404193577</v>
      </c>
      <c r="CX27" s="62">
        <f t="shared" si="14"/>
        <v>346.67401048103784</v>
      </c>
      <c r="CY27" s="62">
        <f ca="1">AVERAGE(OFFSET($CX$3,0,0,'Données projet'!$E$13+1,1))-AVERAGE(OFFSET($H$3,0,0,'Données projet'!$E$13+1,1))</f>
        <v>520.23742527061836</v>
      </c>
      <c r="CZ27" s="62">
        <f t="shared" si="42"/>
        <v>321.35925479331274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7.2</v>
      </c>
      <c r="DO27" s="13">
        <f>IF('Données projet'!$A$166&gt;35,DO26+DN27-DW26,IF(A27&lt;'Données projet'!$A$166,$DL$205^A27,IF(A27='Données projet'!$A$166,'Données projet'!$B$166,DO26+DN27-DW26)))</f>
        <v>95.800000000000011</v>
      </c>
      <c r="DP27" s="18">
        <f>DO27*VLOOKUP('Données projet'!$B$14,Paramètres!$A$1:$I$89,3,0)*VLOOKUP('Données projet'!$B$14,Paramètres!$A$1:$I$89,5,0)</f>
        <v>97.141200000000026</v>
      </c>
      <c r="DQ27" s="14">
        <f t="shared" si="43"/>
        <v>26.279782450761708</v>
      </c>
      <c r="DR27" s="22">
        <f t="shared" si="16"/>
        <v>214.95821110174333</v>
      </c>
      <c r="DS27" s="62">
        <f t="shared" si="17"/>
        <v>409.40968754084543</v>
      </c>
      <c r="DT27" s="62">
        <f ca="1">AVERAGE(OFFSET($DS$3,0,0,'Données projet'!$E$14+1,1))-AVERAGE(OFFSET($H$3,0,0,'Données projet'!$E$14+1,1))</f>
        <v>547.89540791313675</v>
      </c>
      <c r="DU27" s="62">
        <f t="shared" si="44"/>
        <v>345.19555189302378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13.8</v>
      </c>
      <c r="EJ27" s="13">
        <f>IF('Données projet'!$A$192&gt;35,EJ26+EI27-ER26,IF(A27&lt;'Données projet'!$A$192,$EG$205^A27,IF(A27='Données projet'!$A$192,'Données projet'!$B$192,EJ26+EI27-ER26)))</f>
        <v>149.20000000000002</v>
      </c>
      <c r="EK27" s="18">
        <f>EJ27*VLOOKUP('Données projet'!$B$15,Paramètres!$A$1:$I$89,3,0)*VLOOKUP('Données projet'!$B$15,Paramètres!$A$1:$I$89,5,0)</f>
        <v>155.94384000000002</v>
      </c>
      <c r="EL27" s="14">
        <f t="shared" si="45"/>
        <v>39.926274451636601</v>
      </c>
      <c r="EM27" s="22">
        <f t="shared" si="19"/>
        <v>341.1404493366004</v>
      </c>
      <c r="EN27" s="62">
        <f t="shared" si="20"/>
        <v>535.59192577570252</v>
      </c>
      <c r="EO27" s="62">
        <f ca="1">AVERAGE(OFFSET($EN$3,0,0,'Données projet'!$E$15+1,1))-AVERAGE(OFFSET($H$3,0,0,'Données projet'!$E$15+1,1))</f>
        <v>418.23737352070503</v>
      </c>
      <c r="EP27" s="62">
        <f t="shared" si="46"/>
        <v>496.10742685332968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4.3703703703703702</v>
      </c>
      <c r="FE27" s="13">
        <f>IF('Données projet'!$A$218&gt;35,FE26+FD27-FM26,IF(A27&lt;'Données projet'!$A$218,$FB$205^A27,IF(A27='Données projet'!$A$218,'Données projet'!$B$218,FE26+FD27-FM26)))</f>
        <v>69.450103194459274</v>
      </c>
      <c r="FF27" s="18">
        <f>FE27*VLOOKUP('Données projet'!$B$16,Paramètres!$A$1:$I$89,3,0)*VLOOKUP('Données projet'!$B$16,Paramètres!$A$1:$I$89,5,0)</f>
        <v>41.531161710286646</v>
      </c>
      <c r="FG27" s="14">
        <f t="shared" si="47"/>
        <v>12.40358997659513</v>
      </c>
      <c r="FH27" s="22">
        <f t="shared" si="22"/>
        <v>93.936359187985758</v>
      </c>
      <c r="FI27" s="62">
        <f t="shared" si="23"/>
        <v>288.38783562708784</v>
      </c>
      <c r="FJ27" s="62">
        <f ca="1">AVERAGE(OFFSET($FI$3,0,0,'Données projet'!$E$16+1,1))-AVERAGE(OFFSET($H$3,0,0,'Données projet'!$E$16+1,1))</f>
        <v>341.70983624543067</v>
      </c>
      <c r="FK27" s="62">
        <f t="shared" si="48"/>
        <v>250.82562837973805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4.0333333333333332</v>
      </c>
      <c r="FZ27" s="13">
        <f>IF('Données projet'!$A$244&gt;35,FZ26+FY27-GH26,IF(A27&lt;'Données projet'!$A$244,$FW$205^A27,IF(A27='Données projet'!$A$244,'Données projet'!$B$244,FZ26+FY27-GH26)))</f>
        <v>46.369060464010957</v>
      </c>
      <c r="GA27" s="18">
        <f>FZ27*VLOOKUP('Données projet'!$B$17,Paramètres!$A$1:$I$89,3,0)*VLOOKUP('Données projet'!$B$17,Paramètres!$A$1:$I$89,5,0)</f>
        <v>21.700720297157126</v>
      </c>
      <c r="GB27" s="14">
        <f t="shared" si="49"/>
        <v>6.9897335909424978</v>
      </c>
      <c r="GC27" s="22">
        <f t="shared" si="25"/>
        <v>49.96920718844018</v>
      </c>
      <c r="GD27" s="62">
        <f t="shared" si="26"/>
        <v>244.42068362754227</v>
      </c>
      <c r="GE27" s="62">
        <f ca="1">AVERAGE(OFFSET($GD$3,0,0,'Données projet'!$E$17+1,1))-AVERAGE(OFFSET($H$3,0,0,'Données projet'!$E$17+1,1))</f>
        <v>368.69628434154333</v>
      </c>
      <c r="GF27" s="62">
        <f t="shared" si="50"/>
        <v>202.28197295839524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12.2</v>
      </c>
      <c r="GU27" s="13">
        <f>IF('Données projet'!$A$270&gt;35,GU26+GT27-HC26,IF(A27&lt;'Données projet'!$A$270,$GR$205^A27,IF(A27='Données projet'!$A$270,'Données projet'!$B$270,GU26+GT27-HC26)))</f>
        <v>130.79999999999998</v>
      </c>
      <c r="GV27" s="18">
        <f>GU27*VLOOKUP('Données projet'!$B$18,Paramètres!$A$1:$I$89,3,0)*VLOOKUP('Données projet'!$B$18,Paramètres!$A$1:$I$89,5,0)</f>
        <v>114.26687999999999</v>
      </c>
      <c r="GW27" s="14">
        <f t="shared" si="51"/>
        <v>30.334057329879929</v>
      </c>
      <c r="GX27" s="22">
        <f t="shared" si="28"/>
        <v>251.84663251620748</v>
      </c>
      <c r="GY27" s="62">
        <f t="shared" si="29"/>
        <v>446.29810895530954</v>
      </c>
      <c r="GZ27" s="62">
        <f ca="1">AVERAGE(OFFSET($GY$3,0,0,'Données projet'!$E$18+1,1))-AVERAGE(OFFSET($H$3,0,0,'Données projet'!$E$18+1,1))</f>
        <v>378.51861272969165</v>
      </c>
      <c r="HA27" s="62">
        <f t="shared" si="52"/>
        <v>387.42368617035459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135.66666666666666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10</v>
      </c>
      <c r="N28" s="14">
        <f>IF('Données projet'!$A$36&gt;35,N27+M28-V27,IF(A28&lt;'Données projet'!$A$36,$K$205^A28,IF(A28='Données projet'!$A$36,'Données projet'!$B$36,N27+M28-V27)))</f>
        <v>106</v>
      </c>
      <c r="O28" s="14">
        <f>N28*VLOOKUP('Données projet'!$B$9,Paramètres!$A$1:$I$89,3,0)*VLOOKUP('Données projet'!$B$9,Paramètres!$A$1:$I$89,5,0)</f>
        <v>63.388000000000012</v>
      </c>
      <c r="P28" s="14">
        <f t="shared" si="33"/>
        <v>18.022104085041263</v>
      </c>
      <c r="Q28" s="22">
        <f t="shared" si="2"/>
        <v>141.78926461478019</v>
      </c>
      <c r="R28" s="62">
        <f t="shared" si="0"/>
        <v>339.05112548804948</v>
      </c>
      <c r="S28" s="62">
        <f ca="1">AVERAGE(OFFSET($R$3,0,0,'Données projet'!$E$9+1,1))-AVERAGE(OFFSET($H$3,0,0,'Données projet'!$E$9+1,1))</f>
        <v>437.94016462147999</v>
      </c>
      <c r="T28" s="62">
        <f t="shared" si="34"/>
        <v>281.88254003380348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0.35907319725353598</v>
      </c>
      <c r="AC28" s="24">
        <f t="shared" si="3"/>
        <v>0.35907319725353598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71</v>
      </c>
      <c r="AG28" s="13">
        <f>VLOOKUP(A28,'Données projet'!$A$61:$I$81,9,0)</f>
        <v>2.84</v>
      </c>
      <c r="AH28" s="13">
        <f t="array" ref="AH28">INDEX(AG:AG,MIN(IF(ISNUMBER(AG28:AG224),ROW(AG28:AG224),"")))</f>
        <v>2.84</v>
      </c>
      <c r="AI28" s="14">
        <f>IF('Données projet'!$A$62&gt;35,AI27+AH28-AQ27,IF(A28&lt;'Données projet'!$A$62,$AF$205^A28,IF(A28='Données projet'!$A$62,'Données projet'!$B$62,AI27+AH28-AQ27)))</f>
        <v>71</v>
      </c>
      <c r="AJ28" s="14">
        <f>AI28*VLOOKUP('Données projet'!$B$10,Paramètres!$A$1:$I$89,3,0)*VLOOKUP('Données projet'!$B$10,Paramètres!$A$1:$I$89,5,0)</f>
        <v>64.240800000000007</v>
      </c>
      <c r="AK28" s="14">
        <f t="shared" si="35"/>
        <v>18.236177554745847</v>
      </c>
      <c r="AL28" s="22">
        <f t="shared" si="4"/>
        <v>143.6474025745157</v>
      </c>
      <c r="AM28" s="62">
        <f t="shared" si="5"/>
        <v>340.90926344778495</v>
      </c>
      <c r="AN28" s="62">
        <f ca="1">AVERAGE(OFFSET($AM$3,0,0,'Données projet'!$E$10+1,1))-AVERAGE(OFFSET($H$3,0,0,'Données projet'!$E$10+1,1))</f>
        <v>434.56763649859136</v>
      </c>
      <c r="AO28" s="62">
        <f t="shared" si="36"/>
        <v>271.90302066766264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16.625</v>
      </c>
      <c r="BD28" s="13">
        <f>IF('Données projet'!$A$88&gt;35,BD27+BC28-BL27,IF(A28&lt;'Données projet'!$A$88,$BA$205^A28,IF(A28='Données projet'!$A$88,'Données projet'!$B$88,BD27+BC28-BL27)))</f>
        <v>225.87500000000009</v>
      </c>
      <c r="BE28" s="14">
        <f>BD28*VLOOKUP('Données projet'!$B$11,Paramètres!$A$1:$I$89,3,0)*VLOOKUP('Données projet'!$B$11,Paramètres!$A$1:$I$89,5,0)</f>
        <v>135.07325000000006</v>
      </c>
      <c r="BF28" s="14">
        <f t="shared" si="37"/>
        <v>35.166013795582487</v>
      </c>
      <c r="BG28" s="22">
        <f t="shared" si="7"/>
        <v>296.50005111063956</v>
      </c>
      <c r="BH28" s="62">
        <f t="shared" si="8"/>
        <v>493.76191198390882</v>
      </c>
      <c r="BI28" s="62">
        <f ca="1">AVERAGE(OFFSET($BH$3,0,0,'Données projet'!$E$11+1,1))-AVERAGE(OFFSET($H$3,0,0,'Données projet'!$E$11+1,1))</f>
        <v>199.65420589615553</v>
      </c>
      <c r="BJ28" s="62">
        <f t="shared" si="38"/>
        <v>477.85821088970999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10.155268863621478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9.7532941981302379</v>
      </c>
      <c r="BS28" s="24">
        <f t="shared" si="9"/>
        <v>19.908563061751714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10</v>
      </c>
      <c r="BY28" s="13">
        <f>IF('Données projet'!$A$114&gt;35,BY27+BX28-CG27,IF(A28&lt;'Données projet'!$A$114,$BV$205^A28,IF(A28='Données projet'!$A$114,'Données projet'!$B$114,BY27+BX28-CG27)))</f>
        <v>106</v>
      </c>
      <c r="BZ28" s="14">
        <f>BY28*VLOOKUP('Données projet'!$B$12,Paramètres!$A$1:$I$89,3,0)*VLOOKUP('Données projet'!$B$12,Paramètres!$A$1:$I$89,5,0)</f>
        <v>63.388000000000012</v>
      </c>
      <c r="CA28" s="14">
        <f t="shared" si="39"/>
        <v>18.022104085041263</v>
      </c>
      <c r="CB28" s="22">
        <f t="shared" si="10"/>
        <v>141.78926461478019</v>
      </c>
      <c r="CC28" s="62">
        <f t="shared" si="11"/>
        <v>339.05112548804948</v>
      </c>
      <c r="CD28" s="62">
        <f ca="1">AVERAGE(OFFSET($CC$3,0,0,'Données projet'!$E$12+1,1))-AVERAGE(OFFSET($H$3,0,0,'Données projet'!$E$12+1,1))</f>
        <v>437.94016462147999</v>
      </c>
      <c r="CE28" s="62">
        <f t="shared" si="40"/>
        <v>281.88254003380348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0.35907319725353598</v>
      </c>
      <c r="CN28" s="24">
        <f t="shared" si="12"/>
        <v>0.35907319725353598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71</v>
      </c>
      <c r="CR28" s="13">
        <f>VLOOKUP(A28,'Données projet'!$A$139:$I$159,9,0)</f>
        <v>2.84</v>
      </c>
      <c r="CS28" s="13">
        <f t="array" ref="CS28">INDEX(CR:CR,MIN(IF(ISNUMBER(CR28:CR224),ROW(CR28:CR224),"")))</f>
        <v>2.84</v>
      </c>
      <c r="CT28" s="13">
        <f>IF('Données projet'!$A$140&gt;35,CT27+CS28-DB27,IF(A28&lt;'Données projet'!$A$140,$CQ$205^A28,IF(A28='Données projet'!$A$140,'Données projet'!$B$140,CT27+CS28-DB27)))</f>
        <v>71</v>
      </c>
      <c r="CU28" s="18">
        <f>CT28*VLOOKUP('Données projet'!$B$13,Paramètres!$A$1:$I$89,3,0)*VLOOKUP('Données projet'!$B$13,Paramètres!$A$1:$I$89,5,0)</f>
        <v>80.854799999999997</v>
      </c>
      <c r="CV28" s="14">
        <f t="shared" si="41"/>
        <v>22.346057714313609</v>
      </c>
      <c r="CW28" s="22">
        <f t="shared" si="13"/>
        <v>179.7414938524295</v>
      </c>
      <c r="CX28" s="62">
        <f t="shared" si="14"/>
        <v>377.00335472569878</v>
      </c>
      <c r="CY28" s="62">
        <f ca="1">AVERAGE(OFFSET($CX$3,0,0,'Données projet'!$E$13+1,1))-AVERAGE(OFFSET($H$3,0,0,'Données projet'!$E$13+1,1))</f>
        <v>520.23742527061836</v>
      </c>
      <c r="CZ28" s="62">
        <f t="shared" si="42"/>
        <v>321.35925479331274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8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103</v>
      </c>
      <c r="DM28" s="13">
        <f>VLOOKUP(A28,'Données projet'!$A$165:$I$185,9,0)</f>
        <v>7.2</v>
      </c>
      <c r="DN28" s="13">
        <f t="array" ref="DN28">INDEX(DM:DM,MIN(IF(ISNUMBER(DM28:DM224),ROW(DM28:DM224),"")))</f>
        <v>7.2</v>
      </c>
      <c r="DO28" s="13">
        <f>IF('Données projet'!$A$166&gt;35,DO27+DN28-DW27,IF(A28&lt;'Données projet'!$A$166,$DL$205^A28,IF(A28='Données projet'!$A$166,'Données projet'!$B$166,DO27+DN28-DW27)))</f>
        <v>103.00000000000001</v>
      </c>
      <c r="DP28" s="18">
        <f>DO28*VLOOKUP('Données projet'!$B$14,Paramètres!$A$1:$I$89,3,0)*VLOOKUP('Données projet'!$B$14,Paramètres!$A$1:$I$89,5,0)</f>
        <v>104.44200000000004</v>
      </c>
      <c r="DQ28" s="14">
        <f t="shared" si="43"/>
        <v>28.01755116176631</v>
      </c>
      <c r="DR28" s="22">
        <f t="shared" si="16"/>
        <v>230.70038494007636</v>
      </c>
      <c r="DS28" s="62">
        <f t="shared" si="17"/>
        <v>427.96224581334565</v>
      </c>
      <c r="DT28" s="62">
        <f ca="1">AVERAGE(OFFSET($DS$3,0,0,'Données projet'!$E$14+1,1))-AVERAGE(OFFSET($H$3,0,0,'Données projet'!$E$14+1,1))</f>
        <v>547.89540791313675</v>
      </c>
      <c r="DU28" s="62">
        <f t="shared" si="44"/>
        <v>345.19555189302378</v>
      </c>
      <c r="DV28" s="16">
        <f>IF(ISNA(VLOOKUP(A28,'Données projet'!$A$165:$I$185,3,0)),0,VLOOKUP(A28,'Données projet'!$A$165:$I$185,3,0))</f>
        <v>2</v>
      </c>
      <c r="DW28" s="16">
        <f>IF(ISNA(VLOOKUP(A28,'Données projet'!$A$165:$I$185,4,0)),0,VLOOKUP(A28,'Données projet'!$A$165:$I$185,4,0))</f>
        <v>28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163</v>
      </c>
      <c r="EH28" s="13">
        <f>VLOOKUP(A28,'Données projet'!$A$191:$I$211,9,0)</f>
        <v>13.8</v>
      </c>
      <c r="EI28" s="13">
        <f t="array" ref="EI28">INDEX(EH:EH,MIN(IF(ISNUMBER(EH28:EH224),ROW(EH28:EH224),"")))</f>
        <v>13.8</v>
      </c>
      <c r="EJ28" s="13">
        <f>IF('Données projet'!$A$192&gt;35,EJ27+EI28-ER27,IF(A28&lt;'Données projet'!$A$192,$EG$205^A28,IF(A28='Données projet'!$A$192,'Données projet'!$B$192,EJ27+EI28-ER27)))</f>
        <v>163.00000000000003</v>
      </c>
      <c r="EK28" s="18">
        <f>EJ28*VLOOKUP('Données projet'!$B$15,Paramètres!$A$1:$I$89,3,0)*VLOOKUP('Données projet'!$B$15,Paramètres!$A$1:$I$89,5,0)</f>
        <v>170.36760000000004</v>
      </c>
      <c r="EL28" s="14">
        <f t="shared" si="45"/>
        <v>43.17234340402328</v>
      </c>
      <c r="EM28" s="22">
        <f t="shared" si="19"/>
        <v>371.91540142867393</v>
      </c>
      <c r="EN28" s="62">
        <f t="shared" si="20"/>
        <v>569.17726230194319</v>
      </c>
      <c r="EO28" s="62">
        <f ca="1">AVERAGE(OFFSET($EN$3,0,0,'Données projet'!$E$15+1,1))-AVERAGE(OFFSET($H$3,0,0,'Données projet'!$E$15+1,1))</f>
        <v>418.23737352070503</v>
      </c>
      <c r="EP28" s="62">
        <f t="shared" si="46"/>
        <v>496.10742685332968</v>
      </c>
      <c r="EQ28" s="16">
        <f>IF(ISNA(VLOOKUP(A28,'Données projet'!$A$191:$I$211,3,0)),0,VLOOKUP(A28,'Données projet'!$A$191:$I$211,3,0))</f>
        <v>3</v>
      </c>
      <c r="ER28" s="16">
        <f>IF(ISNA(VLOOKUP(A28,'Données projet'!$A$191:$I$211,4,0)),0,VLOOKUP(A28,'Données projet'!$A$191:$I$211,4,0))</f>
        <v>44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4.3703703703703702</v>
      </c>
      <c r="FE28" s="13">
        <f>IF('Données projet'!$A$218&gt;35,FE27+FD28-FM27,IF(A28&lt;'Données projet'!$A$218,$FB$205^A28,IF(A28='Données projet'!$A$218,'Données projet'!$B$218,FE27+FD28-FM27)))</f>
        <v>82.872275918900684</v>
      </c>
      <c r="FF28" s="18">
        <f>FE28*VLOOKUP('Données projet'!$B$16,Paramètres!$A$1:$I$89,3,0)*VLOOKUP('Données projet'!$B$16,Paramètres!$A$1:$I$89,5,0)</f>
        <v>49.557620999502618</v>
      </c>
      <c r="FG28" s="14">
        <f t="shared" si="47"/>
        <v>14.49945433410293</v>
      </c>
      <c r="FH28" s="22">
        <f t="shared" si="22"/>
        <v>111.56607287269634</v>
      </c>
      <c r="FI28" s="62">
        <f t="shared" si="23"/>
        <v>308.82793374596565</v>
      </c>
      <c r="FJ28" s="62">
        <f ca="1">AVERAGE(OFFSET($FI$3,0,0,'Données projet'!$E$16+1,1))-AVERAGE(OFFSET($H$3,0,0,'Données projet'!$E$16+1,1))</f>
        <v>341.70983624543067</v>
      </c>
      <c r="FK28" s="62">
        <f t="shared" si="48"/>
        <v>250.82562837973805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4.0333333333333332</v>
      </c>
      <c r="FZ28" s="13">
        <f>IF('Données projet'!$A$244&gt;35,FZ27+FY28-GH27,IF(A28&lt;'Données projet'!$A$244,$FW$205^A28,IF(A28='Données projet'!$A$244,'Données projet'!$B$244,FZ27+FY28-GH27)))</f>
        <v>54.406961875735774</v>
      </c>
      <c r="GA28" s="18">
        <f>FZ28*VLOOKUP('Données projet'!$B$17,Paramètres!$A$1:$I$89,3,0)*VLOOKUP('Données projet'!$B$17,Paramètres!$A$1:$I$89,5,0)</f>
        <v>25.462458157844342</v>
      </c>
      <c r="GB28" s="14">
        <f t="shared" si="49"/>
        <v>8.0501800703828721</v>
      </c>
      <c r="GC28" s="22">
        <f t="shared" si="25"/>
        <v>58.367844914162397</v>
      </c>
      <c r="GD28" s="62">
        <f t="shared" si="26"/>
        <v>255.62970578743167</v>
      </c>
      <c r="GE28" s="62">
        <f ca="1">AVERAGE(OFFSET($GD$3,0,0,'Données projet'!$E$17+1,1))-AVERAGE(OFFSET($H$3,0,0,'Données projet'!$E$17+1,1))</f>
        <v>368.69628434154333</v>
      </c>
      <c r="GF28" s="62">
        <f t="shared" si="50"/>
        <v>202.28197295839524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>
        <f>VLOOKUP(A28,'Données projet'!$A$269:$I$289,2,0)</f>
        <v>143</v>
      </c>
      <c r="GS28" s="13">
        <f>VLOOKUP(A28,'Données projet'!$A$269:$I$289,9,0)</f>
        <v>12.2</v>
      </c>
      <c r="GT28" s="13">
        <f t="array" ref="GT28">INDEX(GS:GS,MIN(IF(ISNUMBER(GS28:GS224),ROW(GS28:GS224),"")))</f>
        <v>12.2</v>
      </c>
      <c r="GU28" s="13">
        <f>IF('Données projet'!$A$270&gt;35,GU27+GT28-HC27,IF(A28&lt;'Données projet'!$A$270,$GR$205^A28,IF(A28='Données projet'!$A$270,'Données projet'!$B$270,GU27+GT28-HC27)))</f>
        <v>142.99999999999997</v>
      </c>
      <c r="GV28" s="18">
        <f>GU28*VLOOKUP('Données projet'!$B$18,Paramètres!$A$1:$I$89,3,0)*VLOOKUP('Données projet'!$B$18,Paramètres!$A$1:$I$89,5,0)</f>
        <v>124.9248</v>
      </c>
      <c r="GW28" s="14">
        <f t="shared" si="51"/>
        <v>32.820925500842712</v>
      </c>
      <c r="GX28" s="22">
        <f t="shared" si="28"/>
        <v>274.74047191396772</v>
      </c>
      <c r="GY28" s="62">
        <f t="shared" si="29"/>
        <v>472.00233278723704</v>
      </c>
      <c r="GZ28" s="62">
        <f ca="1">AVERAGE(OFFSET($GY$3,0,0,'Données projet'!$E$18+1,1))-AVERAGE(OFFSET($H$3,0,0,'Données projet'!$E$18+1,1))</f>
        <v>378.51861272969165</v>
      </c>
      <c r="HA28" s="62">
        <f t="shared" si="52"/>
        <v>387.42368617035459</v>
      </c>
      <c r="HB28" s="16">
        <f>IF(ISNA(VLOOKUP(A28,'Données projet'!$A$269:$I$289,3,0)),0,VLOOKUP(A28,'Données projet'!$A$269:$I$289,3,0))</f>
        <v>2</v>
      </c>
      <c r="HC28" s="16">
        <f>IF(ISNA(VLOOKUP(A28,'Données projet'!$A$269:$I$289,4,0)),0,VLOOKUP(A28,'Données projet'!$A$269:$I$289,4,0))</f>
        <v>37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0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135.66666666666666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10</v>
      </c>
      <c r="N29" s="14">
        <f>IF('Données projet'!$A$36&gt;35,N28+M29-V28,IF(A29&lt;'Données projet'!$A$36,$K$205^A29,IF(A29='Données projet'!$A$36,'Données projet'!$B$36,N28+M29-V28)))</f>
        <v>116</v>
      </c>
      <c r="O29" s="14">
        <f>N29*VLOOKUP('Données projet'!$B$9,Paramètres!$A$1:$I$89,3,0)*VLOOKUP('Données projet'!$B$9,Paramètres!$A$1:$I$89,5,0)</f>
        <v>69.367999999999995</v>
      </c>
      <c r="P29" s="14">
        <f t="shared" si="33"/>
        <v>19.516426948203531</v>
      </c>
      <c r="Q29" s="22">
        <f t="shared" si="2"/>
        <v>154.80704360145447</v>
      </c>
      <c r="R29" s="62">
        <f t="shared" si="0"/>
        <v>354.85173784511244</v>
      </c>
      <c r="S29" s="62">
        <f ca="1">AVERAGE(OFFSET($R$3,0,0,'Données projet'!$E$9+1,1))-AVERAGE(OFFSET($H$3,0,0,'Données projet'!$E$9+1,1))</f>
        <v>437.94016462147999</v>
      </c>
      <c r="T29" s="62">
        <f t="shared" si="34"/>
        <v>281.88254003380348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0.25390309272031009</v>
      </c>
      <c r="AC29" s="24">
        <f t="shared" si="3"/>
        <v>0.25390309272031009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70</v>
      </c>
      <c r="AJ29" s="14">
        <f>AI29*VLOOKUP('Données projet'!$B$10,Paramètres!$A$1:$I$89,3,0)*VLOOKUP('Données projet'!$B$10,Paramètres!$A$1:$I$89,5,0)</f>
        <v>63.335999999999991</v>
      </c>
      <c r="AK29" s="14">
        <f t="shared" si="35"/>
        <v>18.009040022946227</v>
      </c>
      <c r="AL29" s="22">
        <f t="shared" si="4"/>
        <v>141.67594470663133</v>
      </c>
      <c r="AM29" s="62">
        <f t="shared" si="5"/>
        <v>341.7206389502893</v>
      </c>
      <c r="AN29" s="62">
        <f ca="1">AVERAGE(OFFSET($AM$3,0,0,'Données projet'!$E$10+1,1))-AVERAGE(OFFSET($H$3,0,0,'Données projet'!$E$10+1,1))</f>
        <v>434.56763649859136</v>
      </c>
      <c r="AO29" s="62">
        <f t="shared" si="36"/>
        <v>271.90302066766264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16.625</v>
      </c>
      <c r="BD29" s="13">
        <f>IF('Données projet'!$A$88&gt;35,BD28+BC29-BL28,IF(A29&lt;'Données projet'!$A$88,$BA$205^A29,IF(A29='Données projet'!$A$88,'Données projet'!$B$88,BD28+BC29-BL28)))</f>
        <v>242.50000000000009</v>
      </c>
      <c r="BE29" s="14">
        <f>BD29*VLOOKUP('Données projet'!$B$11,Paramètres!$A$1:$I$89,3,0)*VLOOKUP('Données projet'!$B$11,Paramètres!$A$1:$I$89,5,0)</f>
        <v>145.01500000000004</v>
      </c>
      <c r="BF29" s="14">
        <f t="shared" si="37"/>
        <v>37.443507744276459</v>
      </c>
      <c r="BG29" s="22">
        <f t="shared" si="7"/>
        <v>317.78190098794829</v>
      </c>
      <c r="BH29" s="62">
        <f t="shared" si="8"/>
        <v>517.82659523160623</v>
      </c>
      <c r="BI29" s="62">
        <f ca="1">AVERAGE(OFFSET($BH$3,0,0,'Données projet'!$E$11+1,1))-AVERAGE(OFFSET($H$3,0,0,'Données projet'!$E$11+1,1))</f>
        <v>199.65420589615553</v>
      </c>
      <c r="BJ29" s="62">
        <f t="shared" si="38"/>
        <v>477.85821088970999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9.956130235308251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6.8966204664053024</v>
      </c>
      <c r="BS29" s="24">
        <f t="shared" si="9"/>
        <v>16.852750701713553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10</v>
      </c>
      <c r="BY29" s="13">
        <f>IF('Données projet'!$A$114&gt;35,BY28+BX29-CG28,IF(A29&lt;'Données projet'!$A$114,$BV$205^A29,IF(A29='Données projet'!$A$114,'Données projet'!$B$114,BY28+BX29-CG28)))</f>
        <v>116</v>
      </c>
      <c r="BZ29" s="14">
        <f>BY29*VLOOKUP('Données projet'!$B$12,Paramètres!$A$1:$I$89,3,0)*VLOOKUP('Données projet'!$B$12,Paramètres!$A$1:$I$89,5,0)</f>
        <v>69.367999999999995</v>
      </c>
      <c r="CA29" s="14">
        <f t="shared" si="39"/>
        <v>19.516426948203531</v>
      </c>
      <c r="CB29" s="22">
        <f t="shared" si="10"/>
        <v>154.80704360145447</v>
      </c>
      <c r="CC29" s="62">
        <f t="shared" si="11"/>
        <v>354.85173784511244</v>
      </c>
      <c r="CD29" s="62">
        <f ca="1">AVERAGE(OFFSET($CC$3,0,0,'Données projet'!$E$12+1,1))-AVERAGE(OFFSET($H$3,0,0,'Données projet'!$E$12+1,1))</f>
        <v>437.94016462147999</v>
      </c>
      <c r="CE29" s="62">
        <f t="shared" si="40"/>
        <v>281.88254003380348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0.25390309272031009</v>
      </c>
      <c r="CN29" s="24">
        <f t="shared" si="12"/>
        <v>0.25390309272031009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</v>
      </c>
      <c r="CT29" s="13">
        <f>IF('Données projet'!$A$140&gt;35,CT28+CS29-DB28,IF(A29&lt;'Données projet'!$A$140,$CQ$205^A29,IF(A29='Données projet'!$A$140,'Données projet'!$B$140,CT28+CS29-DB28)))</f>
        <v>70</v>
      </c>
      <c r="CU29" s="18">
        <f>CT29*VLOOKUP('Données projet'!$B$13,Paramètres!$A$1:$I$89,3,0)*VLOOKUP('Données projet'!$B$13,Paramètres!$A$1:$I$89,5,0)</f>
        <v>79.716000000000008</v>
      </c>
      <c r="CV29" s="14">
        <f t="shared" si="41"/>
        <v>22.067730286351054</v>
      </c>
      <c r="CW29" s="22">
        <f t="shared" si="13"/>
        <v>177.27333024872806</v>
      </c>
      <c r="CX29" s="62">
        <f t="shared" si="14"/>
        <v>377.31802449238603</v>
      </c>
      <c r="CY29" s="62">
        <f ca="1">AVERAGE(OFFSET($CX$3,0,0,'Données projet'!$E$13+1,1))-AVERAGE(OFFSET($H$3,0,0,'Données projet'!$E$13+1,1))</f>
        <v>520.23742527061836</v>
      </c>
      <c r="CZ29" s="62">
        <f t="shared" si="42"/>
        <v>321.35925479331274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9.1999999999999993</v>
      </c>
      <c r="DO29" s="13">
        <f>IF('Données projet'!$A$166&gt;35,DO28+DN29-DW28,IF(A29&lt;'Données projet'!$A$166,$DL$205^A29,IF(A29='Données projet'!$A$166,'Données projet'!$B$166,DO28+DN29-DW28)))</f>
        <v>84.200000000000017</v>
      </c>
      <c r="DP29" s="18">
        <f>DO29*VLOOKUP('Données projet'!$B$14,Paramètres!$A$1:$I$89,3,0)*VLOOKUP('Données projet'!$B$14,Paramètres!$A$1:$I$89,5,0)</f>
        <v>85.378800000000027</v>
      </c>
      <c r="DQ29" s="14">
        <f t="shared" si="43"/>
        <v>23.447306793896516</v>
      </c>
      <c r="DR29" s="22">
        <f t="shared" si="16"/>
        <v>189.53880266603645</v>
      </c>
      <c r="DS29" s="62">
        <f t="shared" si="17"/>
        <v>389.58349690969442</v>
      </c>
      <c r="DT29" s="62">
        <f ca="1">AVERAGE(OFFSET($DS$3,0,0,'Données projet'!$E$14+1,1))-AVERAGE(OFFSET($H$3,0,0,'Données projet'!$E$14+1,1))</f>
        <v>547.89540791313675</v>
      </c>
      <c r="DU29" s="62">
        <f t="shared" si="44"/>
        <v>345.19555189302378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13.2</v>
      </c>
      <c r="EJ29" s="13">
        <f>IF('Données projet'!$A$192&gt;35,EJ28+EI29-ER28,IF(A29&lt;'Données projet'!$A$192,$EG$205^A29,IF(A29='Données projet'!$A$192,'Données projet'!$B$192,EJ28+EI29-ER28)))</f>
        <v>132.20000000000002</v>
      </c>
      <c r="EK29" s="18">
        <f>EJ29*VLOOKUP('Données projet'!$B$15,Paramètres!$A$1:$I$89,3,0)*VLOOKUP('Données projet'!$B$15,Paramètres!$A$1:$I$89,5,0)</f>
        <v>138.17544000000004</v>
      </c>
      <c r="EL29" s="14">
        <f t="shared" si="45"/>
        <v>35.878705835219876</v>
      </c>
      <c r="EM29" s="22">
        <f t="shared" si="19"/>
        <v>303.14430399634131</v>
      </c>
      <c r="EN29" s="62">
        <f t="shared" si="20"/>
        <v>503.18899823999931</v>
      </c>
      <c r="EO29" s="62">
        <f ca="1">AVERAGE(OFFSET($EN$3,0,0,'Données projet'!$E$15+1,1))-AVERAGE(OFFSET($H$3,0,0,'Données projet'!$E$15+1,1))</f>
        <v>418.23737352070503</v>
      </c>
      <c r="EP29" s="62">
        <f t="shared" si="46"/>
        <v>496.10742685332968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4.3703703703703702</v>
      </c>
      <c r="FE29" s="13">
        <f>IF('Données projet'!$A$218&gt;35,FE28+FD29-FM28,IF(A29&lt;'Données projet'!$A$218,$FB$205^A29,IF(A29='Données projet'!$A$218,'Données projet'!$B$218,FE28+FD29-FM28)))</f>
        <v>98.888465244589028</v>
      </c>
      <c r="FF29" s="18">
        <f>FE29*VLOOKUP('Données projet'!$B$16,Paramètres!$A$1:$I$89,3,0)*VLOOKUP('Données projet'!$B$16,Paramètres!$A$1:$I$89,5,0)</f>
        <v>59.135302216264243</v>
      </c>
      <c r="FG29" s="14">
        <f t="shared" si="47"/>
        <v>16.949461920575921</v>
      </c>
      <c r="FH29" s="22">
        <f t="shared" si="22"/>
        <v>132.51429753832994</v>
      </c>
      <c r="FI29" s="62">
        <f t="shared" si="23"/>
        <v>332.55899178198797</v>
      </c>
      <c r="FJ29" s="62">
        <f ca="1">AVERAGE(OFFSET($FI$3,0,0,'Données projet'!$E$16+1,1))-AVERAGE(OFFSET($H$3,0,0,'Données projet'!$E$16+1,1))</f>
        <v>341.70983624543067</v>
      </c>
      <c r="FK29" s="62">
        <f t="shared" si="48"/>
        <v>250.82562837973805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4.0333333333333332</v>
      </c>
      <c r="FZ29" s="13">
        <f>IF('Données projet'!$A$244&gt;35,FZ28+FY29-GH28,IF(A29&lt;'Données projet'!$A$244,$FW$205^A29,IF(A29='Données projet'!$A$244,'Données projet'!$B$244,FZ28+FY29-GH28)))</f>
        <v>63.838203123508229</v>
      </c>
      <c r="GA29" s="18">
        <f>FZ29*VLOOKUP('Données projet'!$B$17,Paramètres!$A$1:$I$89,3,0)*VLOOKUP('Données projet'!$B$17,Paramètres!$A$1:$I$89,5,0)</f>
        <v>29.876279061801853</v>
      </c>
      <c r="GB29" s="14">
        <f t="shared" si="49"/>
        <v>9.2715120429720468</v>
      </c>
      <c r="GC29" s="22">
        <f t="shared" si="25"/>
        <v>68.182402840814532</v>
      </c>
      <c r="GD29" s="62">
        <f t="shared" si="26"/>
        <v>268.22709708447252</v>
      </c>
      <c r="GE29" s="62">
        <f ca="1">AVERAGE(OFFSET($GD$3,0,0,'Données projet'!$E$17+1,1))-AVERAGE(OFFSET($H$3,0,0,'Données projet'!$E$17+1,1))</f>
        <v>368.69628434154333</v>
      </c>
      <c r="GF29" s="62">
        <f t="shared" si="50"/>
        <v>202.28197295839524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11.4</v>
      </c>
      <c r="GU29" s="13">
        <f>IF('Données projet'!$A$270&gt;35,GU28+GT29-HC28,IF(A29&lt;'Données projet'!$A$270,$GR$205^A29,IF(A29='Données projet'!$A$270,'Données projet'!$B$270,GU28+GT29-HC28)))</f>
        <v>117.39999999999998</v>
      </c>
      <c r="GV29" s="18">
        <f>GU29*VLOOKUP('Données projet'!$B$18,Paramètres!$A$1:$I$89,3,0)*VLOOKUP('Données projet'!$B$18,Paramètres!$A$1:$I$89,5,0)</f>
        <v>102.56064000000001</v>
      </c>
      <c r="GW29" s="14">
        <f t="shared" si="51"/>
        <v>27.571134131783779</v>
      </c>
      <c r="GX29" s="22">
        <f t="shared" si="28"/>
        <v>226.64617327952342</v>
      </c>
      <c r="GY29" s="62">
        <f t="shared" si="29"/>
        <v>426.6908675231814</v>
      </c>
      <c r="GZ29" s="62">
        <f ca="1">AVERAGE(OFFSET($GY$3,0,0,'Données projet'!$E$18+1,1))-AVERAGE(OFFSET($H$3,0,0,'Données projet'!$E$18+1,1))</f>
        <v>378.51861272969165</v>
      </c>
      <c r="HA29" s="62">
        <f t="shared" si="52"/>
        <v>387.42368617035459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0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135.66666666666666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10</v>
      </c>
      <c r="N30" s="14">
        <f>IF('Données projet'!$A$36&gt;35,N29+M30-V29,IF(A30&lt;'Données projet'!$A$36,$K$205^A30,IF(A30='Données projet'!$A$36,'Données projet'!$B$36,N29+M30-V29)))</f>
        <v>126</v>
      </c>
      <c r="O30" s="14">
        <f>N30*VLOOKUP('Données projet'!$B$9,Paramètres!$A$1:$I$89,3,0)*VLOOKUP('Données projet'!$B$9,Paramètres!$A$1:$I$89,5,0)</f>
        <v>75.347999999999999</v>
      </c>
      <c r="P30" s="14">
        <f t="shared" si="33"/>
        <v>20.99581051771704</v>
      </c>
      <c r="Q30" s="22">
        <f t="shared" si="2"/>
        <v>167.79880331835713</v>
      </c>
      <c r="R30" s="62">
        <f t="shared" si="0"/>
        <v>370.599257817987</v>
      </c>
      <c r="S30" s="62">
        <f ca="1">AVERAGE(OFFSET($R$3,0,0,'Données projet'!$E$9+1,1))-AVERAGE(OFFSET($H$3,0,0,'Données projet'!$E$9+1,1))</f>
        <v>437.94016462147999</v>
      </c>
      <c r="T30" s="62">
        <f t="shared" si="34"/>
        <v>281.88254003380348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0.17953659862676799</v>
      </c>
      <c r="AC30" s="24">
        <f t="shared" si="3"/>
        <v>0.17953659862676799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77</v>
      </c>
      <c r="AJ30" s="14">
        <f>AI30*VLOOKUP('Données projet'!$B$10,Paramètres!$A$1:$I$89,3,0)*VLOOKUP('Données projet'!$B$10,Paramètres!$A$1:$I$89,5,0)</f>
        <v>69.669600000000003</v>
      </c>
      <c r="AK30" s="14">
        <f t="shared" si="35"/>
        <v>19.591385027476957</v>
      </c>
      <c r="AL30" s="22">
        <f t="shared" si="4"/>
        <v>155.46288225618903</v>
      </c>
      <c r="AM30" s="62">
        <f t="shared" si="5"/>
        <v>358.2633367558189</v>
      </c>
      <c r="AN30" s="62">
        <f ca="1">AVERAGE(OFFSET($AM$3,0,0,'Données projet'!$E$10+1,1))-AVERAGE(OFFSET($H$3,0,0,'Données projet'!$E$10+1,1))</f>
        <v>434.56763649859136</v>
      </c>
      <c r="AO30" s="62">
        <f t="shared" si="36"/>
        <v>271.90302066766264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16.625</v>
      </c>
      <c r="BD30" s="13">
        <f>IF('Données projet'!$A$88&gt;35,BD29+BC30-BL29,IF(A30&lt;'Données projet'!$A$88,$BA$205^A30,IF(A30='Données projet'!$A$88,'Données projet'!$B$88,BD29+BC30-BL29)))</f>
        <v>259.12500000000011</v>
      </c>
      <c r="BE30" s="14">
        <f>BD30*VLOOKUP('Données projet'!$B$11,Paramètres!$A$1:$I$89,3,0)*VLOOKUP('Données projet'!$B$11,Paramètres!$A$1:$I$89,5,0)</f>
        <v>154.95675000000008</v>
      </c>
      <c r="BF30" s="14">
        <f t="shared" si="37"/>
        <v>39.702884639661342</v>
      </c>
      <c r="BG30" s="22">
        <f t="shared" si="7"/>
        <v>339.03219699741027</v>
      </c>
      <c r="BH30" s="62">
        <f t="shared" si="8"/>
        <v>541.83265149704016</v>
      </c>
      <c r="BI30" s="62">
        <f ca="1">AVERAGE(OFFSET($BH$3,0,0,'Données projet'!$E$11+1,1))-AVERAGE(OFFSET($H$3,0,0,'Données projet'!$E$11+1,1))</f>
        <v>199.65420589615553</v>
      </c>
      <c r="BJ30" s="62">
        <f t="shared" si="38"/>
        <v>477.85821088970999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9.7608965940336763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4.8766470990651198</v>
      </c>
      <c r="BS30" s="24">
        <f t="shared" si="9"/>
        <v>14.637543693098795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10</v>
      </c>
      <c r="BY30" s="13">
        <f>IF('Données projet'!$A$114&gt;35,BY29+BX30-CG29,IF(A30&lt;'Données projet'!$A$114,$BV$205^A30,IF(A30='Données projet'!$A$114,'Données projet'!$B$114,BY29+BX30-CG29)))</f>
        <v>126</v>
      </c>
      <c r="BZ30" s="14">
        <f>BY30*VLOOKUP('Données projet'!$B$12,Paramètres!$A$1:$I$89,3,0)*VLOOKUP('Données projet'!$B$12,Paramètres!$A$1:$I$89,5,0)</f>
        <v>75.347999999999999</v>
      </c>
      <c r="CA30" s="14">
        <f t="shared" si="39"/>
        <v>20.99581051771704</v>
      </c>
      <c r="CB30" s="22">
        <f t="shared" si="10"/>
        <v>167.79880331835713</v>
      </c>
      <c r="CC30" s="62">
        <f t="shared" si="11"/>
        <v>370.599257817987</v>
      </c>
      <c r="CD30" s="62">
        <f ca="1">AVERAGE(OFFSET($CC$3,0,0,'Données projet'!$E$12+1,1))-AVERAGE(OFFSET($H$3,0,0,'Données projet'!$E$12+1,1))</f>
        <v>437.94016462147999</v>
      </c>
      <c r="CE30" s="62">
        <f t="shared" si="40"/>
        <v>281.88254003380348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0.17953659862676799</v>
      </c>
      <c r="CN30" s="24">
        <f t="shared" si="12"/>
        <v>0.17953659862676799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</v>
      </c>
      <c r="CT30" s="13">
        <f>IF('Données projet'!$A$140&gt;35,CT29+CS30-DB29,IF(A30&lt;'Données projet'!$A$140,$CQ$205^A30,IF(A30='Données projet'!$A$140,'Données projet'!$B$140,CT29+CS30-DB29)))</f>
        <v>77</v>
      </c>
      <c r="CU30" s="18">
        <f>CT30*VLOOKUP('Données projet'!$B$13,Paramètres!$A$1:$I$89,3,0)*VLOOKUP('Données projet'!$B$13,Paramètres!$A$1:$I$89,5,0)</f>
        <v>87.687600000000003</v>
      </c>
      <c r="CV30" s="14">
        <f t="shared" si="41"/>
        <v>24.006687761899297</v>
      </c>
      <c r="CW30" s="22">
        <f t="shared" si="13"/>
        <v>194.53421785197463</v>
      </c>
      <c r="CX30" s="62">
        <f t="shared" si="14"/>
        <v>397.33467235160447</v>
      </c>
      <c r="CY30" s="62">
        <f ca="1">AVERAGE(OFFSET($CX$3,0,0,'Données projet'!$E$13+1,1))-AVERAGE(OFFSET($H$3,0,0,'Données projet'!$E$13+1,1))</f>
        <v>520.23742527061836</v>
      </c>
      <c r="CZ30" s="62">
        <f t="shared" si="42"/>
        <v>321.35925479331274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9.1999999999999993</v>
      </c>
      <c r="DO30" s="13">
        <f>IF('Données projet'!$A$166&gt;35,DO29+DN30-DW29,IF(A30&lt;'Données projet'!$A$166,$DL$205^A30,IF(A30='Données projet'!$A$166,'Données projet'!$B$166,DO29+DN30-DW29)))</f>
        <v>93.40000000000002</v>
      </c>
      <c r="DP30" s="18">
        <f>DO30*VLOOKUP('Données projet'!$B$14,Paramètres!$A$1:$I$89,3,0)*VLOOKUP('Données projet'!$B$14,Paramètres!$A$1:$I$89,5,0)</f>
        <v>94.707600000000028</v>
      </c>
      <c r="DQ30" s="14">
        <f t="shared" si="43"/>
        <v>25.697193912523566</v>
      </c>
      <c r="DR30" s="22">
        <f t="shared" si="16"/>
        <v>209.70501606431188</v>
      </c>
      <c r="DS30" s="62">
        <f t="shared" si="17"/>
        <v>412.50547056394174</v>
      </c>
      <c r="DT30" s="62">
        <f ca="1">AVERAGE(OFFSET($DS$3,0,0,'Données projet'!$E$14+1,1))-AVERAGE(OFFSET($H$3,0,0,'Données projet'!$E$14+1,1))</f>
        <v>547.89540791313675</v>
      </c>
      <c r="DU30" s="62">
        <f t="shared" si="44"/>
        <v>345.19555189302378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13.2</v>
      </c>
      <c r="EJ30" s="13">
        <f>IF('Données projet'!$A$192&gt;35,EJ29+EI30-ER29,IF(A30&lt;'Données projet'!$A$192,$EG$205^A30,IF(A30='Données projet'!$A$192,'Données projet'!$B$192,EJ29+EI30-ER29)))</f>
        <v>145.4</v>
      </c>
      <c r="EK30" s="18">
        <f>EJ30*VLOOKUP('Données projet'!$B$15,Paramètres!$A$1:$I$89,3,0)*VLOOKUP('Données projet'!$B$15,Paramètres!$A$1:$I$89,5,0)</f>
        <v>151.97208000000001</v>
      </c>
      <c r="EL30" s="14">
        <f t="shared" si="45"/>
        <v>39.026406624566306</v>
      </c>
      <c r="EM30" s="22">
        <f t="shared" si="19"/>
        <v>332.65569753778635</v>
      </c>
      <c r="EN30" s="62">
        <f t="shared" si="20"/>
        <v>535.45615203741625</v>
      </c>
      <c r="EO30" s="62">
        <f ca="1">AVERAGE(OFFSET($EN$3,0,0,'Données projet'!$E$15+1,1))-AVERAGE(OFFSET($H$3,0,0,'Données projet'!$E$15+1,1))</f>
        <v>418.23737352070503</v>
      </c>
      <c r="EP30" s="62">
        <f t="shared" si="46"/>
        <v>496.10742685332968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>
        <f>VLOOKUP(A30,'Données projet'!$A$217:$I$237,2,0)</f>
        <v>118</v>
      </c>
      <c r="FC30" s="13">
        <f>VLOOKUP(A30,'Données projet'!$A$217:$I$237,9,0)</f>
        <v>4.3703703703703702</v>
      </c>
      <c r="FD30" s="13">
        <f t="array" ref="FD30">INDEX(FC:FC,MIN(IF(ISNUMBER(FC30:FC226),ROW(FC30:FC226),"")))</f>
        <v>4.3703703703703702</v>
      </c>
      <c r="FE30" s="13">
        <f>IF('Données projet'!$A$218&gt;35,FE29+FD30-FM29,IF(A30&lt;'Données projet'!$A$218,$FB$205^A30,IF(A30='Données projet'!$A$218,'Données projet'!$B$218,FE29+FD30-FM29)))</f>
        <v>118</v>
      </c>
      <c r="FF30" s="18">
        <f>FE30*VLOOKUP('Données projet'!$B$16,Paramètres!$A$1:$I$89,3,0)*VLOOKUP('Données projet'!$B$16,Paramètres!$A$1:$I$89,5,0)</f>
        <v>70.564000000000007</v>
      </c>
      <c r="FG30" s="14">
        <f t="shared" si="47"/>
        <v>19.813453167086163</v>
      </c>
      <c r="FH30" s="22">
        <f t="shared" si="22"/>
        <v>157.40739759934175</v>
      </c>
      <c r="FI30" s="62">
        <f t="shared" si="23"/>
        <v>360.20785209897161</v>
      </c>
      <c r="FJ30" s="62">
        <f ca="1">AVERAGE(OFFSET($FI$3,0,0,'Données projet'!$E$16+1,1))-AVERAGE(OFFSET($H$3,0,0,'Données projet'!$E$16+1,1))</f>
        <v>341.70983624543067</v>
      </c>
      <c r="FK30" s="62">
        <f t="shared" si="48"/>
        <v>250.82562837973805</v>
      </c>
      <c r="FL30" s="16">
        <f>IF(ISNA(VLOOKUP(A30,'Données projet'!$A$217:$I$237,3,0)),0,VLOOKUP(A30,'Données projet'!$A$217:$I$237,3,0))</f>
        <v>1</v>
      </c>
      <c r="FM30" s="16">
        <f>IF(ISNA(VLOOKUP(A30,'Données projet'!$A$217:$I$237,4,0)),0,VLOOKUP(A30,'Données projet'!$A$217:$I$237,4,0))</f>
        <v>15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1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10.1561237088124</v>
      </c>
      <c r="FT30" s="24">
        <f t="shared" si="24"/>
        <v>10.1561237088124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4.0333333333333332</v>
      </c>
      <c r="FZ30" s="13">
        <f>IF('Données projet'!$A$244&gt;35,FZ29+FY30-GH29,IF(A30&lt;'Données projet'!$A$244,$FW$205^A30,IF(A30='Données projet'!$A$244,'Données projet'!$B$244,FZ29+FY30-GH29)))</f>
        <v>74.904314402745428</v>
      </c>
      <c r="GA30" s="18">
        <f>FZ30*VLOOKUP('Données projet'!$B$17,Paramètres!$A$1:$I$89,3,0)*VLOOKUP('Données projet'!$B$17,Paramètres!$A$1:$I$89,5,0)</f>
        <v>35.055219140484859</v>
      </c>
      <c r="GB30" s="14">
        <f t="shared" si="49"/>
        <v>10.678138229383395</v>
      </c>
      <c r="GC30" s="22">
        <f t="shared" si="25"/>
        <v>79.652264085853858</v>
      </c>
      <c r="GD30" s="62">
        <f t="shared" si="26"/>
        <v>282.45271858548369</v>
      </c>
      <c r="GE30" s="62">
        <f ca="1">AVERAGE(OFFSET($GD$3,0,0,'Données projet'!$E$17+1,1))-AVERAGE(OFFSET($H$3,0,0,'Données projet'!$E$17+1,1))</f>
        <v>368.69628434154333</v>
      </c>
      <c r="GF30" s="62">
        <f t="shared" si="50"/>
        <v>202.28197295839524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11.4</v>
      </c>
      <c r="GU30" s="13">
        <f>IF('Données projet'!$A$270&gt;35,GU29+GT30-HC29,IF(A30&lt;'Données projet'!$A$270,$GR$205^A30,IF(A30='Données projet'!$A$270,'Données projet'!$B$270,GU29+GT30-HC29)))</f>
        <v>128.79999999999998</v>
      </c>
      <c r="GV30" s="18">
        <f>GU30*VLOOKUP('Données projet'!$B$18,Paramètres!$A$1:$I$89,3,0)*VLOOKUP('Données projet'!$B$18,Paramètres!$A$1:$I$89,5,0)</f>
        <v>112.51968000000001</v>
      </c>
      <c r="GW30" s="14">
        <f t="shared" si="51"/>
        <v>29.923856072189899</v>
      </c>
      <c r="GX30" s="22">
        <f t="shared" si="28"/>
        <v>248.08915865906408</v>
      </c>
      <c r="GY30" s="62">
        <f t="shared" si="29"/>
        <v>450.88961315869392</v>
      </c>
      <c r="GZ30" s="62">
        <f ca="1">AVERAGE(OFFSET($GY$3,0,0,'Données projet'!$E$18+1,1))-AVERAGE(OFFSET($H$3,0,0,'Données projet'!$E$18+1,1))</f>
        <v>378.51861272969165</v>
      </c>
      <c r="HA30" s="62">
        <f t="shared" si="52"/>
        <v>387.42368617035459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0</v>
      </c>
      <c r="HJ30" s="24">
        <f t="shared" si="30"/>
        <v>0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135.66666666666666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10</v>
      </c>
      <c r="N31" s="14">
        <f>IF('Données projet'!$A$36&gt;35,N30+M31-V30,IF(A31&lt;'Données projet'!$A$36,$K$205^A31,IF(A31='Données projet'!$A$36,'Données projet'!$B$36,N30+M31-V30)))</f>
        <v>136</v>
      </c>
      <c r="O31" s="14">
        <f>N31*VLOOKUP('Données projet'!$B$9,Paramètres!$A$1:$I$89,3,0)*VLOOKUP('Données projet'!$B$9,Paramètres!$A$1:$I$89,5,0)</f>
        <v>81.328000000000003</v>
      </c>
      <c r="P31" s="14">
        <f t="shared" si="33"/>
        <v>22.461575251587323</v>
      </c>
      <c r="Q31" s="22">
        <f t="shared" si="2"/>
        <v>180.76684356318125</v>
      </c>
      <c r="R31" s="62">
        <f t="shared" si="0"/>
        <v>386.29645486237484</v>
      </c>
      <c r="S31" s="62">
        <f ca="1">AVERAGE(OFFSET($R$3,0,0,'Données projet'!$E$9+1,1))-AVERAGE(OFFSET($H$3,0,0,'Données projet'!$E$9+1,1))</f>
        <v>437.94016462147999</v>
      </c>
      <c r="T31" s="62">
        <f t="shared" si="34"/>
        <v>281.88254003380348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0.12695154636015504</v>
      </c>
      <c r="AC31" s="24">
        <f t="shared" si="3"/>
        <v>0.12695154636015504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84</v>
      </c>
      <c r="AJ31" s="14">
        <f>AI31*VLOOKUP('Données projet'!$B$10,Paramètres!$A$1:$I$89,3,0)*VLOOKUP('Données projet'!$B$10,Paramètres!$A$1:$I$89,5,0)</f>
        <v>76.003200000000007</v>
      </c>
      <c r="AK31" s="14">
        <f t="shared" si="35"/>
        <v>21.157049992000456</v>
      </c>
      <c r="AL31" s="22">
        <f t="shared" si="4"/>
        <v>169.22076873606747</v>
      </c>
      <c r="AM31" s="62">
        <f t="shared" si="5"/>
        <v>374.75038003526106</v>
      </c>
      <c r="AN31" s="62">
        <f ca="1">AVERAGE(OFFSET($AM$3,0,0,'Données projet'!$E$10+1,1))-AVERAGE(OFFSET($H$3,0,0,'Données projet'!$E$10+1,1))</f>
        <v>434.56763649859136</v>
      </c>
      <c r="AO31" s="62">
        <f t="shared" si="36"/>
        <v>271.90302066766264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16.625</v>
      </c>
      <c r="BD31" s="13">
        <f>IF('Données projet'!$A$88&gt;35,BD30+BC31-BL30,IF(A31&lt;'Données projet'!$A$88,$BA$205^A31,IF(A31='Données projet'!$A$88,'Données projet'!$B$88,BD30+BC31-BL30)))</f>
        <v>275.75000000000011</v>
      </c>
      <c r="BE31" s="14">
        <f>BD31*VLOOKUP('Données projet'!$B$11,Paramètres!$A$1:$I$89,3,0)*VLOOKUP('Données projet'!$B$11,Paramètres!$A$1:$I$89,5,0)</f>
        <v>164.89850000000007</v>
      </c>
      <c r="BF31" s="14">
        <f t="shared" si="37"/>
        <v>41.94543913753872</v>
      </c>
      <c r="BG31" s="22">
        <f t="shared" si="7"/>
        <v>360.25319399788003</v>
      </c>
      <c r="BH31" s="62">
        <f t="shared" si="8"/>
        <v>565.78280529707365</v>
      </c>
      <c r="BI31" s="62">
        <f ca="1">AVERAGE(OFFSET($BH$3,0,0,'Données projet'!$E$11+1,1))-AVERAGE(OFFSET($H$3,0,0,'Données projet'!$E$11+1,1))</f>
        <v>199.65420589615553</v>
      </c>
      <c r="BJ31" s="62">
        <f t="shared" si="38"/>
        <v>477.85821088970999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9.5694913653837332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3.4483102332026516</v>
      </c>
      <c r="BS31" s="24">
        <f t="shared" si="9"/>
        <v>13.017801598586384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10</v>
      </c>
      <c r="BY31" s="13">
        <f>IF('Données projet'!$A$114&gt;35,BY30+BX31-CG30,IF(A31&lt;'Données projet'!$A$114,$BV$205^A31,IF(A31='Données projet'!$A$114,'Données projet'!$B$114,BY30+BX31-CG30)))</f>
        <v>136</v>
      </c>
      <c r="BZ31" s="14">
        <f>BY31*VLOOKUP('Données projet'!$B$12,Paramètres!$A$1:$I$89,3,0)*VLOOKUP('Données projet'!$B$12,Paramètres!$A$1:$I$89,5,0)</f>
        <v>81.328000000000003</v>
      </c>
      <c r="CA31" s="14">
        <f t="shared" si="39"/>
        <v>22.461575251587323</v>
      </c>
      <c r="CB31" s="22">
        <f t="shared" si="10"/>
        <v>180.76684356318125</v>
      </c>
      <c r="CC31" s="62">
        <f t="shared" si="11"/>
        <v>386.29645486237484</v>
      </c>
      <c r="CD31" s="62">
        <f ca="1">AVERAGE(OFFSET($CC$3,0,0,'Données projet'!$E$12+1,1))-AVERAGE(OFFSET($H$3,0,0,'Données projet'!$E$12+1,1))</f>
        <v>437.94016462147999</v>
      </c>
      <c r="CE31" s="62">
        <f t="shared" si="40"/>
        <v>281.88254003380348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0.12695154636015504</v>
      </c>
      <c r="CN31" s="24">
        <f t="shared" si="12"/>
        <v>0.12695154636015504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</v>
      </c>
      <c r="CT31" s="13">
        <f>IF('Données projet'!$A$140&gt;35,CT30+CS31-DB30,IF(A31&lt;'Données projet'!$A$140,$CQ$205^A31,IF(A31='Données projet'!$A$140,'Données projet'!$B$140,CT30+CS31-DB30)))</f>
        <v>84</v>
      </c>
      <c r="CU31" s="18">
        <f>CT31*VLOOKUP('Données projet'!$B$13,Paramètres!$A$1:$I$89,3,0)*VLOOKUP('Données projet'!$B$13,Paramètres!$A$1:$I$89,5,0)</f>
        <v>95.659199999999998</v>
      </c>
      <c r="CV31" s="14">
        <f t="shared" si="41"/>
        <v>25.92520602338745</v>
      </c>
      <c r="CW31" s="22">
        <f t="shared" si="13"/>
        <v>211.75950715739978</v>
      </c>
      <c r="CX31" s="62">
        <f t="shared" si="14"/>
        <v>417.28911845659337</v>
      </c>
      <c r="CY31" s="62">
        <f ca="1">AVERAGE(OFFSET($CX$3,0,0,'Données projet'!$E$13+1,1))-AVERAGE(OFFSET($H$3,0,0,'Données projet'!$E$13+1,1))</f>
        <v>520.23742527061836</v>
      </c>
      <c r="CZ31" s="62">
        <f t="shared" si="42"/>
        <v>321.35925479331274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9.1999999999999993</v>
      </c>
      <c r="DO31" s="13">
        <f>IF('Données projet'!$A$166&gt;35,DO30+DN31-DW30,IF(A31&lt;'Données projet'!$A$166,$DL$205^A31,IF(A31='Données projet'!$A$166,'Données projet'!$B$166,DO30+DN31-DW30)))</f>
        <v>102.60000000000002</v>
      </c>
      <c r="DP31" s="18">
        <f>DO31*VLOOKUP('Données projet'!$B$14,Paramètres!$A$1:$I$89,3,0)*VLOOKUP('Données projet'!$B$14,Paramètres!$A$1:$I$89,5,0)</f>
        <v>104.03640000000003</v>
      </c>
      <c r="DQ31" s="14">
        <f t="shared" si="43"/>
        <v>27.921388397820998</v>
      </c>
      <c r="DR31" s="22">
        <f t="shared" si="16"/>
        <v>229.82648145953826</v>
      </c>
      <c r="DS31" s="62">
        <f t="shared" si="17"/>
        <v>435.35609275873185</v>
      </c>
      <c r="DT31" s="62">
        <f ca="1">AVERAGE(OFFSET($DS$3,0,0,'Données projet'!$E$14+1,1))-AVERAGE(OFFSET($H$3,0,0,'Données projet'!$E$14+1,1))</f>
        <v>547.89540791313675</v>
      </c>
      <c r="DU31" s="62">
        <f t="shared" si="44"/>
        <v>345.19555189302378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13.2</v>
      </c>
      <c r="EJ31" s="13">
        <f>IF('Données projet'!$A$192&gt;35,EJ30+EI31-ER30,IF(A31&lt;'Données projet'!$A$192,$EG$205^A31,IF(A31='Données projet'!$A$192,'Données projet'!$B$192,EJ30+EI31-ER30)))</f>
        <v>158.6</v>
      </c>
      <c r="EK31" s="18">
        <f>EJ31*VLOOKUP('Données projet'!$B$15,Paramètres!$A$1:$I$89,3,0)*VLOOKUP('Données projet'!$B$15,Paramètres!$A$1:$I$89,5,0)</f>
        <v>165.76872</v>
      </c>
      <c r="EL31" s="14">
        <f t="shared" si="45"/>
        <v>42.140971955776095</v>
      </c>
      <c r="EM31" s="22">
        <f t="shared" si="19"/>
        <v>362.10938015631001</v>
      </c>
      <c r="EN31" s="62">
        <f t="shared" si="20"/>
        <v>567.63899145550363</v>
      </c>
      <c r="EO31" s="62">
        <f ca="1">AVERAGE(OFFSET($EN$3,0,0,'Données projet'!$E$15+1,1))-AVERAGE(OFFSET($H$3,0,0,'Données projet'!$E$15+1,1))</f>
        <v>418.23737352070503</v>
      </c>
      <c r="EP31" s="62">
        <f t="shared" si="46"/>
        <v>496.10742685332968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9.6666666666666661</v>
      </c>
      <c r="FE31" s="13">
        <f>IF('Données projet'!$A$218&gt;35,FE30+FD31-FM30,IF(A31&lt;'Données projet'!$A$218,$FB$205^A31,IF(A31='Données projet'!$A$218,'Données projet'!$B$218,FE30+FD31-FM30)))</f>
        <v>112.66666666666667</v>
      </c>
      <c r="FF31" s="18">
        <f>FE31*VLOOKUP('Données projet'!$B$16,Paramètres!$A$1:$I$89,3,0)*VLOOKUP('Données projet'!$B$16,Paramètres!$A$1:$I$89,5,0)</f>
        <v>67.37466666666667</v>
      </c>
      <c r="FG31" s="14">
        <f t="shared" si="47"/>
        <v>19.020051421525295</v>
      </c>
      <c r="FH31" s="22">
        <f t="shared" si="22"/>
        <v>150.47080067026766</v>
      </c>
      <c r="FI31" s="62">
        <f t="shared" si="23"/>
        <v>356.00041196946125</v>
      </c>
      <c r="FJ31" s="62">
        <f ca="1">AVERAGE(OFFSET($FI$3,0,0,'Données projet'!$E$16+1,1))-AVERAGE(OFFSET($H$3,0,0,'Données projet'!$E$16+1,1))</f>
        <v>341.70983624543067</v>
      </c>
      <c r="FK31" s="62">
        <f t="shared" si="48"/>
        <v>250.82562837973805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7.1814639450707176</v>
      </c>
      <c r="FT31" s="24">
        <f t="shared" si="24"/>
        <v>7.1814639450707176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4.0333333333333332</v>
      </c>
      <c r="FZ31" s="13">
        <f>IF('Données projet'!$A$244&gt;35,FZ30+FY31-GH30,IF(A31&lt;'Données projet'!$A$244,$FW$205^A31,IF(A31='Données projet'!$A$244,'Données projet'!$B$244,FZ30+FY31-GH30)))</f>
        <v>87.888694255544095</v>
      </c>
      <c r="GA31" s="18">
        <f>FZ31*VLOOKUP('Données projet'!$B$17,Paramètres!$A$1:$I$89,3,0)*VLOOKUP('Données projet'!$B$17,Paramètres!$A$1:$I$89,5,0)</f>
        <v>41.131908911594635</v>
      </c>
      <c r="GB31" s="14">
        <f t="shared" si="49"/>
        <v>12.298170516021724</v>
      </c>
      <c r="GC31" s="22">
        <f t="shared" si="25"/>
        <v>93.057388336431828</v>
      </c>
      <c r="GD31" s="62">
        <f t="shared" si="26"/>
        <v>298.58699963562543</v>
      </c>
      <c r="GE31" s="62">
        <f ca="1">AVERAGE(OFFSET($GD$3,0,0,'Données projet'!$E$17+1,1))-AVERAGE(OFFSET($H$3,0,0,'Données projet'!$E$17+1,1))</f>
        <v>368.69628434154333</v>
      </c>
      <c r="GF31" s="62">
        <f t="shared" si="50"/>
        <v>202.28197295839524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11.4</v>
      </c>
      <c r="GU31" s="13">
        <f>IF('Données projet'!$A$270&gt;35,GU30+GT31-HC30,IF(A31&lt;'Données projet'!$A$270,$GR$205^A31,IF(A31='Données projet'!$A$270,'Données projet'!$B$270,GU30+GT31-HC30)))</f>
        <v>140.19999999999999</v>
      </c>
      <c r="GV31" s="18">
        <f>GU31*VLOOKUP('Données projet'!$B$18,Paramètres!$A$1:$I$89,3,0)*VLOOKUP('Données projet'!$B$18,Paramètres!$A$1:$I$89,5,0)</f>
        <v>122.47872000000001</v>
      </c>
      <c r="GW31" s="14">
        <f t="shared" si="51"/>
        <v>32.252430308904003</v>
      </c>
      <c r="GX31" s="22">
        <f t="shared" si="28"/>
        <v>269.49008678800777</v>
      </c>
      <c r="GY31" s="62">
        <f t="shared" si="29"/>
        <v>475.01969808720139</v>
      </c>
      <c r="GZ31" s="62">
        <f ca="1">AVERAGE(OFFSET($GY$3,0,0,'Données projet'!$E$18+1,1))-AVERAGE(OFFSET($H$3,0,0,'Données projet'!$E$18+1,1))</f>
        <v>378.51861272969165</v>
      </c>
      <c r="HA31" s="62">
        <f t="shared" si="52"/>
        <v>387.42368617035459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0</v>
      </c>
      <c r="HJ31" s="24">
        <f t="shared" si="30"/>
        <v>0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135.66666666666666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10</v>
      </c>
      <c r="N32" s="14">
        <f>IF('Données projet'!$A$36&gt;35,N31+M32-V31,IF(A32&lt;'Données projet'!$A$36,$K$205^A32,IF(A32='Données projet'!$A$36,'Données projet'!$B$36,N31+M32-V31)))</f>
        <v>146</v>
      </c>
      <c r="O32" s="14">
        <f>N32*VLOOKUP('Données projet'!$B$9,Paramètres!$A$1:$I$89,3,0)*VLOOKUP('Données projet'!$B$9,Paramètres!$A$1:$I$89,5,0)</f>
        <v>87.307999999999993</v>
      </c>
      <c r="P32" s="14">
        <f t="shared" si="33"/>
        <v>23.914836409796052</v>
      </c>
      <c r="Q32" s="22">
        <f t="shared" si="2"/>
        <v>193.71310674706146</v>
      </c>
      <c r="R32" s="62">
        <f t="shared" si="0"/>
        <v>401.94573289990291</v>
      </c>
      <c r="S32" s="62">
        <f ca="1">AVERAGE(OFFSET($R$3,0,0,'Données projet'!$E$9+1,1))-AVERAGE(OFFSET($H$3,0,0,'Données projet'!$E$9+1,1))</f>
        <v>437.94016462147999</v>
      </c>
      <c r="T32" s="62">
        <f t="shared" si="34"/>
        <v>281.88254003380348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8.9768299313383995E-2</v>
      </c>
      <c r="AC32" s="24">
        <f t="shared" si="3"/>
        <v>8.9768299313383995E-2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91</v>
      </c>
      <c r="AJ32" s="14">
        <f>AI32*VLOOKUP('Données projet'!$B$10,Paramètres!$A$1:$I$89,3,0)*VLOOKUP('Données projet'!$B$10,Paramètres!$A$1:$I$89,5,0)</f>
        <v>82.336799999999997</v>
      </c>
      <c r="AK32" s="14">
        <f t="shared" si="35"/>
        <v>22.707582950885364</v>
      </c>
      <c r="AL32" s="22">
        <f t="shared" si="4"/>
        <v>182.95230030612535</v>
      </c>
      <c r="AM32" s="62">
        <f t="shared" si="5"/>
        <v>391.1849264589668</v>
      </c>
      <c r="AN32" s="62">
        <f ca="1">AVERAGE(OFFSET($AM$3,0,0,'Données projet'!$E$10+1,1))-AVERAGE(OFFSET($H$3,0,0,'Données projet'!$E$10+1,1))</f>
        <v>434.56763649859136</v>
      </c>
      <c r="AO32" s="62">
        <f t="shared" si="36"/>
        <v>271.90302066766264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16.625</v>
      </c>
      <c r="BD32" s="13">
        <f>IF('Données projet'!$A$88&gt;35,BD31+BC32-BL31,IF(A32&lt;'Données projet'!$A$88,$BA$205^A32,IF(A32='Données projet'!$A$88,'Données projet'!$B$88,BD31+BC32-BL31)))</f>
        <v>292.37500000000011</v>
      </c>
      <c r="BE32" s="14">
        <f>BD32*VLOOKUP('Données projet'!$B$11,Paramètres!$A$1:$I$89,3,0)*VLOOKUP('Données projet'!$B$11,Paramètres!$A$1:$I$89,5,0)</f>
        <v>174.84025000000008</v>
      </c>
      <c r="BF32" s="14">
        <f t="shared" si="37"/>
        <v>44.172300963535264</v>
      </c>
      <c r="BG32" s="22">
        <f t="shared" si="7"/>
        <v>381.44685959482405</v>
      </c>
      <c r="BH32" s="62">
        <f t="shared" si="8"/>
        <v>589.67948574766547</v>
      </c>
      <c r="BI32" s="62">
        <f ca="1">AVERAGE(OFFSET($BH$3,0,0,'Données projet'!$E$11+1,1))-AVERAGE(OFFSET($H$3,0,0,'Données projet'!$E$11+1,1))</f>
        <v>199.65420589615553</v>
      </c>
      <c r="BJ32" s="62">
        <f t="shared" si="38"/>
        <v>477.85821088970999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9.3818394765219537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2.4383235495325604</v>
      </c>
      <c r="BS32" s="24">
        <f t="shared" si="9"/>
        <v>11.820163026054514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10</v>
      </c>
      <c r="BY32" s="13">
        <f>IF('Données projet'!$A$114&gt;35,BY31+BX32-CG31,IF(A32&lt;'Données projet'!$A$114,$BV$205^A32,IF(A32='Données projet'!$A$114,'Données projet'!$B$114,BY31+BX32-CG31)))</f>
        <v>146</v>
      </c>
      <c r="BZ32" s="14">
        <f>BY32*VLOOKUP('Données projet'!$B$12,Paramètres!$A$1:$I$89,3,0)*VLOOKUP('Données projet'!$B$12,Paramètres!$A$1:$I$89,5,0)</f>
        <v>87.307999999999993</v>
      </c>
      <c r="CA32" s="14">
        <f t="shared" si="39"/>
        <v>23.914836409796052</v>
      </c>
      <c r="CB32" s="22">
        <f t="shared" si="10"/>
        <v>193.71310674706146</v>
      </c>
      <c r="CC32" s="62">
        <f t="shared" si="11"/>
        <v>401.94573289990291</v>
      </c>
      <c r="CD32" s="62">
        <f ca="1">AVERAGE(OFFSET($CC$3,0,0,'Données projet'!$E$12+1,1))-AVERAGE(OFFSET($H$3,0,0,'Données projet'!$E$12+1,1))</f>
        <v>437.94016462147999</v>
      </c>
      <c r="CE32" s="62">
        <f t="shared" si="40"/>
        <v>281.88254003380348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8.9768299313383995E-2</v>
      </c>
      <c r="CN32" s="24">
        <f t="shared" si="12"/>
        <v>8.9768299313383995E-2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</v>
      </c>
      <c r="CT32" s="13">
        <f>IF('Données projet'!$A$140&gt;35,CT31+CS32-DB31,IF(A32&lt;'Données projet'!$A$140,$CQ$205^A32,IF(A32='Données projet'!$A$140,'Données projet'!$B$140,CT31+CS32-DB31)))</f>
        <v>91</v>
      </c>
      <c r="CU32" s="18">
        <f>CT32*VLOOKUP('Données projet'!$B$13,Paramètres!$A$1:$I$89,3,0)*VLOOKUP('Données projet'!$B$13,Paramètres!$A$1:$I$89,5,0)</f>
        <v>103.63079999999999</v>
      </c>
      <c r="CV32" s="14">
        <f t="shared" si="41"/>
        <v>27.825181985080775</v>
      </c>
      <c r="CW32" s="22">
        <f t="shared" si="13"/>
        <v>228.952501957349</v>
      </c>
      <c r="CX32" s="62">
        <f t="shared" si="14"/>
        <v>437.18512811019048</v>
      </c>
      <c r="CY32" s="62">
        <f ca="1">AVERAGE(OFFSET($CX$3,0,0,'Données projet'!$E$13+1,1))-AVERAGE(OFFSET($H$3,0,0,'Données projet'!$E$13+1,1))</f>
        <v>520.23742527061836</v>
      </c>
      <c r="CZ32" s="62">
        <f t="shared" si="42"/>
        <v>321.35925479331274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9.1999999999999993</v>
      </c>
      <c r="DO32" s="13">
        <f>IF('Données projet'!$A$166&gt;35,DO31+DN32-DW31,IF(A32&lt;'Données projet'!$A$166,$DL$205^A32,IF(A32='Données projet'!$A$166,'Données projet'!$B$166,DO31+DN32-DW31)))</f>
        <v>111.80000000000003</v>
      </c>
      <c r="DP32" s="18">
        <f>DO32*VLOOKUP('Données projet'!$B$14,Paramètres!$A$1:$I$89,3,0)*VLOOKUP('Données projet'!$B$14,Paramètres!$A$1:$I$89,5,0)</f>
        <v>113.36520000000003</v>
      </c>
      <c r="DQ32" s="14">
        <f t="shared" si="43"/>
        <v>30.122456058687614</v>
      </c>
      <c r="DR32" s="22">
        <f t="shared" si="16"/>
        <v>249.9076676355476</v>
      </c>
      <c r="DS32" s="62">
        <f t="shared" si="17"/>
        <v>458.14029378838904</v>
      </c>
      <c r="DT32" s="62">
        <f ca="1">AVERAGE(OFFSET($DS$3,0,0,'Données projet'!$E$14+1,1))-AVERAGE(OFFSET($H$3,0,0,'Données projet'!$E$14+1,1))</f>
        <v>547.89540791313675</v>
      </c>
      <c r="DU32" s="62">
        <f t="shared" si="44"/>
        <v>345.19555189302378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13.2</v>
      </c>
      <c r="EJ32" s="13">
        <f>IF('Données projet'!$A$192&gt;35,EJ31+EI32-ER31,IF(A32&lt;'Données projet'!$A$192,$EG$205^A32,IF(A32='Données projet'!$A$192,'Données projet'!$B$192,EJ31+EI32-ER31)))</f>
        <v>171.79999999999998</v>
      </c>
      <c r="EK32" s="18">
        <f>EJ32*VLOOKUP('Données projet'!$B$15,Paramètres!$A$1:$I$89,3,0)*VLOOKUP('Données projet'!$B$15,Paramètres!$A$1:$I$89,5,0)</f>
        <v>179.56536</v>
      </c>
      <c r="EL32" s="14">
        <f t="shared" si="45"/>
        <v>45.22547317259032</v>
      </c>
      <c r="EM32" s="22">
        <f t="shared" si="19"/>
        <v>391.51070110892812</v>
      </c>
      <c r="EN32" s="62">
        <f t="shared" si="20"/>
        <v>599.74332726176954</v>
      </c>
      <c r="EO32" s="62">
        <f ca="1">AVERAGE(OFFSET($EN$3,0,0,'Données projet'!$E$15+1,1))-AVERAGE(OFFSET($H$3,0,0,'Données projet'!$E$15+1,1))</f>
        <v>418.23737352070503</v>
      </c>
      <c r="EP32" s="62">
        <f t="shared" si="46"/>
        <v>496.10742685332968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9.6666666666666661</v>
      </c>
      <c r="FE32" s="13">
        <f>IF('Données projet'!$A$218&gt;35,FE31+FD32-FM31,IF(A32&lt;'Données projet'!$A$218,$FB$205^A32,IF(A32='Données projet'!$A$218,'Données projet'!$B$218,FE31+FD32-FM31)))</f>
        <v>122.33333333333334</v>
      </c>
      <c r="FF32" s="18">
        <f>FE32*VLOOKUP('Données projet'!$B$16,Paramètres!$A$1:$I$89,3,0)*VLOOKUP('Données projet'!$B$16,Paramètres!$A$1:$I$89,5,0)</f>
        <v>73.155333333333346</v>
      </c>
      <c r="FG32" s="14">
        <f t="shared" si="47"/>
        <v>20.455016056663315</v>
      </c>
      <c r="FH32" s="22">
        <f t="shared" si="22"/>
        <v>163.03802518757752</v>
      </c>
      <c r="FI32" s="62">
        <f t="shared" si="23"/>
        <v>371.27065134041896</v>
      </c>
      <c r="FJ32" s="62">
        <f ca="1">AVERAGE(OFFSET($FI$3,0,0,'Données projet'!$E$16+1,1))-AVERAGE(OFFSET($H$3,0,0,'Données projet'!$E$16+1,1))</f>
        <v>341.70983624543067</v>
      </c>
      <c r="FK32" s="62">
        <f t="shared" si="48"/>
        <v>250.82562837973805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5.0780618544062008</v>
      </c>
      <c r="FT32" s="24">
        <f t="shared" si="24"/>
        <v>5.0780618544062008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4.0333333333333332</v>
      </c>
      <c r="FZ32" s="13">
        <f>IF('Données projet'!$A$244&gt;35,FZ31+FY32-GH31,IF(A32&lt;'Données projet'!$A$244,$FW$205^A32,IF(A32='Données projet'!$A$244,'Données projet'!$B$244,FZ31+FY32-GH31)))</f>
        <v>103.12386729036518</v>
      </c>
      <c r="GA32" s="18">
        <f>FZ32*VLOOKUP('Données projet'!$B$17,Paramètres!$A$1:$I$89,3,0)*VLOOKUP('Données projet'!$B$17,Paramètres!$A$1:$I$89,5,0)</f>
        <v>48.261969891890899</v>
      </c>
      <c r="GB32" s="14">
        <f t="shared" si="49"/>
        <v>14.163985780307653</v>
      </c>
      <c r="GC32" s="22">
        <f t="shared" si="25"/>
        <v>108.72520612907914</v>
      </c>
      <c r="GD32" s="62">
        <f t="shared" si="26"/>
        <v>316.95783228192056</v>
      </c>
      <c r="GE32" s="62">
        <f ca="1">AVERAGE(OFFSET($GD$3,0,0,'Données projet'!$E$17+1,1))-AVERAGE(OFFSET($H$3,0,0,'Données projet'!$E$17+1,1))</f>
        <v>368.69628434154333</v>
      </c>
      <c r="GF32" s="62">
        <f t="shared" si="50"/>
        <v>202.28197295839524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11.4</v>
      </c>
      <c r="GU32" s="13">
        <f>IF('Données projet'!$A$270&gt;35,GU31+GT32-HC31,IF(A32&lt;'Données projet'!$A$270,$GR$205^A32,IF(A32='Données projet'!$A$270,'Données projet'!$B$270,GU31+GT32-HC31)))</f>
        <v>151.6</v>
      </c>
      <c r="GV32" s="18">
        <f>GU32*VLOOKUP('Données projet'!$B$18,Paramètres!$A$1:$I$89,3,0)*VLOOKUP('Données projet'!$B$18,Paramètres!$A$1:$I$89,5,0)</f>
        <v>132.43776</v>
      </c>
      <c r="GW32" s="14">
        <f t="shared" si="51"/>
        <v>34.559043580858436</v>
      </c>
      <c r="GX32" s="22">
        <f t="shared" si="28"/>
        <v>290.85276623666175</v>
      </c>
      <c r="GY32" s="62">
        <f t="shared" si="29"/>
        <v>499.08539238950323</v>
      </c>
      <c r="GZ32" s="62">
        <f ca="1">AVERAGE(OFFSET($GY$3,0,0,'Données projet'!$E$18+1,1))-AVERAGE(OFFSET($H$3,0,0,'Données projet'!$E$18+1,1))</f>
        <v>378.51861272969165</v>
      </c>
      <c r="HA32" s="62">
        <f t="shared" si="52"/>
        <v>387.42368617035459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0</v>
      </c>
      <c r="HJ32" s="24">
        <f t="shared" si="30"/>
        <v>0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135.66666666666666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156</v>
      </c>
      <c r="L33" s="13">
        <f>VLOOKUP(A33,'Données projet'!$A$35:$I$55,9,0)</f>
        <v>10</v>
      </c>
      <c r="M33" s="13">
        <f t="array" ref="M33">INDEX(L:L,MIN(IF(ISNUMBER(L33:L229),ROW(L33:L229),"")))</f>
        <v>10</v>
      </c>
      <c r="N33" s="14">
        <f>IF('Données projet'!$A$36&gt;35,N32+M33-V32,IF(A33&lt;'Données projet'!$A$36,$K$205^A33,IF(A33='Données projet'!$A$36,'Données projet'!$B$36,N32+M33-V32)))</f>
        <v>156</v>
      </c>
      <c r="O33" s="14">
        <f>N33*VLOOKUP('Données projet'!$B$9,Paramètres!$A$1:$I$89,3,0)*VLOOKUP('Données projet'!$B$9,Paramètres!$A$1:$I$89,5,0)</f>
        <v>93.288000000000011</v>
      </c>
      <c r="P33" s="14">
        <f t="shared" si="33"/>
        <v>25.356547829040977</v>
      </c>
      <c r="Q33" s="22">
        <f t="shared" si="2"/>
        <v>206.63925413557971</v>
      </c>
      <c r="R33" s="62">
        <f t="shared" si="0"/>
        <v>417.54920670047011</v>
      </c>
      <c r="S33" s="62">
        <f ca="1">AVERAGE(OFFSET($R$3,0,0,'Données projet'!$E$9+1,1))-AVERAGE(OFFSET($H$3,0,0,'Données projet'!$E$9+1,1))</f>
        <v>437.94016462147999</v>
      </c>
      <c r="T33" s="62">
        <f t="shared" si="34"/>
        <v>281.88254003380348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12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1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8.188374740229996</v>
      </c>
      <c r="AC33" s="24">
        <f t="shared" si="3"/>
        <v>8.188374740229996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98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98</v>
      </c>
      <c r="AJ33" s="14">
        <f>AI33*VLOOKUP('Données projet'!$B$10,Paramètres!$A$1:$I$89,3,0)*VLOOKUP('Données projet'!$B$10,Paramètres!$A$1:$I$89,5,0)</f>
        <v>88.670400000000001</v>
      </c>
      <c r="AK33" s="14">
        <f t="shared" si="35"/>
        <v>24.244280250395512</v>
      </c>
      <c r="AL33" s="22">
        <f t="shared" si="4"/>
        <v>196.65973476943884</v>
      </c>
      <c r="AM33" s="62">
        <f t="shared" si="5"/>
        <v>407.56968733432927</v>
      </c>
      <c r="AN33" s="62">
        <f ca="1">AVERAGE(OFFSET($AM$3,0,0,'Données projet'!$E$10+1,1))-AVERAGE(OFFSET($H$3,0,0,'Données projet'!$E$10+1,1))</f>
        <v>434.56763649859136</v>
      </c>
      <c r="AO33" s="62">
        <f t="shared" si="36"/>
        <v>271.90302066766264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309</v>
      </c>
      <c r="BB33" s="13">
        <f>VLOOKUP(A33,'Données projet'!$A$87:$I$107,9,0)</f>
        <v>16.625</v>
      </c>
      <c r="BC33" s="13">
        <f t="array" ref="BC33">INDEX(BB:BB,MIN(IF(ISNUMBER(BB33:BB229),ROW(BB33:BB229),"")))</f>
        <v>16.625</v>
      </c>
      <c r="BD33" s="13">
        <f>IF('Données projet'!$A$88&gt;35,BD32+BC33-BL32,IF(A33&lt;'Données projet'!$A$88,$BA$205^A33,IF(A33='Données projet'!$A$88,'Données projet'!$B$88,BD32+BC33-BL32)))</f>
        <v>309.00000000000011</v>
      </c>
      <c r="BE33" s="14">
        <f>BD33*VLOOKUP('Données projet'!$B$11,Paramètres!$A$1:$I$89,3,0)*VLOOKUP('Données projet'!$B$11,Paramètres!$A$1:$I$89,5,0)</f>
        <v>184.7820000000001</v>
      </c>
      <c r="BF33" s="14">
        <f t="shared" si="37"/>
        <v>46.384464109944147</v>
      </c>
      <c r="BG33" s="22">
        <f t="shared" si="7"/>
        <v>402.61492499148613</v>
      </c>
      <c r="BH33" s="62">
        <f t="shared" si="8"/>
        <v>613.52487755637662</v>
      </c>
      <c r="BI33" s="62">
        <f ca="1">AVERAGE(OFFSET($BH$3,0,0,'Données projet'!$E$11+1,1))-AVERAGE(OFFSET($H$3,0,0,'Données projet'!$E$11+1,1))</f>
        <v>199.65420589615553</v>
      </c>
      <c r="BJ33" s="62">
        <f t="shared" si="38"/>
        <v>477.85821088970999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309</v>
      </c>
      <c r="BM33" s="17">
        <f>IF(ISNA(VLOOKUP(A33,'Données projet'!$A$87:$I$107,5,0)),0%,VLOOKUP(A33,'Données projet'!$A$87:$I$107,5,0)*VLOOKUP('Données projet'!$B$11,Paramètres!$A$1:$I$89,7,0))</f>
        <v>0.18000000000000002</v>
      </c>
      <c r="BN33" s="17">
        <f>IF(ISNA(VLOOKUP(A33,'Données projet'!$A$87:$I$107,6,0)),0%,VLOOKUP(A33,'Données projet'!$A$87:$I$107,6,0)*VLOOKUP('Données projet'!$B$11,Paramètres!$A$1:$I$89,7,0))</f>
        <v>0.18000000000000002</v>
      </c>
      <c r="BO33" s="17">
        <f>IF(ISNA(VLOOKUP(A33,'Données projet'!$A$87:$I$107,7,0)),0%,VLOOKUP(A33,'Données projet'!$A$87:$I$107,7,0))</f>
        <v>0.2</v>
      </c>
      <c r="BP33" s="23">
        <f>EXP(-LN(2)/35)*BP32+(1-EXP(-LN(2)/35))/(LN(2)/35)*BL33*BM33*VLOOKUP('Données projet'!$B$11,Paramètres!$A$1:$I$89,3,0)*0.475*44/12</f>
        <v>53.320409303649647</v>
      </c>
      <c r="BQ33" s="23">
        <f>EXP(-LN(2)/25)*BQ32+(1-EXP(-LN(2)/25))/(LN(2)/25)*Calculateur!BL33*Calculateur!BN33*VLOOKUP('Données projet'!$B$11,Paramètres!$A$1:$I$89,3,0)*0.475*44/12</f>
        <v>43.948814717135633</v>
      </c>
      <c r="BR33" s="23">
        <f>EXP(-LN(2)/2)*BR32+(1-EXP(-LN(2)/2))/(LN(2)/2)*BL33*BO33*VLOOKUP('Données projet'!$B$11,Paramètres!$A$1:$I$89,3,0)*0.475*44/12</f>
        <v>43.567384796908406</v>
      </c>
      <c r="BS33" s="24">
        <f t="shared" si="9"/>
        <v>140.8366088176937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156</v>
      </c>
      <c r="BW33" s="13">
        <f>VLOOKUP(A33,'Données projet'!$A$113:$I$133,9,0)</f>
        <v>10</v>
      </c>
      <c r="BX33" s="13">
        <f t="array" ref="BX33">INDEX(BW:BW,MIN(IF(ISNUMBER(BW33:BW229),ROW(BW33:BW229),"")))</f>
        <v>10</v>
      </c>
      <c r="BY33" s="13">
        <f>IF('Données projet'!$A$114&gt;35,BY32+BX33-CG32,IF(A33&lt;'Données projet'!$A$114,$BV$205^A33,IF(A33='Données projet'!$A$114,'Données projet'!$B$114,BY32+BX33-CG32)))</f>
        <v>156</v>
      </c>
      <c r="BZ33" s="14">
        <f>BY33*VLOOKUP('Données projet'!$B$12,Paramètres!$A$1:$I$89,3,0)*VLOOKUP('Données projet'!$B$12,Paramètres!$A$1:$I$89,5,0)</f>
        <v>93.288000000000011</v>
      </c>
      <c r="CA33" s="14">
        <f t="shared" si="39"/>
        <v>25.356547829040977</v>
      </c>
      <c r="CB33" s="22">
        <f t="shared" si="10"/>
        <v>206.63925413557971</v>
      </c>
      <c r="CC33" s="62">
        <f t="shared" si="11"/>
        <v>417.54920670047011</v>
      </c>
      <c r="CD33" s="62">
        <f ca="1">AVERAGE(OFFSET($CC$3,0,0,'Données projet'!$E$12+1,1))-AVERAGE(OFFSET($H$3,0,0,'Données projet'!$E$12+1,1))</f>
        <v>437.94016462147999</v>
      </c>
      <c r="CE33" s="62">
        <f t="shared" si="40"/>
        <v>281.88254003380348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12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1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8.188374740229996</v>
      </c>
      <c r="CN33" s="24">
        <f t="shared" si="12"/>
        <v>8.188374740229996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98</v>
      </c>
      <c r="CR33" s="13">
        <f>VLOOKUP(A33,'Données projet'!$A$139:$I$159,9,0)</f>
        <v>7</v>
      </c>
      <c r="CS33" s="13">
        <f t="array" ref="CS33">INDEX(CR:CR,MIN(IF(ISNUMBER(CR33:CR229),ROW(CR33:CR229),"")))</f>
        <v>7</v>
      </c>
      <c r="CT33" s="13">
        <f>IF('Données projet'!$A$140&gt;35,CT32+CS33-DB32,IF(A33&lt;'Données projet'!$A$140,$CQ$205^A33,IF(A33='Données projet'!$A$140,'Données projet'!$B$140,CT32+CS33-DB32)))</f>
        <v>98</v>
      </c>
      <c r="CU33" s="18">
        <f>CT33*VLOOKUP('Données projet'!$B$13,Paramètres!$A$1:$I$89,3,0)*VLOOKUP('Données projet'!$B$13,Paramètres!$A$1:$I$89,5,0)</f>
        <v>111.60239999999999</v>
      </c>
      <c r="CV33" s="14">
        <f t="shared" si="41"/>
        <v>29.708204150290328</v>
      </c>
      <c r="CW33" s="22">
        <f t="shared" si="13"/>
        <v>246.11596889508897</v>
      </c>
      <c r="CX33" s="62">
        <f t="shared" si="14"/>
        <v>457.02592145997937</v>
      </c>
      <c r="CY33" s="62">
        <f ca="1">AVERAGE(OFFSET($CX$3,0,0,'Données projet'!$E$13+1,1))-AVERAGE(OFFSET($H$3,0,0,'Données projet'!$E$13+1,1))</f>
        <v>520.23742527061836</v>
      </c>
      <c r="CZ33" s="62">
        <f t="shared" si="42"/>
        <v>321.35925479331274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21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121</v>
      </c>
      <c r="DM33" s="13">
        <f>VLOOKUP(A33,'Données projet'!$A$165:$I$185,9,0)</f>
        <v>9.1999999999999993</v>
      </c>
      <c r="DN33" s="13">
        <f t="array" ref="DN33">INDEX(DM:DM,MIN(IF(ISNUMBER(DM33:DM229),ROW(DM33:DM229),"")))</f>
        <v>9.1999999999999993</v>
      </c>
      <c r="DO33" s="13">
        <f>IF('Données projet'!$A$166&gt;35,DO32+DN33-DW32,IF(A33&lt;'Données projet'!$A$166,$DL$205^A33,IF(A33='Données projet'!$A$166,'Données projet'!$B$166,DO32+DN33-DW32)))</f>
        <v>121.00000000000003</v>
      </c>
      <c r="DP33" s="18">
        <f>DO33*VLOOKUP('Données projet'!$B$14,Paramètres!$A$1:$I$89,3,0)*VLOOKUP('Données projet'!$B$14,Paramètres!$A$1:$I$89,5,0)</f>
        <v>122.69400000000003</v>
      </c>
      <c r="DQ33" s="14">
        <f t="shared" si="43"/>
        <v>32.302516360650685</v>
      </c>
      <c r="DR33" s="22">
        <f t="shared" si="16"/>
        <v>269.95226599480003</v>
      </c>
      <c r="DS33" s="62">
        <f t="shared" si="17"/>
        <v>480.86221855969046</v>
      </c>
      <c r="DT33" s="62">
        <f ca="1">AVERAGE(OFFSET($DS$3,0,0,'Données projet'!$E$14+1,1))-AVERAGE(OFFSET($H$3,0,0,'Données projet'!$E$14+1,1))</f>
        <v>547.89540791313675</v>
      </c>
      <c r="DU33" s="62">
        <f t="shared" si="44"/>
        <v>345.19555189302378</v>
      </c>
      <c r="DV33" s="16">
        <f>IF(ISNA(VLOOKUP(A33,'Données projet'!$A$165:$I$185,3,0)),0,VLOOKUP(A33,'Données projet'!$A$165:$I$185,3,0))</f>
        <v>3</v>
      </c>
      <c r="DW33" s="16">
        <f>IF(ISNA(VLOOKUP(A33,'Données projet'!$A$165:$I$185,4,0)),0,VLOOKUP(A33,'Données projet'!$A$165:$I$185,4,0))</f>
        <v>28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185</v>
      </c>
      <c r="EH33" s="13">
        <f>VLOOKUP(A33,'Données projet'!$A$191:$I$211,9,0)</f>
        <v>13.2</v>
      </c>
      <c r="EI33" s="13">
        <f t="array" ref="EI33">INDEX(EH:EH,MIN(IF(ISNUMBER(EH33:EH229),ROW(EH33:EH229),"")))</f>
        <v>13.2</v>
      </c>
      <c r="EJ33" s="13">
        <f>IF('Données projet'!$A$192&gt;35,EJ32+EI33-ER32,IF(A33&lt;'Données projet'!$A$192,$EG$205^A33,IF(A33='Données projet'!$A$192,'Données projet'!$B$192,EJ32+EI33-ER32)))</f>
        <v>184.99999999999997</v>
      </c>
      <c r="EK33" s="18">
        <f>EJ33*VLOOKUP('Données projet'!$B$15,Paramètres!$A$1:$I$89,3,0)*VLOOKUP('Données projet'!$B$15,Paramètres!$A$1:$I$89,5,0)</f>
        <v>193.36199999999999</v>
      </c>
      <c r="EL33" s="14">
        <f t="shared" si="45"/>
        <v>48.282482845036888</v>
      </c>
      <c r="EM33" s="22">
        <f t="shared" si="19"/>
        <v>420.86414095510594</v>
      </c>
      <c r="EN33" s="62">
        <f t="shared" si="20"/>
        <v>631.77409351999631</v>
      </c>
      <c r="EO33" s="62">
        <f ca="1">AVERAGE(OFFSET($EN$3,0,0,'Données projet'!$E$15+1,1))-AVERAGE(OFFSET($H$3,0,0,'Données projet'!$E$15+1,1))</f>
        <v>418.23737352070503</v>
      </c>
      <c r="EP33" s="62">
        <f t="shared" si="46"/>
        <v>496.10742685332968</v>
      </c>
      <c r="EQ33" s="16">
        <f>IF(ISNA(VLOOKUP(A33,'Données projet'!$A$191:$I$211,3,0)),0,VLOOKUP(A33,'Données projet'!$A$191:$I$211,3,0))</f>
        <v>4</v>
      </c>
      <c r="ER33" s="16">
        <f>IF(ISNA(VLOOKUP(A33,'Données projet'!$A$191:$I$211,4,0)),0,VLOOKUP(A33,'Données projet'!$A$191:$I$211,4,0))</f>
        <v>44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132</v>
      </c>
      <c r="FC33" s="13">
        <f>VLOOKUP(A33,'Données projet'!$A$217:$I$237,9,0)</f>
        <v>9.6666666666666661</v>
      </c>
      <c r="FD33" s="13">
        <f t="array" ref="FD33">INDEX(FC:FC,MIN(IF(ISNUMBER(FC33:FC229),ROW(FC33:FC229),"")))</f>
        <v>9.6666666666666661</v>
      </c>
      <c r="FE33" s="13">
        <f>IF('Données projet'!$A$218&gt;35,FE32+FD33-FM32,IF(A33&lt;'Données projet'!$A$218,$FB$205^A33,IF(A33='Données projet'!$A$218,'Données projet'!$B$218,FE32+FD33-FM32)))</f>
        <v>132</v>
      </c>
      <c r="FF33" s="18">
        <f>FE33*VLOOKUP('Données projet'!$B$16,Paramètres!$A$1:$I$89,3,0)*VLOOKUP('Données projet'!$B$16,Paramètres!$A$1:$I$89,5,0)</f>
        <v>78.936000000000007</v>
      </c>
      <c r="FG33" s="14">
        <f t="shared" si="47"/>
        <v>21.876828219051273</v>
      </c>
      <c r="FH33" s="22">
        <f t="shared" si="22"/>
        <v>175.5823424815143</v>
      </c>
      <c r="FI33" s="62">
        <f t="shared" si="23"/>
        <v>386.49229504640471</v>
      </c>
      <c r="FJ33" s="62">
        <f ca="1">AVERAGE(OFFSET($FI$3,0,0,'Données projet'!$E$16+1,1))-AVERAGE(OFFSET($H$3,0,0,'Données projet'!$E$16+1,1))</f>
        <v>341.70983624543067</v>
      </c>
      <c r="FK33" s="62">
        <f t="shared" si="48"/>
        <v>250.82562837973805</v>
      </c>
      <c r="FL33" s="16">
        <f>IF(ISNA(VLOOKUP(A33,'Données projet'!$A$217:$I$237,3,0)),0,VLOOKUP(A33,'Données projet'!$A$217:$I$237,3,0))</f>
        <v>2</v>
      </c>
      <c r="FM33" s="16">
        <f>IF(ISNA(VLOOKUP(A33,'Données projet'!$A$217:$I$237,4,0)),0,VLOOKUP(A33,'Données projet'!$A$217:$I$237,4,0))</f>
        <v>13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1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12.392705853506106</v>
      </c>
      <c r="FT33" s="24">
        <f t="shared" si="24"/>
        <v>12.392705853506106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121</v>
      </c>
      <c r="FX33" s="13">
        <f>VLOOKUP(A33,'Données projet'!$A$243:$I$263,9,0)</f>
        <v>4.0333333333333332</v>
      </c>
      <c r="FY33" s="13">
        <f t="array" ref="FY33">INDEX(FX:FX,MIN(IF(ISNUMBER(FX33:FX229),ROW(FX33:FX229),"")))</f>
        <v>4.0333333333333332</v>
      </c>
      <c r="FZ33" s="13">
        <f>IF('Données projet'!$A$244&gt;35,FZ32+FY33-GH32,IF(A33&lt;'Données projet'!$A$244,$FW$205^A33,IF(A33='Données projet'!$A$244,'Données projet'!$B$244,FZ32+FY33-GH32)))</f>
        <v>121</v>
      </c>
      <c r="GA33" s="18">
        <f>FZ33*VLOOKUP('Données projet'!$B$17,Paramètres!$A$1:$I$89,3,0)*VLOOKUP('Données projet'!$B$17,Paramètres!$A$1:$I$89,5,0)</f>
        <v>56.627999999999993</v>
      </c>
      <c r="GB33" s="14">
        <f t="shared" si="49"/>
        <v>16.312872953208519</v>
      </c>
      <c r="GC33" s="22">
        <f t="shared" si="25"/>
        <v>127.03868706017148</v>
      </c>
      <c r="GD33" s="62">
        <f t="shared" si="26"/>
        <v>337.9486396250619</v>
      </c>
      <c r="GE33" s="62">
        <f ca="1">AVERAGE(OFFSET($GD$3,0,0,'Données projet'!$E$17+1,1))-AVERAGE(OFFSET($H$3,0,0,'Données projet'!$E$17+1,1))</f>
        <v>368.69628434154333</v>
      </c>
      <c r="GF33" s="62">
        <f t="shared" si="50"/>
        <v>202.28197295839524</v>
      </c>
      <c r="GG33" s="16">
        <f>IF(ISNA(VLOOKUP(A33,'Données projet'!$A$243:$I$263,3,0)),0,VLOOKUP(A33,'Données projet'!$A$243:$I$263,3,0))</f>
        <v>1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>
        <f>VLOOKUP(A33,'Données projet'!$A$269:$I$289,2,0)</f>
        <v>163</v>
      </c>
      <c r="GS33" s="13">
        <f>VLOOKUP(A33,'Données projet'!$A$269:$I$289,9,0)</f>
        <v>11.4</v>
      </c>
      <c r="GT33" s="13">
        <f t="array" ref="GT33">INDEX(GS:GS,MIN(IF(ISNUMBER(GS33:GS229),ROW(GS33:GS229),"")))</f>
        <v>11.4</v>
      </c>
      <c r="GU33" s="13">
        <f>IF('Données projet'!$A$270&gt;35,GU32+GT33-HC32,IF(A33&lt;'Données projet'!$A$270,$GR$205^A33,IF(A33='Données projet'!$A$270,'Données projet'!$B$270,GU32+GT33-HC32)))</f>
        <v>163</v>
      </c>
      <c r="GV33" s="18">
        <f>GU33*VLOOKUP('Données projet'!$B$18,Paramètres!$A$1:$I$89,3,0)*VLOOKUP('Données projet'!$B$18,Paramètres!$A$1:$I$89,5,0)</f>
        <v>142.39680000000004</v>
      </c>
      <c r="GW33" s="14">
        <f t="shared" si="51"/>
        <v>36.845535084476985</v>
      </c>
      <c r="GX33" s="22">
        <f t="shared" si="28"/>
        <v>312.18040027213078</v>
      </c>
      <c r="GY33" s="62">
        <f t="shared" si="29"/>
        <v>523.09035283702121</v>
      </c>
      <c r="GZ33" s="62">
        <f ca="1">AVERAGE(OFFSET($GY$3,0,0,'Données projet'!$E$18+1,1))-AVERAGE(OFFSET($H$3,0,0,'Données projet'!$E$18+1,1))</f>
        <v>378.51861272969165</v>
      </c>
      <c r="HA33" s="62">
        <f t="shared" si="52"/>
        <v>387.42368617035459</v>
      </c>
      <c r="HB33" s="16">
        <f>IF(ISNA(VLOOKUP(A33,'Données projet'!$A$269:$I$289,3,0)),0,VLOOKUP(A33,'Données projet'!$A$269:$I$289,3,0))</f>
        <v>3</v>
      </c>
      <c r="HC33" s="16">
        <f>IF(ISNA(VLOOKUP(A33,'Données projet'!$A$269:$I$289,4,0)),0,VLOOKUP(A33,'Données projet'!$A$269:$I$289,4,0))</f>
        <v>37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0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0</v>
      </c>
      <c r="HJ33" s="24">
        <f t="shared" si="30"/>
        <v>0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135.66666666666666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10.3</v>
      </c>
      <c r="N34" s="14">
        <f>IF('Données projet'!$A$36&gt;35,N33+M34-V33,IF(A34&lt;'Données projet'!$A$36,$K$205^A34,IF(A34='Données projet'!$A$36,'Données projet'!$B$36,N33+M34-V33)))</f>
        <v>154.30000000000001</v>
      </c>
      <c r="O34" s="14">
        <f>N34*VLOOKUP('Données projet'!$B$9,Paramètres!$A$1:$I$89,3,0)*VLOOKUP('Données projet'!$B$9,Paramètres!$A$1:$I$89,5,0)</f>
        <v>92.271400000000014</v>
      </c>
      <c r="P34" s="14">
        <f t="shared" si="33"/>
        <v>25.112234796315317</v>
      </c>
      <c r="Q34" s="22">
        <f t="shared" si="2"/>
        <v>204.44316393691588</v>
      </c>
      <c r="R34" s="62">
        <f t="shared" si="0"/>
        <v>416.78297788706516</v>
      </c>
      <c r="S34" s="62">
        <f ca="1">AVERAGE(OFFSET($R$3,0,0,'Données projet'!$E$9+1,1))-AVERAGE(OFFSET($H$3,0,0,'Données projet'!$E$9+1,1))</f>
        <v>437.94016462147999</v>
      </c>
      <c r="T34" s="62">
        <f t="shared" si="34"/>
        <v>281.88254003380348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5.7900553057132651</v>
      </c>
      <c r="AC34" s="24">
        <f t="shared" si="3"/>
        <v>5.7900553057132651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7.8</v>
      </c>
      <c r="AI34" s="14">
        <f>IF('Données projet'!$A$62&gt;35,AI33+AH34-AQ33,IF(A34&lt;'Données projet'!$A$62,$AF$205^A34,IF(A34='Données projet'!$A$62,'Données projet'!$B$62,AI33+AH34-AQ33)))</f>
        <v>84.8</v>
      </c>
      <c r="AJ34" s="14">
        <f>AI34*VLOOKUP('Données projet'!$B$10,Paramètres!$A$1:$I$89,3,0)*VLOOKUP('Données projet'!$B$10,Paramètres!$A$1:$I$89,5,0)</f>
        <v>76.727040000000002</v>
      </c>
      <c r="AK34" s="14">
        <f t="shared" si="35"/>
        <v>21.334993267156708</v>
      </c>
      <c r="AL34" s="22">
        <f t="shared" si="4"/>
        <v>170.79137460696458</v>
      </c>
      <c r="AM34" s="62">
        <f t="shared" si="5"/>
        <v>383.13118855711389</v>
      </c>
      <c r="AN34" s="62">
        <f ca="1">AVERAGE(OFFSET($AM$3,0,0,'Données projet'!$E$10+1,1))-AVERAGE(OFFSET($H$3,0,0,'Données projet'!$E$10+1,1))</f>
        <v>434.56763649859136</v>
      </c>
      <c r="AO34" s="62">
        <f t="shared" si="36"/>
        <v>271.90302066766264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1.1368683772161603E-13</v>
      </c>
      <c r="BE34" s="14">
        <f>BD34*VLOOKUP('Données projet'!$B$11,Paramètres!$A$1:$I$89,3,0)*VLOOKUP('Données projet'!$B$11,Paramètres!$A$1:$I$89,5,0)</f>
        <v>6.7984728957526396E-14</v>
      </c>
      <c r="BF34" s="14">
        <f t="shared" si="37"/>
        <v>1.0682447123141398E-12</v>
      </c>
      <c r="BG34" s="22">
        <f t="shared" si="7"/>
        <v>1.978932943548152E-12</v>
      </c>
      <c r="BH34" s="62">
        <f t="shared" si="8"/>
        <v>212.3398139501513</v>
      </c>
      <c r="BI34" s="62">
        <f ca="1">AVERAGE(OFFSET($BH$3,0,0,'Données projet'!$E$11+1,1))-AVERAGE(OFFSET($H$3,0,0,'Données projet'!$E$11+1,1))</f>
        <v>199.65420589615553</v>
      </c>
      <c r="BJ34" s="62">
        <f t="shared" si="38"/>
        <v>477.85821088970999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52.274828599443445</v>
      </c>
      <c r="BQ34" s="23">
        <f>EXP(-LN(2)/25)*BQ33+(1-EXP(-LN(2)/25))/(LN(2)/25)*Calculateur!BL34*Calculateur!BN34*VLOOKUP('Données projet'!$B$11,Paramètres!$A$1:$I$89,3,0)*0.475*44/12</f>
        <v>42.74703206752784</v>
      </c>
      <c r="BR34" s="23">
        <f>EXP(-LN(2)/2)*BR33+(1-EXP(-LN(2)/2))/(LN(2)/2)*BL34*BO34*VLOOKUP('Données projet'!$B$11,Paramètres!$A$1:$I$89,3,0)*0.475*44/12</f>
        <v>30.806793228457632</v>
      </c>
      <c r="BS34" s="24">
        <f t="shared" si="9"/>
        <v>125.82865389542893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10.3</v>
      </c>
      <c r="BY34" s="13">
        <f>IF('Données projet'!$A$114&gt;35,BY33+BX34-CG33,IF(A34&lt;'Données projet'!$A$114,$BV$205^A34,IF(A34='Données projet'!$A$114,'Données projet'!$B$114,BY33+BX34-CG33)))</f>
        <v>154.30000000000001</v>
      </c>
      <c r="BZ34" s="14">
        <f>BY34*VLOOKUP('Données projet'!$B$12,Paramètres!$A$1:$I$89,3,0)*VLOOKUP('Données projet'!$B$12,Paramètres!$A$1:$I$89,5,0)</f>
        <v>92.271400000000014</v>
      </c>
      <c r="CA34" s="14">
        <f t="shared" si="39"/>
        <v>25.112234796315317</v>
      </c>
      <c r="CB34" s="22">
        <f t="shared" si="10"/>
        <v>204.44316393691588</v>
      </c>
      <c r="CC34" s="62">
        <f t="shared" si="11"/>
        <v>416.78297788706516</v>
      </c>
      <c r="CD34" s="62">
        <f ca="1">AVERAGE(OFFSET($CC$3,0,0,'Données projet'!$E$12+1,1))-AVERAGE(OFFSET($H$3,0,0,'Données projet'!$E$12+1,1))</f>
        <v>437.94016462147999</v>
      </c>
      <c r="CE34" s="62">
        <f t="shared" si="40"/>
        <v>281.88254003380348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5.7900553057132651</v>
      </c>
      <c r="CN34" s="24">
        <f t="shared" si="12"/>
        <v>5.7900553057132651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7.8</v>
      </c>
      <c r="CT34" s="13">
        <f>IF('Données projet'!$A$140&gt;35,CT33+CS34-DB33,IF(A34&lt;'Données projet'!$A$140,$CQ$205^A34,IF(A34='Données projet'!$A$140,'Données projet'!$B$140,CT33+CS34-DB33)))</f>
        <v>84.8</v>
      </c>
      <c r="CU34" s="18">
        <f>CT34*VLOOKUP('Données projet'!$B$13,Paramètres!$A$1:$I$89,3,0)*VLOOKUP('Données projet'!$B$13,Paramètres!$A$1:$I$89,5,0)</f>
        <v>96.570239999999998</v>
      </c>
      <c r="CV34" s="14">
        <f t="shared" si="41"/>
        <v>26.143252304444918</v>
      </c>
      <c r="CW34" s="22">
        <f t="shared" si="13"/>
        <v>213.72599909690823</v>
      </c>
      <c r="CX34" s="62">
        <f t="shared" si="14"/>
        <v>426.06581304705753</v>
      </c>
      <c r="CY34" s="62">
        <f ca="1">AVERAGE(OFFSET($CX$3,0,0,'Données projet'!$E$13+1,1))-AVERAGE(OFFSET($H$3,0,0,'Données projet'!$E$13+1,1))</f>
        <v>520.23742527061836</v>
      </c>
      <c r="CZ34" s="62">
        <f t="shared" si="42"/>
        <v>321.35925479331274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10.8</v>
      </c>
      <c r="DO34" s="13">
        <f>IF('Données projet'!$A$166&gt;35,DO33+DN34-DW33,IF(A34&lt;'Données projet'!$A$166,$DL$205^A34,IF(A34='Données projet'!$A$166,'Données projet'!$B$166,DO33+DN34-DW33)))</f>
        <v>103.80000000000004</v>
      </c>
      <c r="DP34" s="18">
        <f>DO34*VLOOKUP('Données projet'!$B$14,Paramètres!$A$1:$I$89,3,0)*VLOOKUP('Données projet'!$B$14,Paramètres!$A$1:$I$89,5,0)</f>
        <v>105.25320000000005</v>
      </c>
      <c r="DQ34" s="14">
        <f t="shared" si="43"/>
        <v>28.209746498519422</v>
      </c>
      <c r="DR34" s="22">
        <f t="shared" si="16"/>
        <v>232.44796515158808</v>
      </c>
      <c r="DS34" s="62">
        <f t="shared" si="17"/>
        <v>444.78777910173739</v>
      </c>
      <c r="DT34" s="62">
        <f ca="1">AVERAGE(OFFSET($DS$3,0,0,'Données projet'!$E$14+1,1))-AVERAGE(OFFSET($H$3,0,0,'Données projet'!$E$14+1,1))</f>
        <v>547.89540791313675</v>
      </c>
      <c r="DU34" s="62">
        <f t="shared" si="44"/>
        <v>345.19555189302378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12</v>
      </c>
      <c r="EJ34" s="13">
        <f>IF('Données projet'!$A$192&gt;35,EJ33+EI34-ER33,IF(A34&lt;'Données projet'!$A$192,$EG$205^A34,IF(A34='Données projet'!$A$192,'Données projet'!$B$192,EJ33+EI34-ER33)))</f>
        <v>152.99999999999997</v>
      </c>
      <c r="EK34" s="18">
        <f>EJ34*VLOOKUP('Données projet'!$B$15,Paramètres!$A$1:$I$89,3,0)*VLOOKUP('Données projet'!$B$15,Paramètres!$A$1:$I$89,5,0)</f>
        <v>159.91559999999998</v>
      </c>
      <c r="EL34" s="14">
        <f t="shared" si="45"/>
        <v>40.823478166557685</v>
      </c>
      <c r="EM34" s="22">
        <f t="shared" si="19"/>
        <v>349.620561140088</v>
      </c>
      <c r="EN34" s="62">
        <f t="shared" si="20"/>
        <v>561.96037509023733</v>
      </c>
      <c r="EO34" s="62">
        <f ca="1">AVERAGE(OFFSET($EN$3,0,0,'Données projet'!$E$15+1,1))-AVERAGE(OFFSET($H$3,0,0,'Données projet'!$E$15+1,1))</f>
        <v>418.23737352070503</v>
      </c>
      <c r="EP34" s="62">
        <f t="shared" si="46"/>
        <v>496.10742685332968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10</v>
      </c>
      <c r="FE34" s="13">
        <f>IF('Données projet'!$A$218&gt;35,FE33+FD34-FM33,IF(A34&lt;'Données projet'!$A$218,$FB$205^A34,IF(A34='Données projet'!$A$218,'Données projet'!$B$218,FE33+FD34-FM33)))</f>
        <v>129</v>
      </c>
      <c r="FF34" s="18">
        <f>FE34*VLOOKUP('Données projet'!$B$16,Paramètres!$A$1:$I$89,3,0)*VLOOKUP('Données projet'!$B$16,Paramètres!$A$1:$I$89,5,0)</f>
        <v>77.14200000000001</v>
      </c>
      <c r="FG34" s="14">
        <f t="shared" si="47"/>
        <v>21.436915648510755</v>
      </c>
      <c r="FH34" s="22">
        <f t="shared" si="22"/>
        <v>171.69161142115624</v>
      </c>
      <c r="FI34" s="62">
        <f t="shared" si="23"/>
        <v>384.03142537130555</v>
      </c>
      <c r="FJ34" s="62">
        <f ca="1">AVERAGE(OFFSET($FI$3,0,0,'Données projet'!$E$16+1,1))-AVERAGE(OFFSET($H$3,0,0,'Données projet'!$E$16+1,1))</f>
        <v>341.70983624543067</v>
      </c>
      <c r="FK34" s="62">
        <f t="shared" si="48"/>
        <v>250.82562837973805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8.7629663462643901</v>
      </c>
      <c r="FT34" s="24">
        <f t="shared" si="24"/>
        <v>8.7629663462643901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11.5</v>
      </c>
      <c r="FZ34" s="13">
        <f>IF('Données projet'!$A$244&gt;35,FZ33+FY34-GH33,IF(A34&lt;'Données projet'!$A$244,$FW$205^A34,IF(A34='Données projet'!$A$244,'Données projet'!$B$244,FZ33+FY34-GH33)))</f>
        <v>132.5</v>
      </c>
      <c r="GA34" s="18">
        <f>FZ34*VLOOKUP('Données projet'!$B$17,Paramètres!$A$1:$I$89,3,0)*VLOOKUP('Données projet'!$B$17,Paramètres!$A$1:$I$89,5,0)</f>
        <v>62.01</v>
      </c>
      <c r="GB34" s="14">
        <f t="shared" si="49"/>
        <v>17.675481393668683</v>
      </c>
      <c r="GC34" s="22">
        <f t="shared" si="25"/>
        <v>138.78554676063962</v>
      </c>
      <c r="GD34" s="62">
        <f t="shared" si="26"/>
        <v>351.12536071078893</v>
      </c>
      <c r="GE34" s="62">
        <f ca="1">AVERAGE(OFFSET($GD$3,0,0,'Données projet'!$E$17+1,1))-AVERAGE(OFFSET($H$3,0,0,'Données projet'!$E$17+1,1))</f>
        <v>368.69628434154333</v>
      </c>
      <c r="GF34" s="62">
        <f t="shared" si="50"/>
        <v>202.28197295839524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10.6</v>
      </c>
      <c r="GU34" s="13">
        <f>IF('Données projet'!$A$270&gt;35,GU33+GT34-HC33,IF(A34&lt;'Données projet'!$A$270,$GR$205^A34,IF(A34='Données projet'!$A$270,'Données projet'!$B$270,GU33+GT34-HC33)))</f>
        <v>136.6</v>
      </c>
      <c r="GV34" s="18">
        <f>GU34*VLOOKUP('Données projet'!$B$18,Paramètres!$A$1:$I$89,3,0)*VLOOKUP('Données projet'!$B$18,Paramètres!$A$1:$I$89,5,0)</f>
        <v>119.33376000000001</v>
      </c>
      <c r="GW34" s="14">
        <f t="shared" si="51"/>
        <v>31.519559440518702</v>
      </c>
      <c r="GX34" s="22">
        <f t="shared" si="28"/>
        <v>262.7361980255701</v>
      </c>
      <c r="GY34" s="62">
        <f t="shared" si="29"/>
        <v>475.07601197571944</v>
      </c>
      <c r="GZ34" s="62">
        <f ca="1">AVERAGE(OFFSET($GY$3,0,0,'Données projet'!$E$18+1,1))-AVERAGE(OFFSET($H$3,0,0,'Données projet'!$E$18+1,1))</f>
        <v>378.51861272969165</v>
      </c>
      <c r="HA34" s="62">
        <f t="shared" si="52"/>
        <v>387.42368617035459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0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0</v>
      </c>
      <c r="HJ34" s="24">
        <f t="shared" si="30"/>
        <v>0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135.66666666666666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10.3</v>
      </c>
      <c r="N35" s="14">
        <f>IF('Données projet'!$A$36&gt;35,N34+M35-V34,IF(A35&lt;'Données projet'!$A$36,$K$205^A35,IF(A35='Données projet'!$A$36,'Données projet'!$B$36,N34+M35-V34)))</f>
        <v>164.60000000000002</v>
      </c>
      <c r="O35" s="14">
        <f>N35*VLOOKUP('Données projet'!$B$9,Paramètres!$A$1:$I$89,3,0)*VLOOKUP('Données projet'!$B$9,Paramètres!$A$1:$I$89,5,0)</f>
        <v>98.430800000000019</v>
      </c>
      <c r="P35" s="14">
        <f t="shared" si="33"/>
        <v>26.587813857912444</v>
      </c>
      <c r="Q35" s="22">
        <f t="shared" ref="Q35:Q66" si="53">(O35+P35)*0.475*44/12</f>
        <v>217.74075246919756</v>
      </c>
      <c r="R35" s="62">
        <f t="shared" si="0"/>
        <v>431.48562290626273</v>
      </c>
      <c r="S35" s="62">
        <f ca="1">AVERAGE(OFFSET($R$3,0,0,'Données projet'!$E$9+1,1))-AVERAGE(OFFSET($H$3,0,0,'Données projet'!$E$9+1,1))</f>
        <v>437.94016462147999</v>
      </c>
      <c r="T35" s="62">
        <f t="shared" si="34"/>
        <v>281.88254003380348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4.0941873701149989</v>
      </c>
      <c r="AC35" s="24">
        <f t="shared" si="3"/>
        <v>4.0941873701149989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7.8</v>
      </c>
      <c r="AI35" s="14">
        <f>IF('Données projet'!$A$62&gt;35,AI34+AH35-AQ34,IF(A35&lt;'Données projet'!$A$62,$AF$205^A35,IF(A35='Données projet'!$A$62,'Données projet'!$B$62,AI34+AH35-AQ34)))</f>
        <v>92.6</v>
      </c>
      <c r="AJ35" s="14">
        <f>AI35*VLOOKUP('Données projet'!$B$10,Paramètres!$A$1:$I$89,3,0)*VLOOKUP('Données projet'!$B$10,Paramètres!$A$1:$I$89,5,0)</f>
        <v>83.784479999999988</v>
      </c>
      <c r="AK35" s="14">
        <f t="shared" si="35"/>
        <v>23.06000530770384</v>
      </c>
      <c r="AL35" s="22">
        <f t="shared" si="4"/>
        <v>186.08747857758416</v>
      </c>
      <c r="AM35" s="62">
        <f t="shared" si="5"/>
        <v>399.83234901464931</v>
      </c>
      <c r="AN35" s="62">
        <f ca="1">AVERAGE(OFFSET($AM$3,0,0,'Données projet'!$E$10+1,1))-AVERAGE(OFFSET($H$3,0,0,'Données projet'!$E$10+1,1))</f>
        <v>434.56763649859136</v>
      </c>
      <c r="AO35" s="62">
        <f t="shared" si="36"/>
        <v>271.90302066766264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1.1368683772161603E-13</v>
      </c>
      <c r="BE35" s="14">
        <f>BD35*VLOOKUP('Données projet'!$B$11,Paramètres!$A$1:$I$89,3,0)*VLOOKUP('Données projet'!$B$11,Paramètres!$A$1:$I$89,5,0)</f>
        <v>6.7984728957526396E-14</v>
      </c>
      <c r="BF35" s="14">
        <f t="shared" si="37"/>
        <v>1.0682447123141398E-12</v>
      </c>
      <c r="BG35" s="22">
        <f t="shared" si="7"/>
        <v>1.978932943548152E-12</v>
      </c>
      <c r="BH35" s="62">
        <f t="shared" si="8"/>
        <v>213.74487043706714</v>
      </c>
      <c r="BI35" s="62">
        <f ca="1">AVERAGE(OFFSET($BH$3,0,0,'Données projet'!$E$11+1,1))-AVERAGE(OFFSET($H$3,0,0,'Données projet'!$E$11+1,1))</f>
        <v>199.65420589615553</v>
      </c>
      <c r="BJ35" s="62">
        <f t="shared" si="38"/>
        <v>477.85821088970999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51.249751095105474</v>
      </c>
      <c r="BQ35" s="23">
        <f>EXP(-LN(2)/25)*BQ34+(1-EXP(-LN(2)/25))/(LN(2)/25)*Calculateur!BL35*Calculateur!BN35*VLOOKUP('Données projet'!$B$11,Paramètres!$A$1:$I$89,3,0)*0.475*44/12</f>
        <v>41.578112227672577</v>
      </c>
      <c r="BR35" s="23">
        <f>EXP(-LN(2)/2)*BR34+(1-EXP(-LN(2)/2))/(LN(2)/2)*BL35*BO35*VLOOKUP('Données projet'!$B$11,Paramètres!$A$1:$I$89,3,0)*0.475*44/12</f>
        <v>21.783692398454207</v>
      </c>
      <c r="BS35" s="24">
        <f t="shared" si="9"/>
        <v>114.61155572123226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10.3</v>
      </c>
      <c r="BY35" s="13">
        <f>IF('Données projet'!$A$114&gt;35,BY34+BX35-CG34,IF(A35&lt;'Données projet'!$A$114,$BV$205^A35,IF(A35='Données projet'!$A$114,'Données projet'!$B$114,BY34+BX35-CG34)))</f>
        <v>164.60000000000002</v>
      </c>
      <c r="BZ35" s="14">
        <f>BY35*VLOOKUP('Données projet'!$B$12,Paramètres!$A$1:$I$89,3,0)*VLOOKUP('Données projet'!$B$12,Paramètres!$A$1:$I$89,5,0)</f>
        <v>98.430800000000019</v>
      </c>
      <c r="CA35" s="14">
        <f t="shared" si="39"/>
        <v>26.587813857912444</v>
      </c>
      <c r="CB35" s="22">
        <f t="shared" si="10"/>
        <v>217.74075246919756</v>
      </c>
      <c r="CC35" s="62">
        <f t="shared" si="11"/>
        <v>431.48562290626273</v>
      </c>
      <c r="CD35" s="62">
        <f ca="1">AVERAGE(OFFSET($CC$3,0,0,'Données projet'!$E$12+1,1))-AVERAGE(OFFSET($H$3,0,0,'Données projet'!$E$12+1,1))</f>
        <v>437.94016462147999</v>
      </c>
      <c r="CE35" s="62">
        <f t="shared" si="40"/>
        <v>281.88254003380348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4.0941873701149989</v>
      </c>
      <c r="CN35" s="24">
        <f t="shared" si="12"/>
        <v>4.0941873701149989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7.8</v>
      </c>
      <c r="CT35" s="13">
        <f>IF('Données projet'!$A$140&gt;35,CT34+CS35-DB34,IF(A35&lt;'Données projet'!$A$140,$CQ$205^A35,IF(A35='Données projet'!$A$140,'Données projet'!$B$140,CT34+CS35-DB34)))</f>
        <v>92.6</v>
      </c>
      <c r="CU35" s="18">
        <f>CT35*VLOOKUP('Données projet'!$B$13,Paramètres!$A$1:$I$89,3,0)*VLOOKUP('Données projet'!$B$13,Paramètres!$A$1:$I$89,5,0)</f>
        <v>105.45288000000001</v>
      </c>
      <c r="CV35" s="14">
        <f t="shared" si="41"/>
        <v>28.25702962977704</v>
      </c>
      <c r="CW35" s="22">
        <f t="shared" si="13"/>
        <v>232.87809260519506</v>
      </c>
      <c r="CX35" s="62">
        <f t="shared" si="14"/>
        <v>446.62296304226021</v>
      </c>
      <c r="CY35" s="62">
        <f ca="1">AVERAGE(OFFSET($CX$3,0,0,'Données projet'!$E$13+1,1))-AVERAGE(OFFSET($H$3,0,0,'Données projet'!$E$13+1,1))</f>
        <v>520.23742527061836</v>
      </c>
      <c r="CZ35" s="62">
        <f t="shared" si="42"/>
        <v>321.35925479331274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10.8</v>
      </c>
      <c r="DO35" s="13">
        <f>IF('Données projet'!$A$166&gt;35,DO34+DN35-DW34,IF(A35&lt;'Données projet'!$A$166,$DL$205^A35,IF(A35='Données projet'!$A$166,'Données projet'!$B$166,DO34+DN35-DW34)))</f>
        <v>114.60000000000004</v>
      </c>
      <c r="DP35" s="18">
        <f>DO35*VLOOKUP('Données projet'!$B$14,Paramètres!$A$1:$I$89,3,0)*VLOOKUP('Données projet'!$B$14,Paramètres!$A$1:$I$89,5,0)</f>
        <v>116.20440000000004</v>
      </c>
      <c r="DQ35" s="14">
        <f t="shared" si="43"/>
        <v>30.788088768016376</v>
      </c>
      <c r="DR35" s="22">
        <f t="shared" si="16"/>
        <v>256.01191793762854</v>
      </c>
      <c r="DS35" s="62">
        <f t="shared" si="17"/>
        <v>469.75678837469366</v>
      </c>
      <c r="DT35" s="62">
        <f ca="1">AVERAGE(OFFSET($DS$3,0,0,'Données projet'!$E$14+1,1))-AVERAGE(OFFSET($H$3,0,0,'Données projet'!$E$14+1,1))</f>
        <v>547.89540791313675</v>
      </c>
      <c r="DU35" s="62">
        <f t="shared" si="44"/>
        <v>345.19555189302378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12</v>
      </c>
      <c r="EJ35" s="13">
        <f>IF('Données projet'!$A$192&gt;35,EJ34+EI35-ER34,IF(A35&lt;'Données projet'!$A$192,$EG$205^A35,IF(A35='Données projet'!$A$192,'Données projet'!$B$192,EJ34+EI35-ER34)))</f>
        <v>164.99999999999997</v>
      </c>
      <c r="EK35" s="18">
        <f>EJ35*VLOOKUP('Données projet'!$B$15,Paramètres!$A$1:$I$89,3,0)*VLOOKUP('Données projet'!$B$15,Paramètres!$A$1:$I$89,5,0)</f>
        <v>172.45799999999997</v>
      </c>
      <c r="EL35" s="14">
        <f t="shared" si="45"/>
        <v>43.640073035750248</v>
      </c>
      <c r="EM35" s="22">
        <f t="shared" si="19"/>
        <v>376.37081053726496</v>
      </c>
      <c r="EN35" s="62">
        <f t="shared" si="20"/>
        <v>590.11568097433008</v>
      </c>
      <c r="EO35" s="62">
        <f ca="1">AVERAGE(OFFSET($EN$3,0,0,'Données projet'!$E$15+1,1))-AVERAGE(OFFSET($H$3,0,0,'Données projet'!$E$15+1,1))</f>
        <v>418.23737352070503</v>
      </c>
      <c r="EP35" s="62">
        <f t="shared" si="46"/>
        <v>496.10742685332968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10</v>
      </c>
      <c r="FE35" s="13">
        <f>IF('Données projet'!$A$218&gt;35,FE34+FD35-FM34,IF(A35&lt;'Données projet'!$A$218,$FB$205^A35,IF(A35='Données projet'!$A$218,'Données projet'!$B$218,FE34+FD35-FM34)))</f>
        <v>139</v>
      </c>
      <c r="FF35" s="18">
        <f>FE35*VLOOKUP('Données projet'!$B$16,Paramètres!$A$1:$I$89,3,0)*VLOOKUP('Données projet'!$B$16,Paramètres!$A$1:$I$89,5,0)</f>
        <v>83.122000000000014</v>
      </c>
      <c r="FG35" s="14">
        <f t="shared" si="47"/>
        <v>22.898820278178533</v>
      </c>
      <c r="FH35" s="22">
        <f t="shared" si="22"/>
        <v>184.65292865116098</v>
      </c>
      <c r="FI35" s="62">
        <f t="shared" si="23"/>
        <v>398.39779908822612</v>
      </c>
      <c r="FJ35" s="62">
        <f ca="1">AVERAGE(OFFSET($FI$3,0,0,'Données projet'!$E$16+1,1))-AVERAGE(OFFSET($H$3,0,0,'Données projet'!$E$16+1,1))</f>
        <v>341.70983624543067</v>
      </c>
      <c r="FK35" s="62">
        <f t="shared" si="48"/>
        <v>250.82562837973805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6.1963529267530539</v>
      </c>
      <c r="FT35" s="24">
        <f t="shared" si="24"/>
        <v>6.1963529267530539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11.5</v>
      </c>
      <c r="FZ35" s="13">
        <f>IF('Données projet'!$A$244&gt;35,FZ34+FY35-GH34,IF(A35&lt;'Données projet'!$A$244,$FW$205^A35,IF(A35='Données projet'!$A$244,'Données projet'!$B$244,FZ34+FY35-GH34)))</f>
        <v>144</v>
      </c>
      <c r="GA35" s="18">
        <f>FZ35*VLOOKUP('Données projet'!$B$17,Paramètres!$A$1:$I$89,3,0)*VLOOKUP('Données projet'!$B$17,Paramètres!$A$1:$I$89,5,0)</f>
        <v>67.391999999999996</v>
      </c>
      <c r="GB35" s="14">
        <f t="shared" si="49"/>
        <v>19.02437502991798</v>
      </c>
      <c r="GC35" s="22">
        <f t="shared" si="25"/>
        <v>150.5085198437738</v>
      </c>
      <c r="GD35" s="62">
        <f t="shared" si="26"/>
        <v>364.25339028083897</v>
      </c>
      <c r="GE35" s="62">
        <f ca="1">AVERAGE(OFFSET($GD$3,0,0,'Données projet'!$E$17+1,1))-AVERAGE(OFFSET($H$3,0,0,'Données projet'!$E$17+1,1))</f>
        <v>368.69628434154333</v>
      </c>
      <c r="GF35" s="62">
        <f t="shared" si="50"/>
        <v>202.28197295839524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10.6</v>
      </c>
      <c r="GU35" s="13">
        <f>IF('Données projet'!$A$270&gt;35,GU34+GT35-HC34,IF(A35&lt;'Données projet'!$A$270,$GR$205^A35,IF(A35='Données projet'!$A$270,'Données projet'!$B$270,GU34+GT35-HC34)))</f>
        <v>147.19999999999999</v>
      </c>
      <c r="GV35" s="18">
        <f>GU35*VLOOKUP('Données projet'!$B$18,Paramètres!$A$1:$I$89,3,0)*VLOOKUP('Données projet'!$B$18,Paramètres!$A$1:$I$89,5,0)</f>
        <v>128.59392</v>
      </c>
      <c r="GW35" s="14">
        <f t="shared" si="51"/>
        <v>33.671250175837564</v>
      </c>
      <c r="GX35" s="22">
        <f t="shared" si="28"/>
        <v>282.61183805625041</v>
      </c>
      <c r="GY35" s="62">
        <f t="shared" si="29"/>
        <v>496.35670849331552</v>
      </c>
      <c r="GZ35" s="62">
        <f ca="1">AVERAGE(OFFSET($GY$3,0,0,'Données projet'!$E$18+1,1))-AVERAGE(OFFSET($H$3,0,0,'Données projet'!$E$18+1,1))</f>
        <v>378.51861272969165</v>
      </c>
      <c r="HA35" s="62">
        <f t="shared" si="52"/>
        <v>387.42368617035459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0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0</v>
      </c>
      <c r="HJ35" s="24">
        <f t="shared" si="30"/>
        <v>0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135.66666666666666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10.3</v>
      </c>
      <c r="N36" s="14">
        <f>IF('Données projet'!$A$36&gt;35,N35+M36-V35,IF(A36&lt;'Données projet'!$A$36,$K$205^A36,IF(A36='Données projet'!$A$36,'Données projet'!$B$36,N35+M36-V35)))</f>
        <v>174.90000000000003</v>
      </c>
      <c r="O36" s="14">
        <f>N36*VLOOKUP('Données projet'!$B$9,Paramètres!$A$1:$I$89,3,0)*VLOOKUP('Données projet'!$B$9,Paramètres!$A$1:$I$89,5,0)</f>
        <v>104.59020000000004</v>
      </c>
      <c r="P36" s="14">
        <f t="shared" si="33"/>
        <v>28.052676705559303</v>
      </c>
      <c r="Q36" s="22">
        <f t="shared" si="53"/>
        <v>231.01967692884918</v>
      </c>
      <c r="R36" s="62">
        <f t="shared" si="0"/>
        <v>446.14522926401787</v>
      </c>
      <c r="S36" s="62">
        <f ca="1">AVERAGE(OFFSET($R$3,0,0,'Données projet'!$E$9+1,1))-AVERAGE(OFFSET($H$3,0,0,'Données projet'!$E$9+1,1))</f>
        <v>437.94016462147999</v>
      </c>
      <c r="T36" s="62">
        <f t="shared" si="34"/>
        <v>281.88254003380348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2.895027652856633</v>
      </c>
      <c r="AC36" s="24">
        <f t="shared" si="3"/>
        <v>2.895027652856633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7.8</v>
      </c>
      <c r="AI36" s="14">
        <f>IF('Données projet'!$A$62&gt;35,AI35+AH36-AQ35,IF(A36&lt;'Données projet'!$A$62,$AF$205^A36,IF(A36='Données projet'!$A$62,'Données projet'!$B$62,AI35+AH36-AQ35)))</f>
        <v>100.39999999999999</v>
      </c>
      <c r="AJ36" s="14">
        <f>AI36*VLOOKUP('Données projet'!$B$10,Paramètres!$A$1:$I$89,3,0)*VLOOKUP('Données projet'!$B$10,Paramètres!$A$1:$I$89,5,0)</f>
        <v>90.841919999999988</v>
      </c>
      <c r="AK36" s="14">
        <f t="shared" si="35"/>
        <v>24.768165658148625</v>
      </c>
      <c r="AL36" s="22">
        <f t="shared" si="4"/>
        <v>201.35423252127552</v>
      </c>
      <c r="AM36" s="62">
        <f t="shared" si="5"/>
        <v>416.47978485644421</v>
      </c>
      <c r="AN36" s="62">
        <f ca="1">AVERAGE(OFFSET($AM$3,0,0,'Données projet'!$E$10+1,1))-AVERAGE(OFFSET($H$3,0,0,'Données projet'!$E$10+1,1))</f>
        <v>434.56763649859136</v>
      </c>
      <c r="AO36" s="62">
        <f t="shared" si="36"/>
        <v>271.90302066766264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1.1368683772161603E-13</v>
      </c>
      <c r="BE36" s="14">
        <f>BD36*VLOOKUP('Données projet'!$B$11,Paramètres!$A$1:$I$89,3,0)*VLOOKUP('Données projet'!$B$11,Paramètres!$A$1:$I$89,5,0)</f>
        <v>6.7984728957526396E-14</v>
      </c>
      <c r="BF36" s="14">
        <f t="shared" si="37"/>
        <v>1.0682447123141398E-12</v>
      </c>
      <c r="BG36" s="22">
        <f t="shared" si="7"/>
        <v>1.978932943548152E-12</v>
      </c>
      <c r="BH36" s="62">
        <f t="shared" si="8"/>
        <v>215.12555233517065</v>
      </c>
      <c r="BI36" s="62">
        <f ca="1">AVERAGE(OFFSET($BH$3,0,0,'Données projet'!$E$11+1,1))-AVERAGE(OFFSET($H$3,0,0,'Données projet'!$E$11+1,1))</f>
        <v>199.65420589615553</v>
      </c>
      <c r="BJ36" s="62">
        <f t="shared" si="38"/>
        <v>477.85821088970999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50.244774735392028</v>
      </c>
      <c r="BQ36" s="23">
        <f>EXP(-LN(2)/25)*BQ35+(1-EXP(-LN(2)/25))/(LN(2)/25)*Calculateur!BL36*Calculateur!BN36*VLOOKUP('Données projet'!$B$11,Paramètres!$A$1:$I$89,3,0)*0.475*44/12</f>
        <v>40.441156562308976</v>
      </c>
      <c r="BR36" s="23">
        <f>EXP(-LN(2)/2)*BR35+(1-EXP(-LN(2)/2))/(LN(2)/2)*BL36*BO36*VLOOKUP('Données projet'!$B$11,Paramètres!$A$1:$I$89,3,0)*0.475*44/12</f>
        <v>15.403396614228818</v>
      </c>
      <c r="BS36" s="24">
        <f t="shared" si="9"/>
        <v>106.08932791192981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10.3</v>
      </c>
      <c r="BY36" s="13">
        <f>IF('Données projet'!$A$114&gt;35,BY35+BX36-CG35,IF(A36&lt;'Données projet'!$A$114,$BV$205^A36,IF(A36='Données projet'!$A$114,'Données projet'!$B$114,BY35+BX36-CG35)))</f>
        <v>174.90000000000003</v>
      </c>
      <c r="BZ36" s="14">
        <f>BY36*VLOOKUP('Données projet'!$B$12,Paramètres!$A$1:$I$89,3,0)*VLOOKUP('Données projet'!$B$12,Paramètres!$A$1:$I$89,5,0)</f>
        <v>104.59020000000004</v>
      </c>
      <c r="CA36" s="14">
        <f t="shared" si="39"/>
        <v>28.052676705559303</v>
      </c>
      <c r="CB36" s="22">
        <f t="shared" si="10"/>
        <v>231.01967692884918</v>
      </c>
      <c r="CC36" s="62">
        <f t="shared" si="11"/>
        <v>446.14522926401787</v>
      </c>
      <c r="CD36" s="62">
        <f ca="1">AVERAGE(OFFSET($CC$3,0,0,'Données projet'!$E$12+1,1))-AVERAGE(OFFSET($H$3,0,0,'Données projet'!$E$12+1,1))</f>
        <v>437.94016462147999</v>
      </c>
      <c r="CE36" s="62">
        <f t="shared" si="40"/>
        <v>281.88254003380348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2.895027652856633</v>
      </c>
      <c r="CN36" s="24">
        <f t="shared" si="12"/>
        <v>2.895027652856633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7.8</v>
      </c>
      <c r="CT36" s="13">
        <f>IF('Données projet'!$A$140&gt;35,CT35+CS36-DB35,IF(A36&lt;'Données projet'!$A$140,$CQ$205^A36,IF(A36='Données projet'!$A$140,'Données projet'!$B$140,CT35+CS36-DB35)))</f>
        <v>100.39999999999999</v>
      </c>
      <c r="CU36" s="18">
        <f>CT36*VLOOKUP('Données projet'!$B$13,Paramètres!$A$1:$I$89,3,0)*VLOOKUP('Données projet'!$B$13,Paramètres!$A$1:$I$89,5,0)</f>
        <v>114.33551999999999</v>
      </c>
      <c r="CV36" s="14">
        <f t="shared" si="41"/>
        <v>30.350157406239582</v>
      </c>
      <c r="CW36" s="22">
        <f t="shared" si="13"/>
        <v>251.99422148253385</v>
      </c>
      <c r="CX36" s="62">
        <f t="shared" si="14"/>
        <v>467.11977381770248</v>
      </c>
      <c r="CY36" s="62">
        <f ca="1">AVERAGE(OFFSET($CX$3,0,0,'Données projet'!$E$13+1,1))-AVERAGE(OFFSET($H$3,0,0,'Données projet'!$E$13+1,1))</f>
        <v>520.23742527061836</v>
      </c>
      <c r="CZ36" s="62">
        <f t="shared" si="42"/>
        <v>321.35925479331274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10.8</v>
      </c>
      <c r="DO36" s="13">
        <f>IF('Données projet'!$A$166&gt;35,DO35+DN36-DW35,IF(A36&lt;'Données projet'!$A$166,$DL$205^A36,IF(A36='Données projet'!$A$166,'Données projet'!$B$166,DO35+DN36-DW35)))</f>
        <v>125.40000000000003</v>
      </c>
      <c r="DP36" s="18">
        <f>DO36*VLOOKUP('Données projet'!$B$14,Paramètres!$A$1:$I$89,3,0)*VLOOKUP('Données projet'!$B$14,Paramètres!$A$1:$I$89,5,0)</f>
        <v>127.15560000000004</v>
      </c>
      <c r="DQ36" s="14">
        <f t="shared" si="43"/>
        <v>33.338258149231912</v>
      </c>
      <c r="DR36" s="22">
        <f t="shared" si="16"/>
        <v>279.52680294324563</v>
      </c>
      <c r="DS36" s="62">
        <f t="shared" si="17"/>
        <v>494.65235527841429</v>
      </c>
      <c r="DT36" s="62">
        <f ca="1">AVERAGE(OFFSET($DS$3,0,0,'Données projet'!$E$14+1,1))-AVERAGE(OFFSET($H$3,0,0,'Données projet'!$E$14+1,1))</f>
        <v>547.89540791313675</v>
      </c>
      <c r="DU36" s="62">
        <f t="shared" si="44"/>
        <v>345.19555189302378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12</v>
      </c>
      <c r="EJ36" s="13">
        <f>IF('Données projet'!$A$192&gt;35,EJ35+EI36-ER35,IF(A36&lt;'Données projet'!$A$192,$EG$205^A36,IF(A36='Données projet'!$A$192,'Données projet'!$B$192,EJ35+EI36-ER35)))</f>
        <v>176.99999999999997</v>
      </c>
      <c r="EK36" s="18">
        <f>EJ36*VLOOKUP('Données projet'!$B$15,Paramètres!$A$1:$I$89,3,0)*VLOOKUP('Données projet'!$B$15,Paramètres!$A$1:$I$89,5,0)</f>
        <v>185.00039999999998</v>
      </c>
      <c r="EL36" s="14">
        <f t="shared" si="45"/>
        <v>46.43290268501466</v>
      </c>
      <c r="EM36" s="22">
        <f t="shared" si="19"/>
        <v>403.07966884306717</v>
      </c>
      <c r="EN36" s="62">
        <f t="shared" si="20"/>
        <v>618.20522117823589</v>
      </c>
      <c r="EO36" s="62">
        <f ca="1">AVERAGE(OFFSET($EN$3,0,0,'Données projet'!$E$15+1,1))-AVERAGE(OFFSET($H$3,0,0,'Données projet'!$E$15+1,1))</f>
        <v>418.23737352070503</v>
      </c>
      <c r="EP36" s="62">
        <f t="shared" si="46"/>
        <v>496.10742685332968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10</v>
      </c>
      <c r="FE36" s="13">
        <f>IF('Données projet'!$A$218&gt;35,FE35+FD36-FM35,IF(A36&lt;'Données projet'!$A$218,$FB$205^A36,IF(A36='Données projet'!$A$218,'Données projet'!$B$218,FE35+FD36-FM35)))</f>
        <v>149</v>
      </c>
      <c r="FF36" s="18">
        <f>FE36*VLOOKUP('Données projet'!$B$16,Paramètres!$A$1:$I$89,3,0)*VLOOKUP('Données projet'!$B$16,Paramètres!$A$1:$I$89,5,0)</f>
        <v>89.102000000000018</v>
      </c>
      <c r="FG36" s="14">
        <f t="shared" si="47"/>
        <v>24.348522781128082</v>
      </c>
      <c r="FH36" s="22">
        <f t="shared" si="22"/>
        <v>197.5929938437981</v>
      </c>
      <c r="FI36" s="62">
        <f t="shared" si="23"/>
        <v>412.71854617896679</v>
      </c>
      <c r="FJ36" s="62">
        <f ca="1">AVERAGE(OFFSET($FI$3,0,0,'Données projet'!$E$16+1,1))-AVERAGE(OFFSET($H$3,0,0,'Données projet'!$E$16+1,1))</f>
        <v>341.70983624543067</v>
      </c>
      <c r="FK36" s="62">
        <f t="shared" si="48"/>
        <v>250.82562837973805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4.381483173132195</v>
      </c>
      <c r="FT36" s="24">
        <f t="shared" si="24"/>
        <v>4.381483173132195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11.5</v>
      </c>
      <c r="FZ36" s="13">
        <f>IF('Données projet'!$A$244&gt;35,FZ35+FY36-GH35,IF(A36&lt;'Données projet'!$A$244,$FW$205^A36,IF(A36='Données projet'!$A$244,'Données projet'!$B$244,FZ35+FY36-GH35)))</f>
        <v>155.5</v>
      </c>
      <c r="GA36" s="18">
        <f>FZ36*VLOOKUP('Données projet'!$B$17,Paramètres!$A$1:$I$89,3,0)*VLOOKUP('Données projet'!$B$17,Paramètres!$A$1:$I$89,5,0)</f>
        <v>72.774000000000001</v>
      </c>
      <c r="GB36" s="14">
        <f t="shared" si="49"/>
        <v>20.360773664987594</v>
      </c>
      <c r="GC36" s="22">
        <f t="shared" si="25"/>
        <v>162.20973079985336</v>
      </c>
      <c r="GD36" s="62">
        <f t="shared" si="26"/>
        <v>377.335283135022</v>
      </c>
      <c r="GE36" s="62">
        <f ca="1">AVERAGE(OFFSET($GD$3,0,0,'Données projet'!$E$17+1,1))-AVERAGE(OFFSET($H$3,0,0,'Données projet'!$E$17+1,1))</f>
        <v>368.69628434154333</v>
      </c>
      <c r="GF36" s="62">
        <f t="shared" si="50"/>
        <v>202.28197295839524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10.6</v>
      </c>
      <c r="GU36" s="13">
        <f>IF('Données projet'!$A$270&gt;35,GU35+GT36-HC35,IF(A36&lt;'Données projet'!$A$270,$GR$205^A36,IF(A36='Données projet'!$A$270,'Données projet'!$B$270,GU35+GT36-HC35)))</f>
        <v>157.79999999999998</v>
      </c>
      <c r="GV36" s="18">
        <f>GU36*VLOOKUP('Données projet'!$B$18,Paramètres!$A$1:$I$89,3,0)*VLOOKUP('Données projet'!$B$18,Paramètres!$A$1:$I$89,5,0)</f>
        <v>137.85408000000001</v>
      </c>
      <c r="GW36" s="14">
        <f t="shared" si="51"/>
        <v>35.804964283629964</v>
      </c>
      <c r="GX36" s="22">
        <f t="shared" si="28"/>
        <v>302.45616879398887</v>
      </c>
      <c r="GY36" s="62">
        <f t="shared" si="29"/>
        <v>517.58172112915759</v>
      </c>
      <c r="GZ36" s="62">
        <f ca="1">AVERAGE(OFFSET($GY$3,0,0,'Données projet'!$E$18+1,1))-AVERAGE(OFFSET($H$3,0,0,'Données projet'!$E$18+1,1))</f>
        <v>378.51861272969165</v>
      </c>
      <c r="HA36" s="62">
        <f t="shared" si="52"/>
        <v>387.42368617035459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0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0</v>
      </c>
      <c r="HJ36" s="24">
        <f t="shared" si="30"/>
        <v>0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135.66666666666666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10.3</v>
      </c>
      <c r="N37" s="14">
        <f>IF('Données projet'!$A$36&gt;35,N36+M37-V36,IF(A37&lt;'Données projet'!$A$36,$K$205^A37,IF(A37='Données projet'!$A$36,'Données projet'!$B$36,N36+M37-V36)))</f>
        <v>185.20000000000005</v>
      </c>
      <c r="O37" s="14">
        <f>N37*VLOOKUP('Données projet'!$B$9,Paramètres!$A$1:$I$89,3,0)*VLOOKUP('Données projet'!$B$9,Paramètres!$A$1:$I$89,5,0)</f>
        <v>110.74960000000003</v>
      </c>
      <c r="P37" s="14">
        <f t="shared" si="33"/>
        <v>29.507526310895447</v>
      </c>
      <c r="Q37" s="22">
        <f t="shared" si="53"/>
        <v>244.28116165814291</v>
      </c>
      <c r="R37" s="62">
        <f t="shared" si="0"/>
        <v>460.7634441472253</v>
      </c>
      <c r="S37" s="62">
        <f ca="1">AVERAGE(OFFSET($R$3,0,0,'Données projet'!$E$9+1,1))-AVERAGE(OFFSET($H$3,0,0,'Données projet'!$E$9+1,1))</f>
        <v>437.94016462147999</v>
      </c>
      <c r="T37" s="62">
        <f t="shared" si="34"/>
        <v>281.88254003380348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2.0470936850574994</v>
      </c>
      <c r="AC37" s="24">
        <f t="shared" si="3"/>
        <v>2.0470936850574994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7.8</v>
      </c>
      <c r="AI37" s="14">
        <f>IF('Données projet'!$A$62&gt;35,AI36+AH37-AQ36,IF(A37&lt;'Données projet'!$A$62,$AF$205^A37,IF(A37='Données projet'!$A$62,'Données projet'!$B$62,AI36+AH37-AQ36)))</f>
        <v>108.19999999999999</v>
      </c>
      <c r="AJ37" s="14">
        <f>AI37*VLOOKUP('Données projet'!$B$10,Paramètres!$A$1:$I$89,3,0)*VLOOKUP('Données projet'!$B$10,Paramètres!$A$1:$I$89,5,0)</f>
        <v>97.899359999999987</v>
      </c>
      <c r="AK37" s="14">
        <f t="shared" si="35"/>
        <v>26.460932364201845</v>
      </c>
      <c r="AL37" s="22">
        <f t="shared" si="4"/>
        <v>216.59417586765153</v>
      </c>
      <c r="AM37" s="62">
        <f t="shared" si="5"/>
        <v>433.07645835673395</v>
      </c>
      <c r="AN37" s="62">
        <f ca="1">AVERAGE(OFFSET($AM$3,0,0,'Données projet'!$E$10+1,1))-AVERAGE(OFFSET($H$3,0,0,'Données projet'!$E$10+1,1))</f>
        <v>434.56763649859136</v>
      </c>
      <c r="AO37" s="62">
        <f t="shared" si="36"/>
        <v>271.90302066766264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1.1368683772161603E-13</v>
      </c>
      <c r="BE37" s="14">
        <f>BD37*VLOOKUP('Données projet'!$B$11,Paramètres!$A$1:$I$89,3,0)*VLOOKUP('Données projet'!$B$11,Paramètres!$A$1:$I$89,5,0)</f>
        <v>6.7984728957526396E-14</v>
      </c>
      <c r="BF37" s="14">
        <f t="shared" si="37"/>
        <v>1.0682447123141398E-12</v>
      </c>
      <c r="BG37" s="22">
        <f t="shared" si="7"/>
        <v>1.978932943548152E-12</v>
      </c>
      <c r="BH37" s="62">
        <f t="shared" si="8"/>
        <v>216.48228248908438</v>
      </c>
      <c r="BI37" s="62">
        <f ca="1">AVERAGE(OFFSET($BH$3,0,0,'Données projet'!$E$11+1,1))-AVERAGE(OFFSET($H$3,0,0,'Données projet'!$E$11+1,1))</f>
        <v>199.65420589615553</v>
      </c>
      <c r="BJ37" s="62">
        <f t="shared" si="38"/>
        <v>477.85821088970999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49.259505349117511</v>
      </c>
      <c r="BQ37" s="23">
        <f>EXP(-LN(2)/25)*BQ36+(1-EXP(-LN(2)/25))/(LN(2)/25)*Calculateur!BL37*Calculateur!BN37*VLOOKUP('Données projet'!$B$11,Paramètres!$A$1:$I$89,3,0)*0.475*44/12</f>
        <v>39.335291009404642</v>
      </c>
      <c r="BR37" s="23">
        <f>EXP(-LN(2)/2)*BR36+(1-EXP(-LN(2)/2))/(LN(2)/2)*BL37*BO37*VLOOKUP('Données projet'!$B$11,Paramètres!$A$1:$I$89,3,0)*0.475*44/12</f>
        <v>10.891846199227105</v>
      </c>
      <c r="BS37" s="24">
        <f t="shared" si="9"/>
        <v>99.486642557749263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10.3</v>
      </c>
      <c r="BY37" s="13">
        <f>IF('Données projet'!$A$114&gt;35,BY36+BX37-CG36,IF(A37&lt;'Données projet'!$A$114,$BV$205^A37,IF(A37='Données projet'!$A$114,'Données projet'!$B$114,BY36+BX37-CG36)))</f>
        <v>185.20000000000005</v>
      </c>
      <c r="BZ37" s="14">
        <f>BY37*VLOOKUP('Données projet'!$B$12,Paramètres!$A$1:$I$89,3,0)*VLOOKUP('Données projet'!$B$12,Paramètres!$A$1:$I$89,5,0)</f>
        <v>110.74960000000003</v>
      </c>
      <c r="CA37" s="14">
        <f t="shared" si="39"/>
        <v>29.507526310895447</v>
      </c>
      <c r="CB37" s="22">
        <f t="shared" si="10"/>
        <v>244.28116165814291</v>
      </c>
      <c r="CC37" s="62">
        <f t="shared" si="11"/>
        <v>460.7634441472253</v>
      </c>
      <c r="CD37" s="62">
        <f ca="1">AVERAGE(OFFSET($CC$3,0,0,'Données projet'!$E$12+1,1))-AVERAGE(OFFSET($H$3,0,0,'Données projet'!$E$12+1,1))</f>
        <v>437.94016462147999</v>
      </c>
      <c r="CE37" s="62">
        <f t="shared" si="40"/>
        <v>281.88254003380348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2.0470936850574994</v>
      </c>
      <c r="CN37" s="24">
        <f t="shared" si="12"/>
        <v>2.0470936850574994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7.8</v>
      </c>
      <c r="CT37" s="13">
        <f>IF('Données projet'!$A$140&gt;35,CT36+CS37-DB36,IF(A37&lt;'Données projet'!$A$140,$CQ$205^A37,IF(A37='Données projet'!$A$140,'Données projet'!$B$140,CT36+CS37-DB36)))</f>
        <v>108.19999999999999</v>
      </c>
      <c r="CU37" s="18">
        <f>CT37*VLOOKUP('Données projet'!$B$13,Paramètres!$A$1:$I$89,3,0)*VLOOKUP('Données projet'!$B$13,Paramètres!$A$1:$I$89,5,0)</f>
        <v>123.21815999999998</v>
      </c>
      <c r="CV37" s="14">
        <f t="shared" si="41"/>
        <v>32.424422278731427</v>
      </c>
      <c r="CW37" s="22">
        <f t="shared" si="13"/>
        <v>271.07749746879057</v>
      </c>
      <c r="CX37" s="62">
        <f t="shared" si="14"/>
        <v>487.55977995787293</v>
      </c>
      <c r="CY37" s="62">
        <f ca="1">AVERAGE(OFFSET($CX$3,0,0,'Données projet'!$E$13+1,1))-AVERAGE(OFFSET($H$3,0,0,'Données projet'!$E$13+1,1))</f>
        <v>520.23742527061836</v>
      </c>
      <c r="CZ37" s="62">
        <f t="shared" si="42"/>
        <v>321.35925479331274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10.8</v>
      </c>
      <c r="DO37" s="13">
        <f>IF('Données projet'!$A$166&gt;35,DO36+DN37-DW36,IF(A37&lt;'Données projet'!$A$166,$DL$205^A37,IF(A37='Données projet'!$A$166,'Données projet'!$B$166,DO36+DN37-DW36)))</f>
        <v>136.20000000000005</v>
      </c>
      <c r="DP37" s="18">
        <f>DO37*VLOOKUP('Données projet'!$B$14,Paramètres!$A$1:$I$89,3,0)*VLOOKUP('Données projet'!$B$14,Paramètres!$A$1:$I$89,5,0)</f>
        <v>138.10680000000005</v>
      </c>
      <c r="DQ37" s="14">
        <f t="shared" si="43"/>
        <v>35.862956890686135</v>
      </c>
      <c r="DR37" s="22">
        <f t="shared" si="16"/>
        <v>302.99732658461176</v>
      </c>
      <c r="DS37" s="62">
        <f t="shared" si="17"/>
        <v>519.47960907369418</v>
      </c>
      <c r="DT37" s="62">
        <f ca="1">AVERAGE(OFFSET($DS$3,0,0,'Données projet'!$E$14+1,1))-AVERAGE(OFFSET($H$3,0,0,'Données projet'!$E$14+1,1))</f>
        <v>547.89540791313675</v>
      </c>
      <c r="DU37" s="62">
        <f t="shared" si="44"/>
        <v>345.19555189302378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12</v>
      </c>
      <c r="EJ37" s="13">
        <f>IF('Données projet'!$A$192&gt;35,EJ36+EI37-ER36,IF(A37&lt;'Données projet'!$A$192,$EG$205^A37,IF(A37='Données projet'!$A$192,'Données projet'!$B$192,EJ36+EI37-ER36)))</f>
        <v>188.99999999999997</v>
      </c>
      <c r="EK37" s="18">
        <f>EJ37*VLOOKUP('Données projet'!$B$15,Paramètres!$A$1:$I$89,3,0)*VLOOKUP('Données projet'!$B$15,Paramètres!$A$1:$I$89,5,0)</f>
        <v>197.5428</v>
      </c>
      <c r="EL37" s="14">
        <f t="shared" si="45"/>
        <v>49.203761623019211</v>
      </c>
      <c r="EM37" s="22">
        <f t="shared" si="19"/>
        <v>429.75026149342511</v>
      </c>
      <c r="EN37" s="62">
        <f t="shared" si="20"/>
        <v>646.23254398250754</v>
      </c>
      <c r="EO37" s="62">
        <f ca="1">AVERAGE(OFFSET($EN$3,0,0,'Données projet'!$E$15+1,1))-AVERAGE(OFFSET($H$3,0,0,'Données projet'!$E$15+1,1))</f>
        <v>418.23737352070503</v>
      </c>
      <c r="EP37" s="62">
        <f t="shared" si="46"/>
        <v>496.10742685332968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10</v>
      </c>
      <c r="FE37" s="13">
        <f>IF('Données projet'!$A$218&gt;35,FE36+FD37-FM36,IF(A37&lt;'Données projet'!$A$218,$FB$205^A37,IF(A37='Données projet'!$A$218,'Données projet'!$B$218,FE36+FD37-FM36)))</f>
        <v>159</v>
      </c>
      <c r="FF37" s="18">
        <f>FE37*VLOOKUP('Données projet'!$B$16,Paramètres!$A$1:$I$89,3,0)*VLOOKUP('Données projet'!$B$16,Paramètres!$A$1:$I$89,5,0)</f>
        <v>95.082000000000008</v>
      </c>
      <c r="FG37" s="14">
        <f t="shared" si="47"/>
        <v>25.786935269387122</v>
      </c>
      <c r="FH37" s="22">
        <f t="shared" si="22"/>
        <v>210.51339559418258</v>
      </c>
      <c r="FI37" s="62">
        <f t="shared" si="23"/>
        <v>426.99567808326498</v>
      </c>
      <c r="FJ37" s="62">
        <f ca="1">AVERAGE(OFFSET($FI$3,0,0,'Données projet'!$E$16+1,1))-AVERAGE(OFFSET($H$3,0,0,'Données projet'!$E$16+1,1))</f>
        <v>341.70983624543067</v>
      </c>
      <c r="FK37" s="62">
        <f t="shared" si="48"/>
        <v>250.82562837973805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3.098176463376527</v>
      </c>
      <c r="FT37" s="24">
        <f t="shared" si="24"/>
        <v>3.098176463376527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11.5</v>
      </c>
      <c r="FZ37" s="13">
        <f>IF('Données projet'!$A$244&gt;35,FZ36+FY37-GH36,IF(A37&lt;'Données projet'!$A$244,$FW$205^A37,IF(A37='Données projet'!$A$244,'Données projet'!$B$244,FZ36+FY37-GH36)))</f>
        <v>167</v>
      </c>
      <c r="GA37" s="18">
        <f>FZ37*VLOOKUP('Données projet'!$B$17,Paramètres!$A$1:$I$89,3,0)*VLOOKUP('Données projet'!$B$17,Paramètres!$A$1:$I$89,5,0)</f>
        <v>78.156000000000006</v>
      </c>
      <c r="GB37" s="14">
        <f t="shared" si="49"/>
        <v>21.685706446534809</v>
      </c>
      <c r="GC37" s="22">
        <f t="shared" si="25"/>
        <v>173.89097206104813</v>
      </c>
      <c r="GD37" s="62">
        <f t="shared" si="26"/>
        <v>390.37325455013053</v>
      </c>
      <c r="GE37" s="62">
        <f ca="1">AVERAGE(OFFSET($GD$3,0,0,'Données projet'!$E$17+1,1))-AVERAGE(OFFSET($H$3,0,0,'Données projet'!$E$17+1,1))</f>
        <v>368.69628434154333</v>
      </c>
      <c r="GF37" s="62">
        <f t="shared" si="50"/>
        <v>202.28197295839524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10.6</v>
      </c>
      <c r="GU37" s="13">
        <f>IF('Données projet'!$A$270&gt;35,GU36+GT37-HC36,IF(A37&lt;'Données projet'!$A$270,$GR$205^A37,IF(A37='Données projet'!$A$270,'Données projet'!$B$270,GU36+GT37-HC36)))</f>
        <v>168.39999999999998</v>
      </c>
      <c r="GV37" s="18">
        <f>GU37*VLOOKUP('Données projet'!$B$18,Paramètres!$A$1:$I$89,3,0)*VLOOKUP('Données projet'!$B$18,Paramètres!$A$1:$I$89,5,0)</f>
        <v>147.11424</v>
      </c>
      <c r="GW37" s="14">
        <f t="shared" si="51"/>
        <v>37.922046712608186</v>
      </c>
      <c r="GX37" s="22">
        <f t="shared" si="28"/>
        <v>322.27153269112591</v>
      </c>
      <c r="GY37" s="62">
        <f t="shared" si="29"/>
        <v>538.75381518020833</v>
      </c>
      <c r="GZ37" s="62">
        <f ca="1">AVERAGE(OFFSET($GY$3,0,0,'Données projet'!$E$18+1,1))-AVERAGE(OFFSET($H$3,0,0,'Données projet'!$E$18+1,1))</f>
        <v>378.51861272969165</v>
      </c>
      <c r="HA37" s="62">
        <f t="shared" si="52"/>
        <v>387.42368617035459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0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0</v>
      </c>
      <c r="HJ37" s="24">
        <f t="shared" si="30"/>
        <v>0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135.66666666666666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10.3</v>
      </c>
      <c r="N38" s="14">
        <f>IF('Données projet'!$A$36&gt;35,N37+M38-V37,IF(A38&lt;'Données projet'!$A$36,$K$205^A38,IF(A38='Données projet'!$A$36,'Données projet'!$B$36,N37+M38-V37)))</f>
        <v>195.50000000000006</v>
      </c>
      <c r="O38" s="14">
        <f>N38*VLOOKUP('Données projet'!$B$9,Paramètres!$A$1:$I$89,3,0)*VLOOKUP('Données projet'!$B$9,Paramètres!$A$1:$I$89,5,0)</f>
        <v>116.90900000000005</v>
      </c>
      <c r="P38" s="14">
        <f t="shared" si="33"/>
        <v>30.952983037024019</v>
      </c>
      <c r="Q38" s="22">
        <f t="shared" si="53"/>
        <v>257.52628712281688</v>
      </c>
      <c r="R38" s="62">
        <f t="shared" si="0"/>
        <v>475.34176353083683</v>
      </c>
      <c r="S38" s="62">
        <f ca="1">AVERAGE(OFFSET($R$3,0,0,'Données projet'!$E$9+1,1))-AVERAGE(OFFSET($H$3,0,0,'Données projet'!$E$9+1,1))</f>
        <v>437.94016462147999</v>
      </c>
      <c r="T38" s="62">
        <f t="shared" si="34"/>
        <v>281.88254003380348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1.4475138264283165</v>
      </c>
      <c r="AC38" s="24">
        <f t="shared" si="3"/>
        <v>1.4475138264283165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7.8</v>
      </c>
      <c r="AH38" s="13">
        <f t="array" ref="AH38">INDEX(AG:AG,MIN(IF(ISNUMBER(AG38:AG234),ROW(AG38:AG234),"")))</f>
        <v>7.8</v>
      </c>
      <c r="AI38" s="14">
        <f>IF('Données projet'!$A$62&gt;35,AI37+AH38-AQ37,IF(A38&lt;'Données projet'!$A$62,$AF$205^A38,IF(A38='Données projet'!$A$62,'Données projet'!$B$62,AI37+AH38-AQ37)))</f>
        <v>115.99999999999999</v>
      </c>
      <c r="AJ38" s="14">
        <f>AI38*VLOOKUP('Données projet'!$B$10,Paramètres!$A$1:$I$89,3,0)*VLOOKUP('Données projet'!$B$10,Paramètres!$A$1:$I$89,5,0)</f>
        <v>104.95679999999999</v>
      </c>
      <c r="AK38" s="14">
        <f t="shared" si="35"/>
        <v>28.139541339232373</v>
      </c>
      <c r="AL38" s="22">
        <f t="shared" si="4"/>
        <v>231.8094611658297</v>
      </c>
      <c r="AM38" s="62">
        <f t="shared" si="5"/>
        <v>449.62493757384959</v>
      </c>
      <c r="AN38" s="62">
        <f ca="1">AVERAGE(OFFSET($AM$3,0,0,'Données projet'!$E$10+1,1))-AVERAGE(OFFSET($H$3,0,0,'Données projet'!$E$10+1,1))</f>
        <v>434.56763649859136</v>
      </c>
      <c r="AO38" s="62">
        <f t="shared" si="36"/>
        <v>271.90302066766264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1.1368683772161603E-13</v>
      </c>
      <c r="BE38" s="14">
        <f>BD38*VLOOKUP('Données projet'!$B$11,Paramètres!$A$1:$I$89,3,0)*VLOOKUP('Données projet'!$B$11,Paramètres!$A$1:$I$89,5,0)</f>
        <v>6.7984728957526396E-14</v>
      </c>
      <c r="BF38" s="14">
        <f t="shared" si="37"/>
        <v>1.0682447123141398E-12</v>
      </c>
      <c r="BG38" s="22">
        <f t="shared" si="7"/>
        <v>1.978932943548152E-12</v>
      </c>
      <c r="BH38" s="62">
        <f t="shared" si="8"/>
        <v>217.81547640802191</v>
      </c>
      <c r="BI38" s="62">
        <f ca="1">AVERAGE(OFFSET($BH$3,0,0,'Données projet'!$E$11+1,1))-AVERAGE(OFFSET($H$3,0,0,'Données projet'!$E$11+1,1))</f>
        <v>199.65420589615553</v>
      </c>
      <c r="BJ38" s="62">
        <f t="shared" si="38"/>
        <v>477.85821088970999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48.293556494552853</v>
      </c>
      <c r="BQ38" s="23">
        <f>EXP(-LN(2)/25)*BQ37+(1-EXP(-LN(2)/25))/(LN(2)/25)*Calculateur!BL38*Calculateur!BN38*VLOOKUP('Données projet'!$B$11,Paramètres!$A$1:$I$89,3,0)*0.475*44/12</f>
        <v>38.259665408199417</v>
      </c>
      <c r="BR38" s="23">
        <f>EXP(-LN(2)/2)*BR37+(1-EXP(-LN(2)/2))/(LN(2)/2)*BL38*BO38*VLOOKUP('Données projet'!$B$11,Paramètres!$A$1:$I$89,3,0)*0.475*44/12</f>
        <v>7.7016983071144107</v>
      </c>
      <c r="BS38" s="24">
        <f t="shared" si="9"/>
        <v>94.254920209866683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10.3</v>
      </c>
      <c r="BY38" s="13">
        <f>IF('Données projet'!$A$114&gt;35,BY37+BX38-CG37,IF(A38&lt;'Données projet'!$A$114,$BV$205^A38,IF(A38='Données projet'!$A$114,'Données projet'!$B$114,BY37+BX38-CG37)))</f>
        <v>195.50000000000006</v>
      </c>
      <c r="BZ38" s="14">
        <f>BY38*VLOOKUP('Données projet'!$B$12,Paramètres!$A$1:$I$89,3,0)*VLOOKUP('Données projet'!$B$12,Paramètres!$A$1:$I$89,5,0)</f>
        <v>116.90900000000005</v>
      </c>
      <c r="CA38" s="14">
        <f t="shared" si="39"/>
        <v>30.952983037024019</v>
      </c>
      <c r="CB38" s="22">
        <f t="shared" si="10"/>
        <v>257.52628712281688</v>
      </c>
      <c r="CC38" s="62">
        <f t="shared" si="11"/>
        <v>475.34176353083683</v>
      </c>
      <c r="CD38" s="62">
        <f ca="1">AVERAGE(OFFSET($CC$3,0,0,'Données projet'!$E$12+1,1))-AVERAGE(OFFSET($H$3,0,0,'Données projet'!$E$12+1,1))</f>
        <v>437.94016462147999</v>
      </c>
      <c r="CE38" s="62">
        <f t="shared" si="40"/>
        <v>281.88254003380348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1.4475138264283165</v>
      </c>
      <c r="CN38" s="24">
        <f t="shared" si="12"/>
        <v>1.4475138264283165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116</v>
      </c>
      <c r="CR38" s="13">
        <f>VLOOKUP(A38,'Données projet'!$A$139:$I$159,9,0)</f>
        <v>7.8</v>
      </c>
      <c r="CS38" s="13">
        <f t="array" ref="CS38">INDEX(CR:CR,MIN(IF(ISNUMBER(CR38:CR234),ROW(CR38:CR234),"")))</f>
        <v>7.8</v>
      </c>
      <c r="CT38" s="13">
        <f>IF('Données projet'!$A$140&gt;35,CT37+CS38-DB37,IF(A38&lt;'Données projet'!$A$140,$CQ$205^A38,IF(A38='Données projet'!$A$140,'Données projet'!$B$140,CT37+CS38-DB37)))</f>
        <v>115.99999999999999</v>
      </c>
      <c r="CU38" s="18">
        <f>CT38*VLOOKUP('Données projet'!$B$13,Paramètres!$A$1:$I$89,3,0)*VLOOKUP('Données projet'!$B$13,Paramètres!$A$1:$I$89,5,0)</f>
        <v>132.10079999999999</v>
      </c>
      <c r="CV38" s="14">
        <f t="shared" si="41"/>
        <v>34.481338697931115</v>
      </c>
      <c r="CW38" s="22">
        <f t="shared" si="13"/>
        <v>290.13055823222999</v>
      </c>
      <c r="CX38" s="62">
        <f t="shared" si="14"/>
        <v>507.94603464024988</v>
      </c>
      <c r="CY38" s="62">
        <f ca="1">AVERAGE(OFFSET($CX$3,0,0,'Données projet'!$E$13+1,1))-AVERAGE(OFFSET($H$3,0,0,'Données projet'!$E$13+1,1))</f>
        <v>520.23742527061836</v>
      </c>
      <c r="CZ38" s="62">
        <f t="shared" si="42"/>
        <v>321.35925479331274</v>
      </c>
      <c r="DA38" s="16">
        <f>IF(ISNA(VLOOKUP(A38,'Données projet'!$A$139:$I$159,3,0)),0,VLOOKUP(A38,'Données projet'!$A$139:$I$159,3,0))</f>
        <v>3</v>
      </c>
      <c r="DB38" s="16">
        <f>IF(ISNA(VLOOKUP(A38,'Données projet'!$A$139:$I$159,4,0)),0,VLOOKUP(A38,'Données projet'!$A$139:$I$159,4,0))</f>
        <v>21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147</v>
      </c>
      <c r="DM38" s="13">
        <f>VLOOKUP(A38,'Données projet'!$A$165:$I$185,9,0)</f>
        <v>10.8</v>
      </c>
      <c r="DN38" s="13">
        <f t="array" ref="DN38">INDEX(DM:DM,MIN(IF(ISNUMBER(DM38:DM234),ROW(DM38:DM234),"")))</f>
        <v>10.8</v>
      </c>
      <c r="DO38" s="13">
        <f>IF('Données projet'!$A$166&gt;35,DO37+DN38-DW37,IF(A38&lt;'Données projet'!$A$166,$DL$205^A38,IF(A38='Données projet'!$A$166,'Données projet'!$B$166,DO37+DN38-DW37)))</f>
        <v>147.00000000000006</v>
      </c>
      <c r="DP38" s="18">
        <f>DO38*VLOOKUP('Données projet'!$B$14,Paramètres!$A$1:$I$89,3,0)*VLOOKUP('Données projet'!$B$14,Paramètres!$A$1:$I$89,5,0)</f>
        <v>149.05800000000008</v>
      </c>
      <c r="DQ38" s="14">
        <f t="shared" si="43"/>
        <v>38.364434314370335</v>
      </c>
      <c r="DR38" s="22">
        <f t="shared" si="16"/>
        <v>326.42740643086182</v>
      </c>
      <c r="DS38" s="62">
        <f t="shared" si="17"/>
        <v>544.24288283888177</v>
      </c>
      <c r="DT38" s="62">
        <f ca="1">AVERAGE(OFFSET($DS$3,0,0,'Données projet'!$E$14+1,1))-AVERAGE(OFFSET($H$3,0,0,'Données projet'!$E$14+1,1))</f>
        <v>547.89540791313675</v>
      </c>
      <c r="DU38" s="62">
        <f t="shared" si="44"/>
        <v>345.19555189302378</v>
      </c>
      <c r="DV38" s="16">
        <f>IF(ISNA(VLOOKUP(A38,'Données projet'!$A$165:$I$185,3,0)),0,VLOOKUP(A38,'Données projet'!$A$165:$I$185,3,0))</f>
        <v>4</v>
      </c>
      <c r="DW38" s="16">
        <f>IF(ISNA(VLOOKUP(A38,'Données projet'!$A$165:$I$185,4,0)),0,VLOOKUP(A38,'Données projet'!$A$165:$I$185,4,0))</f>
        <v>28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201</v>
      </c>
      <c r="EH38" s="13">
        <f>VLOOKUP(A38,'Données projet'!$A$191:$I$211,9,0)</f>
        <v>12</v>
      </c>
      <c r="EI38" s="13">
        <f t="array" ref="EI38">INDEX(EH:EH,MIN(IF(ISNUMBER(EH38:EH234),ROW(EH38:EH234),"")))</f>
        <v>12</v>
      </c>
      <c r="EJ38" s="13">
        <f>IF('Données projet'!$A$192&gt;35,EJ37+EI38-ER37,IF(A38&lt;'Données projet'!$A$192,$EG$205^A38,IF(A38='Données projet'!$A$192,'Données projet'!$B$192,EJ37+EI38-ER37)))</f>
        <v>200.99999999999997</v>
      </c>
      <c r="EK38" s="18">
        <f>EJ38*VLOOKUP('Données projet'!$B$15,Paramètres!$A$1:$I$89,3,0)*VLOOKUP('Données projet'!$B$15,Paramètres!$A$1:$I$89,5,0)</f>
        <v>210.08519999999999</v>
      </c>
      <c r="EL38" s="14">
        <f t="shared" si="45"/>
        <v>51.954203602341089</v>
      </c>
      <c r="EM38" s="22">
        <f t="shared" si="19"/>
        <v>456.38529460741069</v>
      </c>
      <c r="EN38" s="62">
        <f t="shared" si="20"/>
        <v>674.20077101543063</v>
      </c>
      <c r="EO38" s="62">
        <f ca="1">AVERAGE(OFFSET($EN$3,0,0,'Données projet'!$E$15+1,1))-AVERAGE(OFFSET($H$3,0,0,'Données projet'!$E$15+1,1))</f>
        <v>418.23737352070503</v>
      </c>
      <c r="EP38" s="62">
        <f t="shared" si="46"/>
        <v>496.10742685332968</v>
      </c>
      <c r="EQ38" s="16">
        <f>IF(ISNA(VLOOKUP(A38,'Données projet'!$A$191:$I$211,3,0)),0,VLOOKUP(A38,'Données projet'!$A$191:$I$211,3,0))</f>
        <v>5</v>
      </c>
      <c r="ER38" s="16">
        <f>IF(ISNA(VLOOKUP(A38,'Données projet'!$A$191:$I$211,4,0)),0,VLOOKUP(A38,'Données projet'!$A$191:$I$211,4,0))</f>
        <v>42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169</v>
      </c>
      <c r="FC38" s="13">
        <f>VLOOKUP(A38,'Données projet'!$A$217:$I$237,9,0)</f>
        <v>10</v>
      </c>
      <c r="FD38" s="13">
        <f t="array" ref="FD38">INDEX(FC:FC,MIN(IF(ISNUMBER(FC38:FC234),ROW(FC38:FC234),"")))</f>
        <v>10</v>
      </c>
      <c r="FE38" s="13">
        <f>IF('Données projet'!$A$218&gt;35,FE37+FD38-FM37,IF(A38&lt;'Données projet'!$A$218,$FB$205^A38,IF(A38='Données projet'!$A$218,'Données projet'!$B$218,FE37+FD38-FM37)))</f>
        <v>169</v>
      </c>
      <c r="FF38" s="18">
        <f>FE38*VLOOKUP('Données projet'!$B$16,Paramètres!$A$1:$I$89,3,0)*VLOOKUP('Données projet'!$B$16,Paramètres!$A$1:$I$89,5,0)</f>
        <v>101.06200000000001</v>
      </c>
      <c r="FG38" s="14">
        <f t="shared" si="47"/>
        <v>27.214848638810562</v>
      </c>
      <c r="FH38" s="22">
        <f t="shared" si="22"/>
        <v>223.41551137926174</v>
      </c>
      <c r="FI38" s="62">
        <f t="shared" si="23"/>
        <v>441.23098778728166</v>
      </c>
      <c r="FJ38" s="62">
        <f ca="1">AVERAGE(OFFSET($FI$3,0,0,'Données projet'!$E$16+1,1))-AVERAGE(OFFSET($H$3,0,0,'Données projet'!$E$16+1,1))</f>
        <v>341.70983624543067</v>
      </c>
      <c r="FK38" s="62">
        <f t="shared" si="48"/>
        <v>250.82562837973805</v>
      </c>
      <c r="FL38" s="16">
        <f>IF(ISNA(VLOOKUP(A38,'Données projet'!$A$217:$I$237,3,0)),0,VLOOKUP(A38,'Données projet'!$A$217:$I$237,3,0))</f>
        <v>3</v>
      </c>
      <c r="FM38" s="16">
        <f>IF(ISNA(VLOOKUP(A38,'Données projet'!$A$217:$I$237,4,0)),0,VLOOKUP(A38,'Données projet'!$A$217:$I$237,4,0))</f>
        <v>23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2.1907415865660975</v>
      </c>
      <c r="FT38" s="24">
        <f t="shared" si="24"/>
        <v>2.1907415865660975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11.5</v>
      </c>
      <c r="FZ38" s="13">
        <f>IF('Données projet'!$A$244&gt;35,FZ37+FY38-GH37,IF(A38&lt;'Données projet'!$A$244,$FW$205^A38,IF(A38='Données projet'!$A$244,'Données projet'!$B$244,FZ37+FY38-GH37)))</f>
        <v>178.5</v>
      </c>
      <c r="GA38" s="18">
        <f>FZ38*VLOOKUP('Données projet'!$B$17,Paramètres!$A$1:$I$89,3,0)*VLOOKUP('Données projet'!$B$17,Paramètres!$A$1:$I$89,5,0)</f>
        <v>83.537999999999997</v>
      </c>
      <c r="GB38" s="14">
        <f t="shared" si="49"/>
        <v>23.00005275913464</v>
      </c>
      <c r="GC38" s="22">
        <f t="shared" si="25"/>
        <v>185.55377522215952</v>
      </c>
      <c r="GD38" s="62">
        <f t="shared" si="26"/>
        <v>403.36925163017941</v>
      </c>
      <c r="GE38" s="62">
        <f ca="1">AVERAGE(OFFSET($GD$3,0,0,'Données projet'!$E$17+1,1))-AVERAGE(OFFSET($H$3,0,0,'Données projet'!$E$17+1,1))</f>
        <v>368.69628434154333</v>
      </c>
      <c r="GF38" s="62">
        <f t="shared" si="50"/>
        <v>202.28197295839524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>
        <f>VLOOKUP(A38,'Données projet'!$A$269:$I$289,2,0)</f>
        <v>179</v>
      </c>
      <c r="GS38" s="13">
        <f>VLOOKUP(A38,'Données projet'!$A$269:$I$289,9,0)</f>
        <v>10.6</v>
      </c>
      <c r="GT38" s="13">
        <f t="array" ref="GT38">INDEX(GS:GS,MIN(IF(ISNUMBER(GS38:GS234),ROW(GS38:GS234),"")))</f>
        <v>10.6</v>
      </c>
      <c r="GU38" s="13">
        <f>IF('Données projet'!$A$270&gt;35,GU37+GT38-HC37,IF(A38&lt;'Données projet'!$A$270,$GR$205^A38,IF(A38='Données projet'!$A$270,'Données projet'!$B$270,GU37+GT38-HC37)))</f>
        <v>178.99999999999997</v>
      </c>
      <c r="GV38" s="18">
        <f>GU38*VLOOKUP('Données projet'!$B$18,Paramètres!$A$1:$I$89,3,0)*VLOOKUP('Données projet'!$B$18,Paramètres!$A$1:$I$89,5,0)</f>
        <v>156.37440000000001</v>
      </c>
      <c r="GW38" s="14">
        <f t="shared" si="51"/>
        <v>40.023663524293205</v>
      </c>
      <c r="GX38" s="22">
        <f t="shared" si="28"/>
        <v>342.05996063814399</v>
      </c>
      <c r="GY38" s="62">
        <f t="shared" si="29"/>
        <v>559.87543704616394</v>
      </c>
      <c r="GZ38" s="62">
        <f ca="1">AVERAGE(OFFSET($GY$3,0,0,'Données projet'!$E$18+1,1))-AVERAGE(OFFSET($H$3,0,0,'Données projet'!$E$18+1,1))</f>
        <v>378.51861272969165</v>
      </c>
      <c r="HA38" s="62">
        <f t="shared" si="52"/>
        <v>387.42368617035459</v>
      </c>
      <c r="HB38" s="16">
        <f>IF(ISNA(VLOOKUP(A38,'Données projet'!$A$269:$I$289,3,0)),0,VLOOKUP(A38,'Données projet'!$A$269:$I$289,3,0))</f>
        <v>4</v>
      </c>
      <c r="HC38" s="16">
        <f>IF(ISNA(VLOOKUP(A38,'Données projet'!$A$269:$I$289,4,0)),0,VLOOKUP(A38,'Données projet'!$A$269:$I$289,4,0))</f>
        <v>36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0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</v>
      </c>
      <c r="HJ38" s="24">
        <f t="shared" si="30"/>
        <v>0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135.66666666666666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10.3</v>
      </c>
      <c r="N39" s="14">
        <f>IF('Données projet'!$A$36&gt;35,N38+M39-V38,IF(A39&lt;'Données projet'!$A$36,$K$205^A39,IF(A39='Données projet'!$A$36,'Données projet'!$B$36,N38+M39-V38)))</f>
        <v>205.80000000000007</v>
      </c>
      <c r="O39" s="14">
        <f>N39*VLOOKUP('Données projet'!$B$9,Paramètres!$A$1:$I$89,3,0)*VLOOKUP('Données projet'!$B$9,Paramètres!$A$1:$I$89,5,0)</f>
        <v>123.06840000000005</v>
      </c>
      <c r="P39" s="14">
        <f t="shared" si="33"/>
        <v>32.389598186893679</v>
      </c>
      <c r="Q39" s="22">
        <f t="shared" si="53"/>
        <v>270.75601350883994</v>
      </c>
      <c r="R39" s="62">
        <f t="shared" si="0"/>
        <v>489.88155590187887</v>
      </c>
      <c r="S39" s="62">
        <f ca="1">AVERAGE(OFFSET($R$3,0,0,'Données projet'!$E$9+1,1))-AVERAGE(OFFSET($H$3,0,0,'Données projet'!$E$9+1,1))</f>
        <v>437.94016462147999</v>
      </c>
      <c r="T39" s="62">
        <f t="shared" si="34"/>
        <v>281.88254003380348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1.0235468425287497</v>
      </c>
      <c r="AC39" s="24">
        <f t="shared" si="3"/>
        <v>1.0235468425287497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103.39999999999999</v>
      </c>
      <c r="AJ39" s="14">
        <f>AI39*VLOOKUP('Données projet'!$B$10,Paramètres!$A$1:$I$89,3,0)*VLOOKUP('Données projet'!$B$10,Paramètres!$A$1:$I$89,5,0)</f>
        <v>93.556319999999999</v>
      </c>
      <c r="AK39" s="14">
        <f t="shared" si="35"/>
        <v>25.420979659258073</v>
      </c>
      <c r="AL39" s="22">
        <f t="shared" si="4"/>
        <v>207.21879690654114</v>
      </c>
      <c r="AM39" s="62">
        <f t="shared" si="5"/>
        <v>426.3443392995801</v>
      </c>
      <c r="AN39" s="62">
        <f ca="1">AVERAGE(OFFSET($AM$3,0,0,'Données projet'!$E$10+1,1))-AVERAGE(OFFSET($H$3,0,0,'Données projet'!$E$10+1,1))</f>
        <v>434.56763649859136</v>
      </c>
      <c r="AO39" s="62">
        <f t="shared" si="36"/>
        <v>271.90302066766264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1.1368683772161603E-13</v>
      </c>
      <c r="BE39" s="14">
        <f>BD39*VLOOKUP('Données projet'!$B$11,Paramètres!$A$1:$I$89,3,0)*VLOOKUP('Données projet'!$B$11,Paramètres!$A$1:$I$89,5,0)</f>
        <v>6.7984728957526396E-14</v>
      </c>
      <c r="BF39" s="14">
        <f t="shared" si="37"/>
        <v>1.0682447123141398E-12</v>
      </c>
      <c r="BG39" s="22">
        <f t="shared" si="7"/>
        <v>1.978932943548152E-12</v>
      </c>
      <c r="BH39" s="62">
        <f t="shared" si="8"/>
        <v>219.12554239304094</v>
      </c>
      <c r="BI39" s="62">
        <f ca="1">AVERAGE(OFFSET($BH$3,0,0,'Données projet'!$E$11+1,1))-AVERAGE(OFFSET($H$3,0,0,'Données projet'!$E$11+1,1))</f>
        <v>199.65420589615553</v>
      </c>
      <c r="BJ39" s="62">
        <f t="shared" si="38"/>
        <v>477.85821088970999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47.346549307855575</v>
      </c>
      <c r="BQ39" s="23">
        <f>EXP(-LN(2)/25)*BQ38+(1-EXP(-LN(2)/25))/(LN(2)/25)*Calculateur!BL39*Calculateur!BN39*VLOOKUP('Données projet'!$B$11,Paramètres!$A$1:$I$89,3,0)*0.475*44/12</f>
        <v>37.213452845623841</v>
      </c>
      <c r="BR39" s="23">
        <f>EXP(-LN(2)/2)*BR38+(1-EXP(-LN(2)/2))/(LN(2)/2)*BL39*BO39*VLOOKUP('Données projet'!$B$11,Paramètres!$A$1:$I$89,3,0)*0.475*44/12</f>
        <v>5.4459230996135535</v>
      </c>
      <c r="BS39" s="24">
        <f t="shared" si="9"/>
        <v>90.005925253092968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10.3</v>
      </c>
      <c r="BY39" s="13">
        <f>IF('Données projet'!$A$114&gt;35,BY38+BX39-CG38,IF(A39&lt;'Données projet'!$A$114,$BV$205^A39,IF(A39='Données projet'!$A$114,'Données projet'!$B$114,BY38+BX39-CG38)))</f>
        <v>205.80000000000007</v>
      </c>
      <c r="BZ39" s="14">
        <f>BY39*VLOOKUP('Données projet'!$B$12,Paramètres!$A$1:$I$89,3,0)*VLOOKUP('Données projet'!$B$12,Paramètres!$A$1:$I$89,5,0)</f>
        <v>123.06840000000005</v>
      </c>
      <c r="CA39" s="14">
        <f t="shared" si="39"/>
        <v>32.389598186893679</v>
      </c>
      <c r="CB39" s="22">
        <f t="shared" si="10"/>
        <v>270.75601350883994</v>
      </c>
      <c r="CC39" s="62">
        <f t="shared" si="11"/>
        <v>489.88155590187887</v>
      </c>
      <c r="CD39" s="62">
        <f ca="1">AVERAGE(OFFSET($CC$3,0,0,'Données projet'!$E$12+1,1))-AVERAGE(OFFSET($H$3,0,0,'Données projet'!$E$12+1,1))</f>
        <v>437.94016462147999</v>
      </c>
      <c r="CE39" s="62">
        <f t="shared" si="40"/>
        <v>281.88254003380348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1.0235468425287497</v>
      </c>
      <c r="CN39" s="24">
        <f t="shared" si="12"/>
        <v>1.0235468425287497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8.4</v>
      </c>
      <c r="CT39" s="13">
        <f>IF('Données projet'!$A$140&gt;35,CT38+CS39-DB38,IF(A39&lt;'Données projet'!$A$140,$CQ$205^A39,IF(A39='Données projet'!$A$140,'Données projet'!$B$140,CT38+CS39-DB38)))</f>
        <v>103.39999999999999</v>
      </c>
      <c r="CU39" s="18">
        <f>CT39*VLOOKUP('Données projet'!$B$13,Paramètres!$A$1:$I$89,3,0)*VLOOKUP('Données projet'!$B$13,Paramètres!$A$1:$I$89,5,0)</f>
        <v>117.75191999999998</v>
      </c>
      <c r="CV39" s="14">
        <f t="shared" si="41"/>
        <v>31.150095841896434</v>
      </c>
      <c r="CW39" s="22">
        <f t="shared" si="13"/>
        <v>259.33767759130296</v>
      </c>
      <c r="CX39" s="62">
        <f t="shared" si="14"/>
        <v>478.46321998434189</v>
      </c>
      <c r="CY39" s="62">
        <f ca="1">AVERAGE(OFFSET($CX$3,0,0,'Données projet'!$E$13+1,1))-AVERAGE(OFFSET($H$3,0,0,'Données projet'!$E$13+1,1))</f>
        <v>520.23742527061836</v>
      </c>
      <c r="CZ39" s="62">
        <f t="shared" si="42"/>
        <v>321.35925479331274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11.2</v>
      </c>
      <c r="DO39" s="13">
        <f>IF('Données projet'!$A$166&gt;35,DO38+DN39-DW38,IF(A39&lt;'Données projet'!$A$166,$DL$205^A39,IF(A39='Données projet'!$A$166,'Données projet'!$B$166,DO38+DN39-DW38)))</f>
        <v>130.20000000000005</v>
      </c>
      <c r="DP39" s="18">
        <f>DO39*VLOOKUP('Données projet'!$B$14,Paramètres!$A$1:$I$89,3,0)*VLOOKUP('Données projet'!$B$14,Paramètres!$A$1:$I$89,5,0)</f>
        <v>132.02280000000007</v>
      </c>
      <c r="DQ39" s="14">
        <f t="shared" si="43"/>
        <v>34.463348169992798</v>
      </c>
      <c r="DR39" s="22">
        <f t="shared" si="16"/>
        <v>289.96337472940422</v>
      </c>
      <c r="DS39" s="62">
        <f t="shared" si="17"/>
        <v>509.08891712244315</v>
      </c>
      <c r="DT39" s="62">
        <f ca="1">AVERAGE(OFFSET($DS$3,0,0,'Données projet'!$E$14+1,1))-AVERAGE(OFFSET($H$3,0,0,'Données projet'!$E$14+1,1))</f>
        <v>547.89540791313675</v>
      </c>
      <c r="DU39" s="62">
        <f t="shared" si="44"/>
        <v>345.19555189302378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11</v>
      </c>
      <c r="EJ39" s="13">
        <f>IF('Données projet'!$A$192&gt;35,EJ38+EI39-ER38,IF(A39&lt;'Données projet'!$A$192,$EG$205^A39,IF(A39='Données projet'!$A$192,'Données projet'!$B$192,EJ38+EI39-ER38)))</f>
        <v>169.99999999999997</v>
      </c>
      <c r="EK39" s="18">
        <f>EJ39*VLOOKUP('Données projet'!$B$15,Paramètres!$A$1:$I$89,3,0)*VLOOKUP('Données projet'!$B$15,Paramètres!$A$1:$I$89,5,0)</f>
        <v>177.684</v>
      </c>
      <c r="EL39" s="14">
        <f t="shared" si="45"/>
        <v>44.806531123357701</v>
      </c>
      <c r="EM39" s="22">
        <f t="shared" si="19"/>
        <v>387.50434170651465</v>
      </c>
      <c r="EN39" s="62">
        <f t="shared" si="20"/>
        <v>606.62988409955358</v>
      </c>
      <c r="EO39" s="62">
        <f ca="1">AVERAGE(OFFSET($EN$3,0,0,'Données projet'!$E$15+1,1))-AVERAGE(OFFSET($H$3,0,0,'Données projet'!$E$15+1,1))</f>
        <v>418.23737352070503</v>
      </c>
      <c r="EP39" s="62">
        <f t="shared" si="46"/>
        <v>496.10742685332968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12.4</v>
      </c>
      <c r="FE39" s="13">
        <f>IF('Données projet'!$A$218&gt;35,FE38+FD39-FM38,IF(A39&lt;'Données projet'!$A$218,$FB$205^A39,IF(A39='Données projet'!$A$218,'Données projet'!$B$218,FE38+FD39-FM38)))</f>
        <v>158.4</v>
      </c>
      <c r="FF39" s="18">
        <f>FE39*VLOOKUP('Données projet'!$B$16,Paramètres!$A$1:$I$89,3,0)*VLOOKUP('Données projet'!$B$16,Paramètres!$A$1:$I$89,5,0)</f>
        <v>94.723200000000006</v>
      </c>
      <c r="FG39" s="14">
        <f t="shared" si="47"/>
        <v>25.700933959119112</v>
      </c>
      <c r="FH39" s="22">
        <f t="shared" si="22"/>
        <v>209.7386999787991</v>
      </c>
      <c r="FI39" s="62">
        <f t="shared" si="23"/>
        <v>428.86424237183803</v>
      </c>
      <c r="FJ39" s="62">
        <f ca="1">AVERAGE(OFFSET($FI$3,0,0,'Données projet'!$E$16+1,1))-AVERAGE(OFFSET($H$3,0,0,'Données projet'!$E$16+1,1))</f>
        <v>341.70983624543067</v>
      </c>
      <c r="FK39" s="62">
        <f t="shared" si="48"/>
        <v>250.82562837973805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1.5490882316882635</v>
      </c>
      <c r="FT39" s="24">
        <f t="shared" si="24"/>
        <v>1.5490882316882635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11.5</v>
      </c>
      <c r="FZ39" s="13">
        <f>IF('Données projet'!$A$244&gt;35,FZ38+FY39-GH38,IF(A39&lt;'Données projet'!$A$244,$FW$205^A39,IF(A39='Données projet'!$A$244,'Données projet'!$B$244,FZ38+FY39-GH38)))</f>
        <v>190</v>
      </c>
      <c r="GA39" s="18">
        <f>FZ39*VLOOKUP('Données projet'!$B$17,Paramètres!$A$1:$I$89,3,0)*VLOOKUP('Données projet'!$B$17,Paramètres!$A$1:$I$89,5,0)</f>
        <v>88.919999999999987</v>
      </c>
      <c r="GB39" s="14">
        <f t="shared" si="49"/>
        <v>24.30457227046648</v>
      </c>
      <c r="GC39" s="22">
        <f t="shared" si="25"/>
        <v>197.19946337106239</v>
      </c>
      <c r="GD39" s="62">
        <f t="shared" si="26"/>
        <v>416.32500576410132</v>
      </c>
      <c r="GE39" s="62">
        <f ca="1">AVERAGE(OFFSET($GD$3,0,0,'Données projet'!$E$17+1,1))-AVERAGE(OFFSET($H$3,0,0,'Données projet'!$E$17+1,1))</f>
        <v>368.69628434154333</v>
      </c>
      <c r="GF39" s="62">
        <f t="shared" si="50"/>
        <v>202.28197295839524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9.6</v>
      </c>
      <c r="GU39" s="13">
        <f>IF('Données projet'!$A$270&gt;35,GU38+GT39-HC38,IF(A39&lt;'Données projet'!$A$270,$GR$205^A39,IF(A39='Données projet'!$A$270,'Données projet'!$B$270,GU38+GT39-HC38)))</f>
        <v>152.59999999999997</v>
      </c>
      <c r="GV39" s="18">
        <f>GU39*VLOOKUP('Données projet'!$B$18,Paramètres!$A$1:$I$89,3,0)*VLOOKUP('Données projet'!$B$18,Paramètres!$A$1:$I$89,5,0)</f>
        <v>133.31135999999998</v>
      </c>
      <c r="GW39" s="14">
        <f t="shared" si="51"/>
        <v>34.760393689821633</v>
      </c>
      <c r="GX39" s="22">
        <f t="shared" si="28"/>
        <v>292.72497100977256</v>
      </c>
      <c r="GY39" s="62">
        <f t="shared" si="29"/>
        <v>511.85051340281154</v>
      </c>
      <c r="GZ39" s="62">
        <f ca="1">AVERAGE(OFFSET($GY$3,0,0,'Données projet'!$E$18+1,1))-AVERAGE(OFFSET($H$3,0,0,'Données projet'!$E$18+1,1))</f>
        <v>378.51861272969165</v>
      </c>
      <c r="HA39" s="62">
        <f t="shared" si="52"/>
        <v>387.42368617035459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0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</v>
      </c>
      <c r="HJ39" s="24">
        <f t="shared" si="30"/>
        <v>0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135.66666666666666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10.3</v>
      </c>
      <c r="N40" s="14">
        <f>IF('Données projet'!$A$36&gt;35,N39+M40-V39,IF(A40&lt;'Données projet'!$A$36,$K$205^A40,IF(A40='Données projet'!$A$36,'Données projet'!$B$36,N39+M40-V39)))</f>
        <v>216.10000000000008</v>
      </c>
      <c r="O40" s="14">
        <f>N40*VLOOKUP('Données projet'!$B$9,Paramètres!$A$1:$I$89,3,0)*VLOOKUP('Données projet'!$B$9,Paramètres!$A$1:$I$89,5,0)</f>
        <v>129.22780000000006</v>
      </c>
      <c r="P40" s="14">
        <f t="shared" si="33"/>
        <v>33.817864762286938</v>
      </c>
      <c r="Q40" s="22">
        <f t="shared" si="53"/>
        <v>283.9711994609832</v>
      </c>
      <c r="R40" s="62">
        <f t="shared" si="0"/>
        <v>504.38408112306996</v>
      </c>
      <c r="S40" s="62">
        <f ca="1">AVERAGE(OFFSET($R$3,0,0,'Données projet'!$E$9+1,1))-AVERAGE(OFFSET($H$3,0,0,'Données projet'!$E$9+1,1))</f>
        <v>437.94016462147999</v>
      </c>
      <c r="T40" s="62">
        <f t="shared" si="34"/>
        <v>281.88254003380348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0.72375691321415825</v>
      </c>
      <c r="AC40" s="24">
        <f t="shared" si="3"/>
        <v>0.72375691321415825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</v>
      </c>
      <c r="AJ40" s="14">
        <f>AI40*VLOOKUP('Données projet'!$B$10,Paramètres!$A$1:$I$89,3,0)*VLOOKUP('Données projet'!$B$10,Paramètres!$A$1:$I$89,5,0)</f>
        <v>101.15664</v>
      </c>
      <c r="AK40" s="14">
        <f t="shared" si="35"/>
        <v>27.237366379381644</v>
      </c>
      <c r="AL40" s="22">
        <f t="shared" si="4"/>
        <v>223.61956111075634</v>
      </c>
      <c r="AM40" s="62">
        <f t="shared" si="5"/>
        <v>444.03244277284307</v>
      </c>
      <c r="AN40" s="62">
        <f ca="1">AVERAGE(OFFSET($AM$3,0,0,'Données projet'!$E$10+1,1))-AVERAGE(OFFSET($H$3,0,0,'Données projet'!$E$10+1,1))</f>
        <v>434.56763649859136</v>
      </c>
      <c r="AO40" s="62">
        <f t="shared" si="36"/>
        <v>271.90302066766264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1.1368683772161603E-13</v>
      </c>
      <c r="BE40" s="14">
        <f>BD40*VLOOKUP('Données projet'!$B$11,Paramètres!$A$1:$I$89,3,0)*VLOOKUP('Données projet'!$B$11,Paramètres!$A$1:$I$89,5,0)</f>
        <v>6.7984728957526396E-14</v>
      </c>
      <c r="BF40" s="14">
        <f t="shared" si="37"/>
        <v>1.0682447123141398E-12</v>
      </c>
      <c r="BG40" s="22">
        <f t="shared" si="7"/>
        <v>1.978932943548152E-12</v>
      </c>
      <c r="BH40" s="62">
        <f t="shared" si="8"/>
        <v>220.41288166208875</v>
      </c>
      <c r="BI40" s="62">
        <f ca="1">AVERAGE(OFFSET($BH$3,0,0,'Données projet'!$E$11+1,1))-AVERAGE(OFFSET($H$3,0,0,'Données projet'!$E$11+1,1))</f>
        <v>199.65420589615553</v>
      </c>
      <c r="BJ40" s="62">
        <f t="shared" si="38"/>
        <v>477.85821088970999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46.418112354472086</v>
      </c>
      <c r="BQ40" s="23">
        <f>EXP(-LN(2)/25)*BQ39+(1-EXP(-LN(2)/25))/(LN(2)/25)*Calculateur!BL40*Calculateur!BN40*VLOOKUP('Données projet'!$B$11,Paramètres!$A$1:$I$89,3,0)*0.475*44/12</f>
        <v>36.195849020589826</v>
      </c>
      <c r="BR40" s="23">
        <f>EXP(-LN(2)/2)*BR39+(1-EXP(-LN(2)/2))/(LN(2)/2)*BL40*BO40*VLOOKUP('Données projet'!$B$11,Paramètres!$A$1:$I$89,3,0)*0.475*44/12</f>
        <v>3.8508491535572058</v>
      </c>
      <c r="BS40" s="24">
        <f t="shared" si="9"/>
        <v>86.464810528619111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10.3</v>
      </c>
      <c r="BY40" s="13">
        <f>IF('Données projet'!$A$114&gt;35,BY39+BX40-CG39,IF(A40&lt;'Données projet'!$A$114,$BV$205^A40,IF(A40='Données projet'!$A$114,'Données projet'!$B$114,BY39+BX40-CG39)))</f>
        <v>216.10000000000008</v>
      </c>
      <c r="BZ40" s="14">
        <f>BY40*VLOOKUP('Données projet'!$B$12,Paramètres!$A$1:$I$89,3,0)*VLOOKUP('Données projet'!$B$12,Paramètres!$A$1:$I$89,5,0)</f>
        <v>129.22780000000006</v>
      </c>
      <c r="CA40" s="14">
        <f t="shared" si="39"/>
        <v>33.817864762286938</v>
      </c>
      <c r="CB40" s="22">
        <f t="shared" si="10"/>
        <v>283.9711994609832</v>
      </c>
      <c r="CC40" s="62">
        <f t="shared" si="11"/>
        <v>504.38408112306996</v>
      </c>
      <c r="CD40" s="62">
        <f ca="1">AVERAGE(OFFSET($CC$3,0,0,'Données projet'!$E$12+1,1))-AVERAGE(OFFSET($H$3,0,0,'Données projet'!$E$12+1,1))</f>
        <v>437.94016462147999</v>
      </c>
      <c r="CE40" s="62">
        <f t="shared" si="40"/>
        <v>281.88254003380348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0.72375691321415825</v>
      </c>
      <c r="CN40" s="24">
        <f t="shared" si="12"/>
        <v>0.72375691321415825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8.4</v>
      </c>
      <c r="CT40" s="13">
        <f>IF('Données projet'!$A$140&gt;35,CT39+CS40-DB39,IF(A40&lt;'Données projet'!$A$140,$CQ$205^A40,IF(A40='Données projet'!$A$140,'Données projet'!$B$140,CT39+CS40-DB39)))</f>
        <v>111.8</v>
      </c>
      <c r="CU40" s="18">
        <f>CT40*VLOOKUP('Données projet'!$B$13,Paramètres!$A$1:$I$89,3,0)*VLOOKUP('Données projet'!$B$13,Paramètres!$A$1:$I$89,5,0)</f>
        <v>127.31783999999999</v>
      </c>
      <c r="CV40" s="14">
        <f t="shared" si="41"/>
        <v>33.375840922385116</v>
      </c>
      <c r="CW40" s="22">
        <f t="shared" si="13"/>
        <v>279.87482760648737</v>
      </c>
      <c r="CX40" s="62">
        <f t="shared" si="14"/>
        <v>500.28770926857413</v>
      </c>
      <c r="CY40" s="62">
        <f ca="1">AVERAGE(OFFSET($CX$3,0,0,'Données projet'!$E$13+1,1))-AVERAGE(OFFSET($H$3,0,0,'Données projet'!$E$13+1,1))</f>
        <v>520.23742527061836</v>
      </c>
      <c r="CZ40" s="62">
        <f t="shared" si="42"/>
        <v>321.35925479331274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11.2</v>
      </c>
      <c r="DO40" s="13">
        <f>IF('Données projet'!$A$166&gt;35,DO39+DN40-DW39,IF(A40&lt;'Données projet'!$A$166,$DL$205^A40,IF(A40='Données projet'!$A$166,'Données projet'!$B$166,DO39+DN40-DW39)))</f>
        <v>141.40000000000003</v>
      </c>
      <c r="DP40" s="18">
        <f>DO40*VLOOKUP('Données projet'!$B$14,Paramètres!$A$1:$I$89,3,0)*VLOOKUP('Données projet'!$B$14,Paramètres!$A$1:$I$89,5,0)</f>
        <v>143.37960000000004</v>
      </c>
      <c r="DQ40" s="14">
        <f t="shared" si="43"/>
        <v>37.070146308317469</v>
      </c>
      <c r="DR40" s="22">
        <f t="shared" si="16"/>
        <v>314.28330815365302</v>
      </c>
      <c r="DS40" s="62">
        <f t="shared" si="17"/>
        <v>534.69618981573979</v>
      </c>
      <c r="DT40" s="62">
        <f ca="1">AVERAGE(OFFSET($DS$3,0,0,'Données projet'!$E$14+1,1))-AVERAGE(OFFSET($H$3,0,0,'Données projet'!$E$14+1,1))</f>
        <v>547.89540791313675</v>
      </c>
      <c r="DU40" s="62">
        <f t="shared" si="44"/>
        <v>345.19555189302378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11</v>
      </c>
      <c r="EJ40" s="13">
        <f>IF('Données projet'!$A$192&gt;35,EJ39+EI40-ER39,IF(A40&lt;'Données projet'!$A$192,$EG$205^A40,IF(A40='Données projet'!$A$192,'Données projet'!$B$192,EJ39+EI40-ER39)))</f>
        <v>180.99999999999997</v>
      </c>
      <c r="EK40" s="18">
        <f>EJ40*VLOOKUP('Données projet'!$B$15,Paramètres!$A$1:$I$89,3,0)*VLOOKUP('Données projet'!$B$15,Paramètres!$A$1:$I$89,5,0)</f>
        <v>189.18119999999999</v>
      </c>
      <c r="EL40" s="14">
        <f t="shared" si="45"/>
        <v>47.358882320604579</v>
      </c>
      <c r="EM40" s="22">
        <f t="shared" si="19"/>
        <v>411.97397670838626</v>
      </c>
      <c r="EN40" s="62">
        <f t="shared" si="20"/>
        <v>632.38685837047296</v>
      </c>
      <c r="EO40" s="62">
        <f ca="1">AVERAGE(OFFSET($EN$3,0,0,'Données projet'!$E$15+1,1))-AVERAGE(OFFSET($H$3,0,0,'Données projet'!$E$15+1,1))</f>
        <v>418.23737352070503</v>
      </c>
      <c r="EP40" s="62">
        <f t="shared" si="46"/>
        <v>496.10742685332968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12.4</v>
      </c>
      <c r="FE40" s="13">
        <f>IF('Données projet'!$A$218&gt;35,FE39+FD40-FM39,IF(A40&lt;'Données projet'!$A$218,$FB$205^A40,IF(A40='Données projet'!$A$218,'Données projet'!$B$218,FE39+FD40-FM39)))</f>
        <v>170.8</v>
      </c>
      <c r="FF40" s="18">
        <f>FE40*VLOOKUP('Données projet'!$B$16,Paramètres!$A$1:$I$89,3,0)*VLOOKUP('Données projet'!$B$16,Paramètres!$A$1:$I$89,5,0)</f>
        <v>102.13840000000002</v>
      </c>
      <c r="FG40" s="14">
        <f t="shared" si="47"/>
        <v>27.470812821300004</v>
      </c>
      <c r="FH40" s="22">
        <f t="shared" si="22"/>
        <v>225.7360456637642</v>
      </c>
      <c r="FI40" s="62">
        <f t="shared" si="23"/>
        <v>446.14892732585099</v>
      </c>
      <c r="FJ40" s="62">
        <f ca="1">AVERAGE(OFFSET($FI$3,0,0,'Données projet'!$E$16+1,1))-AVERAGE(OFFSET($H$3,0,0,'Données projet'!$E$16+1,1))</f>
        <v>341.70983624543067</v>
      </c>
      <c r="FK40" s="62">
        <f t="shared" si="48"/>
        <v>250.82562837973805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1.0953707932830488</v>
      </c>
      <c r="FT40" s="24">
        <f t="shared" si="24"/>
        <v>1.0953707932830488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11.5</v>
      </c>
      <c r="FZ40" s="13">
        <f>IF('Données projet'!$A$244&gt;35,FZ39+FY40-GH39,IF(A40&lt;'Données projet'!$A$244,$FW$205^A40,IF(A40='Données projet'!$A$244,'Données projet'!$B$244,FZ39+FY40-GH39)))</f>
        <v>201.5</v>
      </c>
      <c r="GA40" s="18">
        <f>FZ40*VLOOKUP('Données projet'!$B$17,Paramètres!$A$1:$I$89,3,0)*VLOOKUP('Données projet'!$B$17,Paramètres!$A$1:$I$89,5,0)</f>
        <v>94.301999999999992</v>
      </c>
      <c r="GB40" s="14">
        <f t="shared" si="49"/>
        <v>25.599927492506424</v>
      </c>
      <c r="GC40" s="22">
        <f t="shared" si="25"/>
        <v>208.829190382782</v>
      </c>
      <c r="GD40" s="62">
        <f t="shared" si="26"/>
        <v>429.24207204486879</v>
      </c>
      <c r="GE40" s="62">
        <f ca="1">AVERAGE(OFFSET($GD$3,0,0,'Données projet'!$E$17+1,1))-AVERAGE(OFFSET($H$3,0,0,'Données projet'!$E$17+1,1))</f>
        <v>368.69628434154333</v>
      </c>
      <c r="GF40" s="62">
        <f t="shared" si="50"/>
        <v>202.28197295839524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9.6</v>
      </c>
      <c r="GU40" s="13">
        <f>IF('Données projet'!$A$270&gt;35,GU39+GT40-HC39,IF(A40&lt;'Données projet'!$A$270,$GR$205^A40,IF(A40='Données projet'!$A$270,'Données projet'!$B$270,GU39+GT40-HC39)))</f>
        <v>162.19999999999996</v>
      </c>
      <c r="GV40" s="18">
        <f>GU40*VLOOKUP('Données projet'!$B$18,Paramètres!$A$1:$I$89,3,0)*VLOOKUP('Données projet'!$B$18,Paramètres!$A$1:$I$89,5,0)</f>
        <v>141.69791999999998</v>
      </c>
      <c r="GW40" s="14">
        <f t="shared" si="51"/>
        <v>36.685701801209362</v>
      </c>
      <c r="GX40" s="22">
        <f t="shared" si="28"/>
        <v>310.68480797043964</v>
      </c>
      <c r="GY40" s="62">
        <f t="shared" si="29"/>
        <v>531.09768963252645</v>
      </c>
      <c r="GZ40" s="62">
        <f ca="1">AVERAGE(OFFSET($GY$3,0,0,'Données projet'!$E$18+1,1))-AVERAGE(OFFSET($H$3,0,0,'Données projet'!$E$18+1,1))</f>
        <v>378.51861272969165</v>
      </c>
      <c r="HA40" s="62">
        <f t="shared" si="52"/>
        <v>387.42368617035459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0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</v>
      </c>
      <c r="HJ40" s="24">
        <f t="shared" si="30"/>
        <v>0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135.66666666666666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10.3</v>
      </c>
      <c r="N41" s="14">
        <f>IF('Données projet'!$A$36&gt;35,N40+M41-V40,IF(A41&lt;'Données projet'!$A$36,$K$205^A41,IF(A41='Données projet'!$A$36,'Données projet'!$B$36,N40+M41-V40)))</f>
        <v>226.40000000000009</v>
      </c>
      <c r="O41" s="14">
        <f>N41*VLOOKUP('Données projet'!$B$9,Paramètres!$A$1:$I$89,3,0)*VLOOKUP('Données projet'!$B$9,Paramètres!$A$1:$I$89,5,0)</f>
        <v>135.38720000000006</v>
      </c>
      <c r="P41" s="14">
        <f t="shared" si="33"/>
        <v>35.238226113459113</v>
      </c>
      <c r="Q41" s="22">
        <f t="shared" si="53"/>
        <v>297.17261714760809</v>
      </c>
      <c r="R41" s="62">
        <f t="shared" si="0"/>
        <v>518.850505620484</v>
      </c>
      <c r="S41" s="62">
        <f ca="1">AVERAGE(OFFSET($R$3,0,0,'Données projet'!$E$9+1,1))-AVERAGE(OFFSET($H$3,0,0,'Données projet'!$E$9+1,1))</f>
        <v>437.94016462147999</v>
      </c>
      <c r="T41" s="62">
        <f t="shared" si="34"/>
        <v>281.88254003380348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0.51177342126437486</v>
      </c>
      <c r="AC41" s="24">
        <f t="shared" si="3"/>
        <v>0.51177342126437486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</v>
      </c>
      <c r="AJ41" s="14">
        <f>AI41*VLOOKUP('Données projet'!$B$10,Paramètres!$A$1:$I$89,3,0)*VLOOKUP('Données projet'!$B$10,Paramètres!$A$1:$I$89,5,0)</f>
        <v>108.75695999999999</v>
      </c>
      <c r="AK41" s="14">
        <f t="shared" si="35"/>
        <v>29.037921223305585</v>
      </c>
      <c r="AL41" s="22">
        <f t="shared" si="4"/>
        <v>239.99275146392384</v>
      </c>
      <c r="AM41" s="62">
        <f t="shared" si="5"/>
        <v>461.67063993679977</v>
      </c>
      <c r="AN41" s="62">
        <f ca="1">AVERAGE(OFFSET($AM$3,0,0,'Données projet'!$E$10+1,1))-AVERAGE(OFFSET($H$3,0,0,'Données projet'!$E$10+1,1))</f>
        <v>434.56763649859136</v>
      </c>
      <c r="AO41" s="62">
        <f t="shared" si="36"/>
        <v>271.90302066766264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1.1368683772161603E-13</v>
      </c>
      <c r="BE41" s="14">
        <f>BD41*VLOOKUP('Données projet'!$B$11,Paramètres!$A$1:$I$89,3,0)*VLOOKUP('Données projet'!$B$11,Paramètres!$A$1:$I$89,5,0)</f>
        <v>6.7984728957526396E-14</v>
      </c>
      <c r="BF41" s="14">
        <f t="shared" si="37"/>
        <v>1.0682447123141398E-12</v>
      </c>
      <c r="BG41" s="22">
        <f t="shared" si="7"/>
        <v>1.978932943548152E-12</v>
      </c>
      <c r="BH41" s="62">
        <f t="shared" si="8"/>
        <v>221.67788847287792</v>
      </c>
      <c r="BI41" s="62">
        <f ca="1">AVERAGE(OFFSET($BH$3,0,0,'Données projet'!$E$11+1,1))-AVERAGE(OFFSET($H$3,0,0,'Données projet'!$E$11+1,1))</f>
        <v>199.65420589615553</v>
      </c>
      <c r="BJ41" s="62">
        <f t="shared" si="38"/>
        <v>477.85821088970999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45.507881483453822</v>
      </c>
      <c r="BQ41" s="23">
        <f>EXP(-LN(2)/25)*BQ40+(1-EXP(-LN(2)/25))/(LN(2)/25)*Calculateur!BL41*Calculateur!BN41*VLOOKUP('Données projet'!$B$11,Paramètres!$A$1:$I$89,3,0)*0.475*44/12</f>
        <v>35.206071625664826</v>
      </c>
      <c r="BR41" s="23">
        <f>EXP(-LN(2)/2)*BR40+(1-EXP(-LN(2)/2))/(LN(2)/2)*BL41*BO41*VLOOKUP('Données projet'!$B$11,Paramètres!$A$1:$I$89,3,0)*0.475*44/12</f>
        <v>2.7229615498067772</v>
      </c>
      <c r="BS41" s="24">
        <f t="shared" si="9"/>
        <v>83.436914658925431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10.3</v>
      </c>
      <c r="BY41" s="13">
        <f>IF('Données projet'!$A$114&gt;35,BY40+BX41-CG40,IF(A41&lt;'Données projet'!$A$114,$BV$205^A41,IF(A41='Données projet'!$A$114,'Données projet'!$B$114,BY40+BX41-CG40)))</f>
        <v>226.40000000000009</v>
      </c>
      <c r="BZ41" s="14">
        <f>BY41*VLOOKUP('Données projet'!$B$12,Paramètres!$A$1:$I$89,3,0)*VLOOKUP('Données projet'!$B$12,Paramètres!$A$1:$I$89,5,0)</f>
        <v>135.38720000000006</v>
      </c>
      <c r="CA41" s="14">
        <f t="shared" si="39"/>
        <v>35.238226113459113</v>
      </c>
      <c r="CB41" s="22">
        <f t="shared" si="10"/>
        <v>297.17261714760809</v>
      </c>
      <c r="CC41" s="62">
        <f t="shared" si="11"/>
        <v>518.850505620484</v>
      </c>
      <c r="CD41" s="62">
        <f ca="1">AVERAGE(OFFSET($CC$3,0,0,'Données projet'!$E$12+1,1))-AVERAGE(OFFSET($H$3,0,0,'Données projet'!$E$12+1,1))</f>
        <v>437.94016462147999</v>
      </c>
      <c r="CE41" s="62">
        <f t="shared" si="40"/>
        <v>281.88254003380348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0.51177342126437486</v>
      </c>
      <c r="CN41" s="24">
        <f t="shared" si="12"/>
        <v>0.51177342126437486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8.4</v>
      </c>
      <c r="CT41" s="13">
        <f>IF('Données projet'!$A$140&gt;35,CT40+CS41-DB40,IF(A41&lt;'Données projet'!$A$140,$CQ$205^A41,IF(A41='Données projet'!$A$140,'Données projet'!$B$140,CT40+CS41-DB40)))</f>
        <v>120.2</v>
      </c>
      <c r="CU41" s="18">
        <f>CT41*VLOOKUP('Données projet'!$B$13,Paramètres!$A$1:$I$89,3,0)*VLOOKUP('Données projet'!$B$13,Paramètres!$A$1:$I$89,5,0)</f>
        <v>136.88376</v>
      </c>
      <c r="CV41" s="14">
        <f t="shared" si="41"/>
        <v>35.582186102964961</v>
      </c>
      <c r="CW41" s="22">
        <f t="shared" si="13"/>
        <v>300.37818946266395</v>
      </c>
      <c r="CX41" s="62">
        <f t="shared" si="14"/>
        <v>522.05607793553986</v>
      </c>
      <c r="CY41" s="62">
        <f ca="1">AVERAGE(OFFSET($CX$3,0,0,'Données projet'!$E$13+1,1))-AVERAGE(OFFSET($H$3,0,0,'Données projet'!$E$13+1,1))</f>
        <v>520.23742527061836</v>
      </c>
      <c r="CZ41" s="62">
        <f t="shared" si="42"/>
        <v>321.35925479331274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11.2</v>
      </c>
      <c r="DO41" s="13">
        <f>IF('Données projet'!$A$166&gt;35,DO40+DN41-DW40,IF(A41&lt;'Données projet'!$A$166,$DL$205^A41,IF(A41='Données projet'!$A$166,'Données projet'!$B$166,DO40+DN41-DW40)))</f>
        <v>152.60000000000002</v>
      </c>
      <c r="DP41" s="18">
        <f>DO41*VLOOKUP('Données projet'!$B$14,Paramètres!$A$1:$I$89,3,0)*VLOOKUP('Données projet'!$B$14,Paramètres!$A$1:$I$89,5,0)</f>
        <v>154.73640000000003</v>
      </c>
      <c r="DQ41" s="14">
        <f t="shared" si="43"/>
        <v>39.652994320183701</v>
      </c>
      <c r="DR41" s="22">
        <f t="shared" si="16"/>
        <v>338.56152844098665</v>
      </c>
      <c r="DS41" s="62">
        <f t="shared" si="17"/>
        <v>560.23941691386256</v>
      </c>
      <c r="DT41" s="62">
        <f ca="1">AVERAGE(OFFSET($DS$3,0,0,'Données projet'!$E$14+1,1))-AVERAGE(OFFSET($H$3,0,0,'Données projet'!$E$14+1,1))</f>
        <v>547.89540791313675</v>
      </c>
      <c r="DU41" s="62">
        <f t="shared" si="44"/>
        <v>345.19555189302378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11</v>
      </c>
      <c r="EJ41" s="13">
        <f>IF('Données projet'!$A$192&gt;35,EJ40+EI41-ER40,IF(A41&lt;'Données projet'!$A$192,$EG$205^A41,IF(A41='Données projet'!$A$192,'Données projet'!$B$192,EJ40+EI41-ER40)))</f>
        <v>191.99999999999997</v>
      </c>
      <c r="EK41" s="18">
        <f>EJ41*VLOOKUP('Données projet'!$B$15,Paramètres!$A$1:$I$89,3,0)*VLOOKUP('Données projet'!$B$15,Paramètres!$A$1:$I$89,5,0)</f>
        <v>200.67839999999998</v>
      </c>
      <c r="EL41" s="14">
        <f t="shared" si="45"/>
        <v>49.893230116477866</v>
      </c>
      <c r="EM41" s="22">
        <f t="shared" si="19"/>
        <v>436.41225578619895</v>
      </c>
      <c r="EN41" s="62">
        <f t="shared" si="20"/>
        <v>658.09014425907492</v>
      </c>
      <c r="EO41" s="62">
        <f ca="1">AVERAGE(OFFSET($EN$3,0,0,'Données projet'!$E$15+1,1))-AVERAGE(OFFSET($H$3,0,0,'Données projet'!$E$15+1,1))</f>
        <v>418.23737352070503</v>
      </c>
      <c r="EP41" s="62">
        <f t="shared" si="46"/>
        <v>496.10742685332968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12.4</v>
      </c>
      <c r="FE41" s="13">
        <f>IF('Données projet'!$A$218&gt;35,FE40+FD41-FM40,IF(A41&lt;'Données projet'!$A$218,$FB$205^A41,IF(A41='Données projet'!$A$218,'Données projet'!$B$218,FE40+FD41-FM40)))</f>
        <v>183.20000000000002</v>
      </c>
      <c r="FF41" s="18">
        <f>FE41*VLOOKUP('Données projet'!$B$16,Paramètres!$A$1:$I$89,3,0)*VLOOKUP('Données projet'!$B$16,Paramètres!$A$1:$I$89,5,0)</f>
        <v>109.55360000000002</v>
      </c>
      <c r="FG41" s="14">
        <f t="shared" si="47"/>
        <v>29.225784372214765</v>
      </c>
      <c r="FH41" s="22">
        <f t="shared" si="22"/>
        <v>241.70742778160744</v>
      </c>
      <c r="FI41" s="62">
        <f t="shared" si="23"/>
        <v>463.38531625448337</v>
      </c>
      <c r="FJ41" s="62">
        <f ca="1">AVERAGE(OFFSET($FI$3,0,0,'Données projet'!$E$16+1,1))-AVERAGE(OFFSET($H$3,0,0,'Données projet'!$E$16+1,1))</f>
        <v>341.70983624543067</v>
      </c>
      <c r="FK41" s="62">
        <f t="shared" si="48"/>
        <v>250.82562837973805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0.77454411584413174</v>
      </c>
      <c r="FT41" s="24">
        <f t="shared" si="24"/>
        <v>0.77454411584413174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11.5</v>
      </c>
      <c r="FZ41" s="13">
        <f>IF('Données projet'!$A$244&gt;35,FZ40+FY41-GH40,IF(A41&lt;'Données projet'!$A$244,$FW$205^A41,IF(A41='Données projet'!$A$244,'Données projet'!$B$244,FZ40+FY41-GH40)))</f>
        <v>213</v>
      </c>
      <c r="GA41" s="18">
        <f>FZ41*VLOOKUP('Données projet'!$B$17,Paramètres!$A$1:$I$89,3,0)*VLOOKUP('Données projet'!$B$17,Paramètres!$A$1:$I$89,5,0)</f>
        <v>99.683999999999997</v>
      </c>
      <c r="GB41" s="14">
        <f t="shared" si="49"/>
        <v>26.886701044194457</v>
      </c>
      <c r="GC41" s="22">
        <f t="shared" si="25"/>
        <v>220.44397098530533</v>
      </c>
      <c r="GD41" s="62">
        <f t="shared" si="26"/>
        <v>442.12185945818123</v>
      </c>
      <c r="GE41" s="62">
        <f ca="1">AVERAGE(OFFSET($GD$3,0,0,'Données projet'!$E$17+1,1))-AVERAGE(OFFSET($H$3,0,0,'Données projet'!$E$17+1,1))</f>
        <v>368.69628434154333</v>
      </c>
      <c r="GF41" s="62">
        <f t="shared" si="50"/>
        <v>202.28197295839524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9.6</v>
      </c>
      <c r="GU41" s="13">
        <f>IF('Données projet'!$A$270&gt;35,GU40+GT41-HC40,IF(A41&lt;'Données projet'!$A$270,$GR$205^A41,IF(A41='Données projet'!$A$270,'Données projet'!$B$270,GU40+GT41-HC40)))</f>
        <v>171.79999999999995</v>
      </c>
      <c r="GV41" s="18">
        <f>GU41*VLOOKUP('Données projet'!$B$18,Paramètres!$A$1:$I$89,3,0)*VLOOKUP('Données projet'!$B$18,Paramètres!$A$1:$I$89,5,0)</f>
        <v>150.08447999999999</v>
      </c>
      <c r="GW41" s="14">
        <f t="shared" si="51"/>
        <v>38.597783374841299</v>
      </c>
      <c r="GX41" s="22">
        <f t="shared" si="28"/>
        <v>328.62160871118186</v>
      </c>
      <c r="GY41" s="62">
        <f t="shared" si="29"/>
        <v>550.29949718405783</v>
      </c>
      <c r="GZ41" s="62">
        <f ca="1">AVERAGE(OFFSET($GY$3,0,0,'Données projet'!$E$18+1,1))-AVERAGE(OFFSET($H$3,0,0,'Données projet'!$E$18+1,1))</f>
        <v>378.51861272969165</v>
      </c>
      <c r="HA41" s="62">
        <f t="shared" si="52"/>
        <v>387.42368617035459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0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</v>
      </c>
      <c r="HJ41" s="24">
        <f t="shared" si="30"/>
        <v>0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135.66666666666666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10.3</v>
      </c>
      <c r="N42" s="14">
        <f>IF('Données projet'!$A$36&gt;35,N41+M42-V41,IF(A42&lt;'Données projet'!$A$36,$K$205^A42,IF(A42='Données projet'!$A$36,'Données projet'!$B$36,N41+M42-V41)))</f>
        <v>236.7000000000001</v>
      </c>
      <c r="O42" s="14">
        <f>N42*VLOOKUP('Données projet'!$B$9,Paramètres!$A$1:$I$89,3,0)*VLOOKUP('Données projet'!$B$9,Paramètres!$A$1:$I$89,5,0)</f>
        <v>141.54660000000007</v>
      </c>
      <c r="P42" s="14">
        <f t="shared" si="33"/>
        <v>36.65108297022995</v>
      </c>
      <c r="Q42" s="22">
        <f t="shared" si="53"/>
        <v>310.36096450648392</v>
      </c>
      <c r="R42" s="62">
        <f t="shared" si="0"/>
        <v>533.2819147501134</v>
      </c>
      <c r="S42" s="62">
        <f ca="1">AVERAGE(OFFSET($R$3,0,0,'Données projet'!$E$9+1,1))-AVERAGE(OFFSET($H$3,0,0,'Données projet'!$E$9+1,1))</f>
        <v>437.94016462147999</v>
      </c>
      <c r="T42" s="62">
        <f t="shared" si="34"/>
        <v>281.88254003380348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0.36187845660707912</v>
      </c>
      <c r="AC42" s="24">
        <f t="shared" si="3"/>
        <v>0.36187845660707912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</v>
      </c>
      <c r="AJ42" s="14">
        <f>AI42*VLOOKUP('Données projet'!$B$10,Paramètres!$A$1:$I$89,3,0)*VLOOKUP('Données projet'!$B$10,Paramètres!$A$1:$I$89,5,0)</f>
        <v>116.35727999999999</v>
      </c>
      <c r="AK42" s="14">
        <f t="shared" si="35"/>
        <v>30.823876427820704</v>
      </c>
      <c r="AL42" s="22">
        <f t="shared" si="4"/>
        <v>256.34051411178768</v>
      </c>
      <c r="AM42" s="62">
        <f t="shared" si="5"/>
        <v>479.26146435541716</v>
      </c>
      <c r="AN42" s="62">
        <f ca="1">AVERAGE(OFFSET($AM$3,0,0,'Données projet'!$E$10+1,1))-AVERAGE(OFFSET($H$3,0,0,'Données projet'!$E$10+1,1))</f>
        <v>434.56763649859136</v>
      </c>
      <c r="AO42" s="62">
        <f t="shared" si="36"/>
        <v>271.90302066766264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1.1368683772161603E-13</v>
      </c>
      <c r="BE42" s="14">
        <f>BD42*VLOOKUP('Données projet'!$B$11,Paramètres!$A$1:$I$89,3,0)*VLOOKUP('Données projet'!$B$11,Paramètres!$A$1:$I$89,5,0)</f>
        <v>6.7984728957526396E-14</v>
      </c>
      <c r="BF42" s="14">
        <f t="shared" si="37"/>
        <v>1.0682447123141398E-12</v>
      </c>
      <c r="BG42" s="22">
        <f t="shared" si="7"/>
        <v>1.978932943548152E-12</v>
      </c>
      <c r="BH42" s="62">
        <f t="shared" si="8"/>
        <v>222.92095024363149</v>
      </c>
      <c r="BI42" s="62">
        <f ca="1">AVERAGE(OFFSET($BH$3,0,0,'Données projet'!$E$11+1,1))-AVERAGE(OFFSET($H$3,0,0,'Données projet'!$E$11+1,1))</f>
        <v>199.65420589615553</v>
      </c>
      <c r="BJ42" s="62">
        <f t="shared" si="38"/>
        <v>477.85821088970999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44.615499684630215</v>
      </c>
      <c r="BQ42" s="23">
        <f>EXP(-LN(2)/25)*BQ41+(1-EXP(-LN(2)/25))/(LN(2)/25)*Calculateur!BL42*Calculateur!BN42*VLOOKUP('Données projet'!$B$11,Paramètres!$A$1:$I$89,3,0)*0.475*44/12</f>
        <v>34.243359745654182</v>
      </c>
      <c r="BR42" s="23">
        <f>EXP(-LN(2)/2)*BR41+(1-EXP(-LN(2)/2))/(LN(2)/2)*BL42*BO42*VLOOKUP('Données projet'!$B$11,Paramètres!$A$1:$I$89,3,0)*0.475*44/12</f>
        <v>1.9254245767786033</v>
      </c>
      <c r="BS42" s="24">
        <f t="shared" si="9"/>
        <v>80.784284007063007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10.3</v>
      </c>
      <c r="BY42" s="13">
        <f>IF('Données projet'!$A$114&gt;35,BY41+BX42-CG41,IF(A42&lt;'Données projet'!$A$114,$BV$205^A42,IF(A42='Données projet'!$A$114,'Données projet'!$B$114,BY41+BX42-CG41)))</f>
        <v>236.7000000000001</v>
      </c>
      <c r="BZ42" s="14">
        <f>BY42*VLOOKUP('Données projet'!$B$12,Paramètres!$A$1:$I$89,3,0)*VLOOKUP('Données projet'!$B$12,Paramètres!$A$1:$I$89,5,0)</f>
        <v>141.54660000000007</v>
      </c>
      <c r="CA42" s="14">
        <f t="shared" si="39"/>
        <v>36.65108297022995</v>
      </c>
      <c r="CB42" s="22">
        <f t="shared" si="10"/>
        <v>310.36096450648392</v>
      </c>
      <c r="CC42" s="62">
        <f t="shared" si="11"/>
        <v>533.2819147501134</v>
      </c>
      <c r="CD42" s="62">
        <f ca="1">AVERAGE(OFFSET($CC$3,0,0,'Données projet'!$E$12+1,1))-AVERAGE(OFFSET($H$3,0,0,'Données projet'!$E$12+1,1))</f>
        <v>437.94016462147999</v>
      </c>
      <c r="CE42" s="62">
        <f t="shared" si="40"/>
        <v>281.88254003380348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0.36187845660707912</v>
      </c>
      <c r="CN42" s="24">
        <f t="shared" si="12"/>
        <v>0.36187845660707912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8.4</v>
      </c>
      <c r="CT42" s="13">
        <f>IF('Données projet'!$A$140&gt;35,CT41+CS42-DB41,IF(A42&lt;'Données projet'!$A$140,$CQ$205^A42,IF(A42='Données projet'!$A$140,'Données projet'!$B$140,CT41+CS42-DB41)))</f>
        <v>128.6</v>
      </c>
      <c r="CU42" s="18">
        <f>CT42*VLOOKUP('Données projet'!$B$13,Paramètres!$A$1:$I$89,3,0)*VLOOKUP('Données projet'!$B$13,Paramètres!$A$1:$I$89,5,0)</f>
        <v>146.44968</v>
      </c>
      <c r="CV42" s="14">
        <f t="shared" si="41"/>
        <v>37.770641329147324</v>
      </c>
      <c r="CW42" s="22">
        <f t="shared" si="13"/>
        <v>320.8503929815983</v>
      </c>
      <c r="CX42" s="62">
        <f t="shared" si="14"/>
        <v>543.77134322522784</v>
      </c>
      <c r="CY42" s="62">
        <f ca="1">AVERAGE(OFFSET($CX$3,0,0,'Données projet'!$E$13+1,1))-AVERAGE(OFFSET($H$3,0,0,'Données projet'!$E$13+1,1))</f>
        <v>520.23742527061836</v>
      </c>
      <c r="CZ42" s="62">
        <f t="shared" si="42"/>
        <v>321.35925479331274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11.2</v>
      </c>
      <c r="DO42" s="13">
        <f>IF('Données projet'!$A$166&gt;35,DO41+DN42-DW41,IF(A42&lt;'Données projet'!$A$166,$DL$205^A42,IF(A42='Données projet'!$A$166,'Données projet'!$B$166,DO41+DN42-DW41)))</f>
        <v>163.80000000000001</v>
      </c>
      <c r="DP42" s="18">
        <f>DO42*VLOOKUP('Données projet'!$B$14,Paramètres!$A$1:$I$89,3,0)*VLOOKUP('Données projet'!$B$14,Paramètres!$A$1:$I$89,5,0)</f>
        <v>166.09320000000002</v>
      </c>
      <c r="DQ42" s="14">
        <f t="shared" si="43"/>
        <v>42.213849908165905</v>
      </c>
      <c r="DR42" s="22">
        <f t="shared" si="16"/>
        <v>362.80144525672227</v>
      </c>
      <c r="DS42" s="62">
        <f t="shared" si="17"/>
        <v>585.72239550035181</v>
      </c>
      <c r="DT42" s="62">
        <f ca="1">AVERAGE(OFFSET($DS$3,0,0,'Données projet'!$E$14+1,1))-AVERAGE(OFFSET($H$3,0,0,'Données projet'!$E$14+1,1))</f>
        <v>547.89540791313675</v>
      </c>
      <c r="DU42" s="62">
        <f t="shared" si="44"/>
        <v>345.19555189302378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11</v>
      </c>
      <c r="EJ42" s="13">
        <f>IF('Données projet'!$A$192&gt;35,EJ41+EI42-ER41,IF(A42&lt;'Données projet'!$A$192,$EG$205^A42,IF(A42='Données projet'!$A$192,'Données projet'!$B$192,EJ41+EI42-ER41)))</f>
        <v>202.99999999999997</v>
      </c>
      <c r="EK42" s="18">
        <f>EJ42*VLOOKUP('Données projet'!$B$15,Paramètres!$A$1:$I$89,3,0)*VLOOKUP('Données projet'!$B$15,Paramètres!$A$1:$I$89,5,0)</f>
        <v>212.1756</v>
      </c>
      <c r="EL42" s="14">
        <f t="shared" si="45"/>
        <v>52.410723477279205</v>
      </c>
      <c r="EM42" s="22">
        <f t="shared" si="19"/>
        <v>460.82118005626131</v>
      </c>
      <c r="EN42" s="62">
        <f t="shared" si="20"/>
        <v>683.74213029989085</v>
      </c>
      <c r="EO42" s="62">
        <f ca="1">AVERAGE(OFFSET($EN$3,0,0,'Données projet'!$E$15+1,1))-AVERAGE(OFFSET($H$3,0,0,'Données projet'!$E$15+1,1))</f>
        <v>418.23737352070503</v>
      </c>
      <c r="EP42" s="62">
        <f t="shared" si="46"/>
        <v>496.10742685332968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12.4</v>
      </c>
      <c r="FE42" s="13">
        <f>IF('Données projet'!$A$218&gt;35,FE41+FD42-FM41,IF(A42&lt;'Données projet'!$A$218,$FB$205^A42,IF(A42='Données projet'!$A$218,'Données projet'!$B$218,FE41+FD42-FM41)))</f>
        <v>195.60000000000002</v>
      </c>
      <c r="FF42" s="18">
        <f>FE42*VLOOKUP('Données projet'!$B$16,Paramètres!$A$1:$I$89,3,0)*VLOOKUP('Données projet'!$B$16,Paramètres!$A$1:$I$89,5,0)</f>
        <v>116.96880000000002</v>
      </c>
      <c r="FG42" s="14">
        <f t="shared" si="47"/>
        <v>30.966972418998537</v>
      </c>
      <c r="FH42" s="22">
        <f t="shared" si="22"/>
        <v>257.6548036297558</v>
      </c>
      <c r="FI42" s="62">
        <f t="shared" si="23"/>
        <v>480.57575387338534</v>
      </c>
      <c r="FJ42" s="62">
        <f ca="1">AVERAGE(OFFSET($FI$3,0,0,'Données projet'!$E$16+1,1))-AVERAGE(OFFSET($H$3,0,0,'Données projet'!$E$16+1,1))</f>
        <v>341.70983624543067</v>
      </c>
      <c r="FK42" s="62">
        <f t="shared" si="48"/>
        <v>250.82562837973805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0.54768539664152438</v>
      </c>
      <c r="FT42" s="24">
        <f t="shared" si="24"/>
        <v>0.54768539664152438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11.5</v>
      </c>
      <c r="FZ42" s="13">
        <f>IF('Données projet'!$A$244&gt;35,FZ41+FY42-GH41,IF(A42&lt;'Données projet'!$A$244,$FW$205^A42,IF(A42='Données projet'!$A$244,'Données projet'!$B$244,FZ41+FY42-GH41)))</f>
        <v>224.5</v>
      </c>
      <c r="GA42" s="18">
        <f>FZ42*VLOOKUP('Données projet'!$B$17,Paramètres!$A$1:$I$89,3,0)*VLOOKUP('Données projet'!$B$17,Paramètres!$A$1:$I$89,5,0)</f>
        <v>105.06599999999999</v>
      </c>
      <c r="GB42" s="14">
        <f t="shared" si="49"/>
        <v>28.165409079424791</v>
      </c>
      <c r="GC42" s="22">
        <f t="shared" si="25"/>
        <v>232.04470414666483</v>
      </c>
      <c r="GD42" s="62">
        <f t="shared" si="26"/>
        <v>454.96565439029433</v>
      </c>
      <c r="GE42" s="62">
        <f ca="1">AVERAGE(OFFSET($GD$3,0,0,'Données projet'!$E$17+1,1))-AVERAGE(OFFSET($H$3,0,0,'Données projet'!$E$17+1,1))</f>
        <v>368.69628434154333</v>
      </c>
      <c r="GF42" s="62">
        <f t="shared" si="50"/>
        <v>202.28197295839524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9.6</v>
      </c>
      <c r="GU42" s="13">
        <f>IF('Données projet'!$A$270&gt;35,GU41+GT42-HC41,IF(A42&lt;'Données projet'!$A$270,$GR$205^A42,IF(A42='Données projet'!$A$270,'Données projet'!$B$270,GU41+GT42-HC41)))</f>
        <v>181.39999999999995</v>
      </c>
      <c r="GV42" s="18">
        <f>GU42*VLOOKUP('Données projet'!$B$18,Paramètres!$A$1:$I$89,3,0)*VLOOKUP('Données projet'!$B$18,Paramètres!$A$1:$I$89,5,0)</f>
        <v>158.47103999999996</v>
      </c>
      <c r="GW42" s="14">
        <f t="shared" si="51"/>
        <v>40.497461727609561</v>
      </c>
      <c r="GX42" s="22">
        <f t="shared" si="28"/>
        <v>346.53680717558655</v>
      </c>
      <c r="GY42" s="62">
        <f t="shared" si="29"/>
        <v>569.45775741921602</v>
      </c>
      <c r="GZ42" s="62">
        <f ca="1">AVERAGE(OFFSET($GY$3,0,0,'Données projet'!$E$18+1,1))-AVERAGE(OFFSET($H$3,0,0,'Données projet'!$E$18+1,1))</f>
        <v>378.51861272969165</v>
      </c>
      <c r="HA42" s="62">
        <f t="shared" si="52"/>
        <v>387.42368617035459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0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</v>
      </c>
      <c r="HJ42" s="24">
        <f t="shared" si="30"/>
        <v>0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135.66666666666666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247</v>
      </c>
      <c r="L43" s="13">
        <f>VLOOKUP(A43,'Données projet'!$A$35:$I$55,9,0)</f>
        <v>10.3</v>
      </c>
      <c r="M43" s="13">
        <f t="array" ref="M43">INDEX(L:L,MIN(IF(ISNUMBER(L43:L239),ROW(L43:L239),"")))</f>
        <v>10.3</v>
      </c>
      <c r="N43" s="14">
        <f>IF('Données projet'!$A$36&gt;35,N42+M43-V42,IF(A43&lt;'Données projet'!$A$36,$K$205^A43,IF(A43='Données projet'!$A$36,'Données projet'!$B$36,N42+M43-V42)))</f>
        <v>247.00000000000011</v>
      </c>
      <c r="O43" s="14">
        <f>N43*VLOOKUP('Données projet'!$B$9,Paramètres!$A$1:$I$89,3,0)*VLOOKUP('Données projet'!$B$9,Paramètres!$A$1:$I$89,5,0)</f>
        <v>147.70600000000007</v>
      </c>
      <c r="P43" s="14">
        <f t="shared" si="33"/>
        <v>38.056799214709841</v>
      </c>
      <c r="Q43" s="22">
        <f t="shared" si="53"/>
        <v>323.53687529895308</v>
      </c>
      <c r="R43" s="62">
        <f t="shared" si="0"/>
        <v>547.67932297068342</v>
      </c>
      <c r="S43" s="62">
        <f ca="1">AVERAGE(OFFSET($R$3,0,0,'Données projet'!$E$9+1,1))-AVERAGE(OFFSET($H$3,0,0,'Données projet'!$E$9+1,1))</f>
        <v>437.94016462147999</v>
      </c>
      <c r="T43" s="62">
        <f t="shared" si="34"/>
        <v>281.88254003380348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0.25588671063218743</v>
      </c>
      <c r="AC43" s="24">
        <f t="shared" si="3"/>
        <v>0.25588671063218743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</v>
      </c>
      <c r="AJ43" s="14">
        <f>AI43*VLOOKUP('Données projet'!$B$10,Paramètres!$A$1:$I$89,3,0)*VLOOKUP('Données projet'!$B$10,Paramètres!$A$1:$I$89,5,0)</f>
        <v>123.9576</v>
      </c>
      <c r="AK43" s="14">
        <f t="shared" si="35"/>
        <v>32.59629414926458</v>
      </c>
      <c r="AL43" s="22">
        <f t="shared" si="4"/>
        <v>272.6646989766358</v>
      </c>
      <c r="AM43" s="62">
        <f t="shared" si="5"/>
        <v>496.80714664836614</v>
      </c>
      <c r="AN43" s="62">
        <f ca="1">AVERAGE(OFFSET($AM$3,0,0,'Données projet'!$E$10+1,1))-AVERAGE(OFFSET($H$3,0,0,'Données projet'!$E$10+1,1))</f>
        <v>434.56763649859136</v>
      </c>
      <c r="AO43" s="62">
        <f t="shared" si="36"/>
        <v>271.90302066766264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1.1368683772161603E-13</v>
      </c>
      <c r="BE43" s="14">
        <f>BD43*VLOOKUP('Données projet'!$B$11,Paramètres!$A$1:$I$89,3,0)*VLOOKUP('Données projet'!$B$11,Paramètres!$A$1:$I$89,5,0)</f>
        <v>6.7984728957526396E-14</v>
      </c>
      <c r="BF43" s="14">
        <f t="shared" si="37"/>
        <v>1.0682447123141398E-12</v>
      </c>
      <c r="BG43" s="22">
        <f t="shared" si="7"/>
        <v>1.978932943548152E-12</v>
      </c>
      <c r="BH43" s="62">
        <f t="shared" si="8"/>
        <v>224.1424476717323</v>
      </c>
      <c r="BI43" s="62">
        <f ca="1">AVERAGE(OFFSET($BH$3,0,0,'Données projet'!$E$11+1,1))-AVERAGE(OFFSET($H$3,0,0,'Données projet'!$E$11+1,1))</f>
        <v>199.65420589615553</v>
      </c>
      <c r="BJ43" s="62">
        <f t="shared" si="38"/>
        <v>477.85821088970999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43.740616948582385</v>
      </c>
      <c r="BQ43" s="23">
        <f>EXP(-LN(2)/25)*BQ42+(1-EXP(-LN(2)/25))/(LN(2)/25)*Calculateur!BL43*Calculateur!BN43*VLOOKUP('Données projet'!$B$11,Paramètres!$A$1:$I$89,3,0)*0.475*44/12</f>
        <v>33.306973272629243</v>
      </c>
      <c r="BR43" s="23">
        <f>EXP(-LN(2)/2)*BR42+(1-EXP(-LN(2)/2))/(LN(2)/2)*BL43*BO43*VLOOKUP('Données projet'!$B$11,Paramètres!$A$1:$I$89,3,0)*0.475*44/12</f>
        <v>1.3614807749033888</v>
      </c>
      <c r="BS43" s="24">
        <f t="shared" si="9"/>
        <v>78.40907099611502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247</v>
      </c>
      <c r="BW43" s="13">
        <f>VLOOKUP(A43,'Données projet'!$A$113:$I$133,9,0)</f>
        <v>10.3</v>
      </c>
      <c r="BX43" s="13">
        <f t="array" ref="BX43">INDEX(BW:BW,MIN(IF(ISNUMBER(BW43:BW239),ROW(BW43:BW239),"")))</f>
        <v>10.3</v>
      </c>
      <c r="BY43" s="13">
        <f>IF('Données projet'!$A$114&gt;35,BY42+BX43-CG42,IF(A43&lt;'Données projet'!$A$114,$BV$205^A43,IF(A43='Données projet'!$A$114,'Données projet'!$B$114,BY42+BX43-CG42)))</f>
        <v>247.00000000000011</v>
      </c>
      <c r="BZ43" s="14">
        <f>BY43*VLOOKUP('Données projet'!$B$12,Paramètres!$A$1:$I$89,3,0)*VLOOKUP('Données projet'!$B$12,Paramètres!$A$1:$I$89,5,0)</f>
        <v>147.70600000000007</v>
      </c>
      <c r="CA43" s="14">
        <f t="shared" si="39"/>
        <v>38.056799214709841</v>
      </c>
      <c r="CB43" s="22">
        <f t="shared" si="10"/>
        <v>323.53687529895308</v>
      </c>
      <c r="CC43" s="62">
        <f t="shared" si="11"/>
        <v>547.67932297068342</v>
      </c>
      <c r="CD43" s="62">
        <f ca="1">AVERAGE(OFFSET($CC$3,0,0,'Données projet'!$E$12+1,1))-AVERAGE(OFFSET($H$3,0,0,'Données projet'!$E$12+1,1))</f>
        <v>437.94016462147999</v>
      </c>
      <c r="CE43" s="62">
        <f t="shared" si="40"/>
        <v>281.88254003380348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21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0.25588671063218743</v>
      </c>
      <c r="CN43" s="24">
        <f t="shared" si="12"/>
        <v>0.25588671063218743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137</v>
      </c>
      <c r="CR43" s="13">
        <f>VLOOKUP(A43,'Données projet'!$A$139:$I$159,9,0)</f>
        <v>8.4</v>
      </c>
      <c r="CS43" s="13">
        <f t="array" ref="CS43">INDEX(CR:CR,MIN(IF(ISNUMBER(CR43:CR239),ROW(CR43:CR239),"")))</f>
        <v>8.4</v>
      </c>
      <c r="CT43" s="13">
        <f>IF('Données projet'!$A$140&gt;35,CT42+CS43-DB42,IF(A43&lt;'Données projet'!$A$140,$CQ$205^A43,IF(A43='Données projet'!$A$140,'Données projet'!$B$140,CT42+CS43-DB42)))</f>
        <v>137</v>
      </c>
      <c r="CU43" s="18">
        <f>CT43*VLOOKUP('Données projet'!$B$13,Paramètres!$A$1:$I$89,3,0)*VLOOKUP('Données projet'!$B$13,Paramètres!$A$1:$I$89,5,0)</f>
        <v>156.01559999999998</v>
      </c>
      <c r="CV43" s="14">
        <f t="shared" si="41"/>
        <v>39.942508135025747</v>
      </c>
      <c r="CW43" s="22">
        <f t="shared" si="13"/>
        <v>341.29370500183649</v>
      </c>
      <c r="CX43" s="62">
        <f t="shared" si="14"/>
        <v>565.43615267356677</v>
      </c>
      <c r="CY43" s="62">
        <f ca="1">AVERAGE(OFFSET($CX$3,0,0,'Données projet'!$E$13+1,1))-AVERAGE(OFFSET($H$3,0,0,'Données projet'!$E$13+1,1))</f>
        <v>520.23742527061836</v>
      </c>
      <c r="CZ43" s="62">
        <f t="shared" si="42"/>
        <v>321.35925479331274</v>
      </c>
      <c r="DA43" s="16">
        <f>IF(ISNA(VLOOKUP(A43,'Données projet'!$A$139:$I$159,3,0)),0,VLOOKUP(A43,'Données projet'!$A$139:$I$159,3,0))</f>
        <v>4</v>
      </c>
      <c r="DB43" s="16">
        <f>IF(ISNA(VLOOKUP(A43,'Données projet'!$A$139:$I$159,4,0)),0,VLOOKUP(A43,'Données projet'!$A$139:$I$159,4,0))</f>
        <v>21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175</v>
      </c>
      <c r="DM43" s="13">
        <f>VLOOKUP(A43,'Données projet'!$A$165:$I$185,9,0)</f>
        <v>11.2</v>
      </c>
      <c r="DN43" s="13">
        <f t="array" ref="DN43">INDEX(DM:DM,MIN(IF(ISNUMBER(DM43:DM239),ROW(DM43:DM239),"")))</f>
        <v>11.2</v>
      </c>
      <c r="DO43" s="13">
        <f>IF('Données projet'!$A$166&gt;35,DO42+DN43-DW42,IF(A43&lt;'Données projet'!$A$166,$DL$205^A43,IF(A43='Données projet'!$A$166,'Données projet'!$B$166,DO42+DN43-DW42)))</f>
        <v>175</v>
      </c>
      <c r="DP43" s="18">
        <f>DO43*VLOOKUP('Données projet'!$B$14,Paramètres!$A$1:$I$89,3,0)*VLOOKUP('Données projet'!$B$14,Paramètres!$A$1:$I$89,5,0)</f>
        <v>177.45000000000002</v>
      </c>
      <c r="DQ43" s="14">
        <f t="shared" si="43"/>
        <v>44.754387900936791</v>
      </c>
      <c r="DR43" s="22">
        <f t="shared" si="16"/>
        <v>387.0059755941316</v>
      </c>
      <c r="DS43" s="62">
        <f t="shared" si="17"/>
        <v>611.14842326586188</v>
      </c>
      <c r="DT43" s="62">
        <f ca="1">AVERAGE(OFFSET($DS$3,0,0,'Données projet'!$E$14+1,1))-AVERAGE(OFFSET($H$3,0,0,'Données projet'!$E$14+1,1))</f>
        <v>547.89540791313675</v>
      </c>
      <c r="DU43" s="62">
        <f t="shared" si="44"/>
        <v>345.19555189302378</v>
      </c>
      <c r="DV43" s="16">
        <f>IF(ISNA(VLOOKUP(A43,'Données projet'!$A$165:$I$185,3,0)),0,VLOOKUP(A43,'Données projet'!$A$165:$I$185,3,0))</f>
        <v>5</v>
      </c>
      <c r="DW43" s="16">
        <f>IF(ISNA(VLOOKUP(A43,'Données projet'!$A$165:$I$185,4,0)),0,VLOOKUP(A43,'Données projet'!$A$165:$I$185,4,0))</f>
        <v>28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214</v>
      </c>
      <c r="EH43" s="13">
        <f>VLOOKUP(A43,'Données projet'!$A$191:$I$211,9,0)</f>
        <v>11</v>
      </c>
      <c r="EI43" s="13">
        <f t="array" ref="EI43">INDEX(EH:EH,MIN(IF(ISNUMBER(EH43:EH239),ROW(EH43:EH239),"")))</f>
        <v>11</v>
      </c>
      <c r="EJ43" s="13">
        <f>IF('Données projet'!$A$192&gt;35,EJ42+EI43-ER42,IF(A43&lt;'Données projet'!$A$192,$EG$205^A43,IF(A43='Données projet'!$A$192,'Données projet'!$B$192,EJ42+EI43-ER42)))</f>
        <v>213.99999999999997</v>
      </c>
      <c r="EK43" s="18">
        <f>EJ43*VLOOKUP('Données projet'!$B$15,Paramètres!$A$1:$I$89,3,0)*VLOOKUP('Données projet'!$B$15,Paramètres!$A$1:$I$89,5,0)</f>
        <v>223.6728</v>
      </c>
      <c r="EL43" s="14">
        <f t="shared" si="45"/>
        <v>54.91237981823884</v>
      </c>
      <c r="EM43" s="22">
        <f t="shared" si="19"/>
        <v>485.20252151676596</v>
      </c>
      <c r="EN43" s="62">
        <f t="shared" si="20"/>
        <v>709.34496918849629</v>
      </c>
      <c r="EO43" s="62">
        <f ca="1">AVERAGE(OFFSET($EN$3,0,0,'Données projet'!$E$15+1,1))-AVERAGE(OFFSET($H$3,0,0,'Données projet'!$E$15+1,1))</f>
        <v>418.23737352070503</v>
      </c>
      <c r="EP43" s="62">
        <f t="shared" si="46"/>
        <v>496.10742685332968</v>
      </c>
      <c r="EQ43" s="16">
        <f>IF(ISNA(VLOOKUP(A43,'Données projet'!$A$191:$I$211,3,0)),0,VLOOKUP(A43,'Données projet'!$A$191:$I$211,3,0))</f>
        <v>6</v>
      </c>
      <c r="ER43" s="16">
        <f>IF(ISNA(VLOOKUP(A43,'Données projet'!$A$191:$I$211,4,0)),0,VLOOKUP(A43,'Données projet'!$A$191:$I$211,4,0))</f>
        <v>39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208</v>
      </c>
      <c r="FC43" s="13">
        <f>VLOOKUP(A43,'Données projet'!$A$217:$I$237,9,0)</f>
        <v>12.4</v>
      </c>
      <c r="FD43" s="13">
        <f t="array" ref="FD43">INDEX(FC:FC,MIN(IF(ISNUMBER(FC43:FC239),ROW(FC43:FC239),"")))</f>
        <v>12.4</v>
      </c>
      <c r="FE43" s="13">
        <f>IF('Données projet'!$A$218&gt;35,FE42+FD43-FM42,IF(A43&lt;'Données projet'!$A$218,$FB$205^A43,IF(A43='Données projet'!$A$218,'Données projet'!$B$218,FE42+FD43-FM42)))</f>
        <v>208.00000000000003</v>
      </c>
      <c r="FF43" s="18">
        <f>FE43*VLOOKUP('Données projet'!$B$16,Paramètres!$A$1:$I$89,3,0)*VLOOKUP('Données projet'!$B$16,Paramètres!$A$1:$I$89,5,0)</f>
        <v>124.38400000000003</v>
      </c>
      <c r="FG43" s="14">
        <f t="shared" si="47"/>
        <v>32.695350227217695</v>
      </c>
      <c r="FH43" s="22">
        <f t="shared" si="22"/>
        <v>273.57986831240419</v>
      </c>
      <c r="FI43" s="62">
        <f t="shared" si="23"/>
        <v>497.72231598413453</v>
      </c>
      <c r="FJ43" s="62">
        <f ca="1">AVERAGE(OFFSET($FI$3,0,0,'Données projet'!$E$16+1,1))-AVERAGE(OFFSET($H$3,0,0,'Données projet'!$E$16+1,1))</f>
        <v>341.70983624543067</v>
      </c>
      <c r="FK43" s="62">
        <f t="shared" si="48"/>
        <v>250.82562837973805</v>
      </c>
      <c r="FL43" s="16">
        <f>IF(ISNA(VLOOKUP(A43,'Données projet'!$A$217:$I$237,3,0)),0,VLOOKUP(A43,'Données projet'!$A$217:$I$237,3,0))</f>
        <v>4</v>
      </c>
      <c r="FM43" s="16">
        <f>IF(ISNA(VLOOKUP(A43,'Données projet'!$A$217:$I$237,4,0)),0,VLOOKUP(A43,'Données projet'!$A$217:$I$237,4,0))</f>
        <v>34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0.38727205792206587</v>
      </c>
      <c r="FT43" s="24">
        <f t="shared" si="24"/>
        <v>0.38727205792206587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236</v>
      </c>
      <c r="FX43" s="13">
        <f>VLOOKUP(A43,'Données projet'!$A$243:$I$263,9,0)</f>
        <v>11.5</v>
      </c>
      <c r="FY43" s="13">
        <f t="array" ref="FY43">INDEX(FX:FX,MIN(IF(ISNUMBER(FX43:FX239),ROW(FX43:FX239),"")))</f>
        <v>11.5</v>
      </c>
      <c r="FZ43" s="13">
        <f>IF('Données projet'!$A$244&gt;35,FZ42+FY43-GH42,IF(A43&lt;'Données projet'!$A$244,$FW$205^A43,IF(A43='Données projet'!$A$244,'Données projet'!$B$244,FZ42+FY43-GH42)))</f>
        <v>236</v>
      </c>
      <c r="GA43" s="18">
        <f>FZ43*VLOOKUP('Données projet'!$B$17,Paramètres!$A$1:$I$89,3,0)*VLOOKUP('Données projet'!$B$17,Paramètres!$A$1:$I$89,5,0)</f>
        <v>110.44799999999999</v>
      </c>
      <c r="GB43" s="14">
        <f t="shared" si="49"/>
        <v>29.436511885319565</v>
      </c>
      <c r="GC43" s="22">
        <f t="shared" si="25"/>
        <v>243.63219153359822</v>
      </c>
      <c r="GD43" s="62">
        <f t="shared" si="26"/>
        <v>467.77463920532853</v>
      </c>
      <c r="GE43" s="62">
        <f ca="1">AVERAGE(OFFSET($GD$3,0,0,'Données projet'!$E$17+1,1))-AVERAGE(OFFSET($H$3,0,0,'Données projet'!$E$17+1,1))</f>
        <v>368.69628434154333</v>
      </c>
      <c r="GF43" s="62">
        <f t="shared" si="50"/>
        <v>202.28197295839524</v>
      </c>
      <c r="GG43" s="16">
        <f>IF(ISNA(VLOOKUP(A43,'Données projet'!$A$243:$I$263,3,0)),0,VLOOKUP(A43,'Données projet'!$A$243:$I$263,3,0))</f>
        <v>2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>
        <f>VLOOKUP(A43,'Données projet'!$A$269:$I$289,2,0)</f>
        <v>191</v>
      </c>
      <c r="GS43" s="13">
        <f>VLOOKUP(A43,'Données projet'!$A$269:$I$289,9,0)</f>
        <v>9.6</v>
      </c>
      <c r="GT43" s="13">
        <f t="array" ref="GT43">INDEX(GS:GS,MIN(IF(ISNUMBER(GS43:GS239),ROW(GS43:GS239),"")))</f>
        <v>9.6</v>
      </c>
      <c r="GU43" s="13">
        <f>IF('Données projet'!$A$270&gt;35,GU42+GT43-HC42,IF(A43&lt;'Données projet'!$A$270,$GR$205^A43,IF(A43='Données projet'!$A$270,'Données projet'!$B$270,GU42+GT43-HC42)))</f>
        <v>190.99999999999994</v>
      </c>
      <c r="GV43" s="18">
        <f>GU43*VLOOKUP('Données projet'!$B$18,Paramètres!$A$1:$I$89,3,0)*VLOOKUP('Données projet'!$B$18,Paramètres!$A$1:$I$89,5,0)</f>
        <v>166.85759999999996</v>
      </c>
      <c r="GW43" s="14">
        <f t="shared" si="51"/>
        <v>42.385468111966098</v>
      </c>
      <c r="GX43" s="22">
        <f t="shared" si="28"/>
        <v>364.43167696167421</v>
      </c>
      <c r="GY43" s="62">
        <f t="shared" si="29"/>
        <v>588.57412463340449</v>
      </c>
      <c r="GZ43" s="62">
        <f ca="1">AVERAGE(OFFSET($GY$3,0,0,'Données projet'!$E$18+1,1))-AVERAGE(OFFSET($H$3,0,0,'Données projet'!$E$18+1,1))</f>
        <v>378.51861272969165</v>
      </c>
      <c r="HA43" s="62">
        <f t="shared" si="52"/>
        <v>387.42368617035459</v>
      </c>
      <c r="HB43" s="16">
        <f>IF(ISNA(VLOOKUP(A43,'Données projet'!$A$269:$I$289,3,0)),0,VLOOKUP(A43,'Données projet'!$A$269:$I$289,3,0))</f>
        <v>5</v>
      </c>
      <c r="HC43" s="16">
        <f>IF(ISNA(VLOOKUP(A43,'Données projet'!$A$269:$I$289,4,0)),0,VLOOKUP(A43,'Données projet'!$A$269:$I$289,4,0))</f>
        <v>33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0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0</v>
      </c>
      <c r="HJ43" s="24">
        <f t="shared" si="30"/>
        <v>0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135.66666666666666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9.5</v>
      </c>
      <c r="N44" s="14">
        <f>IF('Données projet'!$A$36&gt;35,N43+M44-V43,IF(A44&lt;'Données projet'!$A$36,$K$205^A44,IF(A44='Données projet'!$A$36,'Données projet'!$B$36,N43+M44-V43)))</f>
        <v>235.50000000000011</v>
      </c>
      <c r="O44" s="14">
        <f>N44*VLOOKUP('Données projet'!$B$9,Paramètres!$A$1:$I$89,3,0)*VLOOKUP('Données projet'!$B$9,Paramètres!$A$1:$I$89,5,0)</f>
        <v>140.82900000000006</v>
      </c>
      <c r="P44" s="14">
        <f t="shared" si="33"/>
        <v>36.486852448658766</v>
      </c>
      <c r="Q44" s="22">
        <f t="shared" si="53"/>
        <v>308.82510968141406</v>
      </c>
      <c r="R44" s="62">
        <f t="shared" si="0"/>
        <v>534.16786453172676</v>
      </c>
      <c r="S44" s="62">
        <f ca="1">AVERAGE(OFFSET($R$3,0,0,'Données projet'!$E$9+1,1))-AVERAGE(OFFSET($H$3,0,0,'Données projet'!$E$9+1,1))</f>
        <v>437.94016462147999</v>
      </c>
      <c r="T44" s="62">
        <f t="shared" si="34"/>
        <v>281.88254003380348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0.18093922830353956</v>
      </c>
      <c r="AC44" s="24">
        <f t="shared" si="3"/>
        <v>0.18093922830353956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</v>
      </c>
      <c r="AJ44" s="14">
        <f>AI44*VLOOKUP('Données projet'!$B$10,Paramètres!$A$1:$I$89,3,0)*VLOOKUP('Données projet'!$B$10,Paramètres!$A$1:$I$89,5,0)</f>
        <v>112.55712000000001</v>
      </c>
      <c r="AK44" s="14">
        <f t="shared" si="35"/>
        <v>29.932653834140599</v>
      </c>
      <c r="AL44" s="22">
        <f t="shared" si="4"/>
        <v>248.16968942779488</v>
      </c>
      <c r="AM44" s="62">
        <f t="shared" si="5"/>
        <v>473.51244427810752</v>
      </c>
      <c r="AN44" s="62">
        <f ca="1">AVERAGE(OFFSET($AM$3,0,0,'Données projet'!$E$10+1,1))-AVERAGE(OFFSET($H$3,0,0,'Données projet'!$E$10+1,1))</f>
        <v>434.56763649859136</v>
      </c>
      <c r="AO44" s="62">
        <f t="shared" si="36"/>
        <v>271.90302066766264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1.1368683772161603E-13</v>
      </c>
      <c r="BE44" s="14">
        <f>BD44*VLOOKUP('Données projet'!$B$11,Paramètres!$A$1:$I$89,3,0)*VLOOKUP('Données projet'!$B$11,Paramètres!$A$1:$I$89,5,0)</f>
        <v>6.7984728957526396E-14</v>
      </c>
      <c r="BF44" s="14">
        <f t="shared" si="37"/>
        <v>1.0682447123141398E-12</v>
      </c>
      <c r="BG44" s="22">
        <f t="shared" si="7"/>
        <v>1.978932943548152E-12</v>
      </c>
      <c r="BH44" s="62">
        <f t="shared" si="8"/>
        <v>225.34275485031463</v>
      </c>
      <c r="BI44" s="62">
        <f ca="1">AVERAGE(OFFSET($BH$3,0,0,'Données projet'!$E$11+1,1))-AVERAGE(OFFSET($H$3,0,0,'Données projet'!$E$11+1,1))</f>
        <v>199.65420589615553</v>
      </c>
      <c r="BJ44" s="62">
        <f t="shared" si="38"/>
        <v>477.85821088970999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42.882890129362679</v>
      </c>
      <c r="BQ44" s="23">
        <f>EXP(-LN(2)/25)*BQ43+(1-EXP(-LN(2)/25))/(LN(2)/25)*Calculateur!BL44*Calculateur!BN44*VLOOKUP('Données projet'!$B$11,Paramètres!$A$1:$I$89,3,0)*0.475*44/12</f>
        <v>32.396192336951593</v>
      </c>
      <c r="BR44" s="23">
        <f>EXP(-LN(2)/2)*BR43+(1-EXP(-LN(2)/2))/(LN(2)/2)*BL44*BO44*VLOOKUP('Données projet'!$B$11,Paramètres!$A$1:$I$89,3,0)*0.475*44/12</f>
        <v>0.96271228838930178</v>
      </c>
      <c r="BS44" s="24">
        <f t="shared" si="9"/>
        <v>76.241794754703562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9.5</v>
      </c>
      <c r="BY44" s="13">
        <f>IF('Données projet'!$A$114&gt;35,BY43+BX44-CG43,IF(A44&lt;'Données projet'!$A$114,$BV$205^A44,IF(A44='Données projet'!$A$114,'Données projet'!$B$114,BY43+BX44-CG43)))</f>
        <v>235.50000000000011</v>
      </c>
      <c r="BZ44" s="14">
        <f>BY44*VLOOKUP('Données projet'!$B$12,Paramètres!$A$1:$I$89,3,0)*VLOOKUP('Données projet'!$B$12,Paramètres!$A$1:$I$89,5,0)</f>
        <v>140.82900000000006</v>
      </c>
      <c r="CA44" s="14">
        <f t="shared" si="39"/>
        <v>36.486852448658766</v>
      </c>
      <c r="CB44" s="22">
        <f t="shared" si="10"/>
        <v>308.82510968141406</v>
      </c>
      <c r="CC44" s="62">
        <f t="shared" si="11"/>
        <v>534.16786453172676</v>
      </c>
      <c r="CD44" s="62">
        <f ca="1">AVERAGE(OFFSET($CC$3,0,0,'Données projet'!$E$12+1,1))-AVERAGE(OFFSET($H$3,0,0,'Données projet'!$E$12+1,1))</f>
        <v>437.94016462147999</v>
      </c>
      <c r="CE44" s="62">
        <f t="shared" si="40"/>
        <v>281.88254003380348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0.18093922830353956</v>
      </c>
      <c r="CN44" s="24">
        <f t="shared" si="12"/>
        <v>0.18093922830353956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8.4</v>
      </c>
      <c r="CT44" s="13">
        <f>IF('Données projet'!$A$140&gt;35,CT43+CS44-DB43,IF(A44&lt;'Données projet'!$A$140,$CQ$205^A44,IF(A44='Données projet'!$A$140,'Données projet'!$B$140,CT43+CS44-DB43)))</f>
        <v>124.4</v>
      </c>
      <c r="CU44" s="18">
        <f>CT44*VLOOKUP('Données projet'!$B$13,Paramètres!$A$1:$I$89,3,0)*VLOOKUP('Données projet'!$B$13,Paramètres!$A$1:$I$89,5,0)</f>
        <v>141.66672</v>
      </c>
      <c r="CV44" s="14">
        <f t="shared" si="41"/>
        <v>36.678564250226081</v>
      </c>
      <c r="CW44" s="22">
        <f t="shared" si="13"/>
        <v>310.61803673581045</v>
      </c>
      <c r="CX44" s="62">
        <f t="shared" si="14"/>
        <v>535.96079158612315</v>
      </c>
      <c r="CY44" s="62">
        <f ca="1">AVERAGE(OFFSET($CX$3,0,0,'Données projet'!$E$13+1,1))-AVERAGE(OFFSET($H$3,0,0,'Données projet'!$E$13+1,1))</f>
        <v>520.23742527061836</v>
      </c>
      <c r="CZ44" s="62">
        <f t="shared" si="42"/>
        <v>321.35925479331274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11.4</v>
      </c>
      <c r="DO44" s="13">
        <f>IF('Données projet'!$A$166&gt;35,DO43+DN44-DW43,IF(A44&lt;'Données projet'!$A$166,$DL$205^A44,IF(A44='Données projet'!$A$166,'Données projet'!$B$166,DO43+DN44-DW43)))</f>
        <v>158.4</v>
      </c>
      <c r="DP44" s="18">
        <f>DO44*VLOOKUP('Données projet'!$B$14,Paramètres!$A$1:$I$89,3,0)*VLOOKUP('Données projet'!$B$14,Paramètres!$A$1:$I$89,5,0)</f>
        <v>160.61760000000001</v>
      </c>
      <c r="DQ44" s="14">
        <f t="shared" si="43"/>
        <v>40.981785561145074</v>
      </c>
      <c r="DR44" s="22">
        <f t="shared" si="16"/>
        <v>351.11892985232771</v>
      </c>
      <c r="DS44" s="62">
        <f t="shared" si="17"/>
        <v>576.46168470264035</v>
      </c>
      <c r="DT44" s="62">
        <f ca="1">AVERAGE(OFFSET($DS$3,0,0,'Données projet'!$E$14+1,1))-AVERAGE(OFFSET($H$3,0,0,'Données projet'!$E$14+1,1))</f>
        <v>547.89540791313675</v>
      </c>
      <c r="DU44" s="62">
        <f t="shared" si="44"/>
        <v>345.19555189302378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9.8000000000000007</v>
      </c>
      <c r="EJ44" s="13">
        <f>IF('Données projet'!$A$192&gt;35,EJ43+EI44-ER43,IF(A44&lt;'Données projet'!$A$192,$EG$205^A44,IF(A44='Données projet'!$A$192,'Données projet'!$B$192,EJ43+EI44-ER43)))</f>
        <v>184.79999999999998</v>
      </c>
      <c r="EK44" s="18">
        <f>EJ44*VLOOKUP('Données projet'!$B$15,Paramètres!$A$1:$I$89,3,0)*VLOOKUP('Données projet'!$B$15,Paramètres!$A$1:$I$89,5,0)</f>
        <v>193.15296000000001</v>
      </c>
      <c r="EL44" s="14">
        <f t="shared" si="45"/>
        <v>48.236358426448142</v>
      </c>
      <c r="EM44" s="22">
        <f t="shared" si="19"/>
        <v>420.41972959273056</v>
      </c>
      <c r="EN44" s="62">
        <f t="shared" si="20"/>
        <v>645.76248444304315</v>
      </c>
      <c r="EO44" s="62">
        <f ca="1">AVERAGE(OFFSET($EN$3,0,0,'Données projet'!$E$15+1,1))-AVERAGE(OFFSET($H$3,0,0,'Données projet'!$E$15+1,1))</f>
        <v>418.23737352070503</v>
      </c>
      <c r="EP44" s="62">
        <f t="shared" si="46"/>
        <v>496.10742685332968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14.1</v>
      </c>
      <c r="FE44" s="13">
        <f>IF('Données projet'!$A$218&gt;35,FE43+FD44-FM43,IF(A44&lt;'Données projet'!$A$218,$FB$205^A44,IF(A44='Données projet'!$A$218,'Données projet'!$B$218,FE43+FD44-FM43)))</f>
        <v>188.10000000000002</v>
      </c>
      <c r="FF44" s="18">
        <f>FE44*VLOOKUP('Données projet'!$B$16,Paramètres!$A$1:$I$89,3,0)*VLOOKUP('Données projet'!$B$16,Paramètres!$A$1:$I$89,5,0)</f>
        <v>112.48380000000002</v>
      </c>
      <c r="FG44" s="14">
        <f t="shared" si="47"/>
        <v>29.915424563902814</v>
      </c>
      <c r="FH44" s="22">
        <f t="shared" si="22"/>
        <v>248.01198278213079</v>
      </c>
      <c r="FI44" s="62">
        <f t="shared" si="23"/>
        <v>473.3547376324434</v>
      </c>
      <c r="FJ44" s="62">
        <f ca="1">AVERAGE(OFFSET($FI$3,0,0,'Données projet'!$E$16+1,1))-AVERAGE(OFFSET($H$3,0,0,'Données projet'!$E$16+1,1))</f>
        <v>341.70983624543067</v>
      </c>
      <c r="FK44" s="62">
        <f t="shared" si="48"/>
        <v>250.82562837973805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0.27384269832076219</v>
      </c>
      <c r="FT44" s="24">
        <f t="shared" si="24"/>
        <v>0.27384269832076219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14.090909090909092</v>
      </c>
      <c r="FZ44" s="13">
        <f>IF('Données projet'!$A$244&gt;35,FZ43+FY44-GH43,IF(A44&lt;'Données projet'!$A$244,$FW$205^A44,IF(A44='Données projet'!$A$244,'Données projet'!$B$244,FZ43+FY44-GH43)))</f>
        <v>250.09090909090909</v>
      </c>
      <c r="GA44" s="18">
        <f>FZ44*VLOOKUP('Données projet'!$B$17,Paramètres!$A$1:$I$89,3,0)*VLOOKUP('Données projet'!$B$17,Paramètres!$A$1:$I$89,5,0)</f>
        <v>117.04254545454546</v>
      </c>
      <c r="GB44" s="14">
        <f t="shared" si="49"/>
        <v>30.984223000708795</v>
      </c>
      <c r="GC44" s="22">
        <f t="shared" si="25"/>
        <v>257.81328839290114</v>
      </c>
      <c r="GD44" s="62">
        <f t="shared" si="26"/>
        <v>483.15604324321379</v>
      </c>
      <c r="GE44" s="62">
        <f ca="1">AVERAGE(OFFSET($GD$3,0,0,'Données projet'!$E$17+1,1))-AVERAGE(OFFSET($H$3,0,0,'Données projet'!$E$17+1,1))</f>
        <v>368.69628434154333</v>
      </c>
      <c r="GF44" s="62">
        <f t="shared" si="50"/>
        <v>202.28197295839524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8.6</v>
      </c>
      <c r="GU44" s="13">
        <f>IF('Données projet'!$A$270&gt;35,GU43+GT44-HC43,IF(A44&lt;'Données projet'!$A$270,$GR$205^A44,IF(A44='Données projet'!$A$270,'Données projet'!$B$270,GU43+GT44-HC43)))</f>
        <v>166.59999999999994</v>
      </c>
      <c r="GV44" s="18">
        <f>GU44*VLOOKUP('Données projet'!$B$18,Paramètres!$A$1:$I$89,3,0)*VLOOKUP('Données projet'!$B$18,Paramètres!$A$1:$I$89,5,0)</f>
        <v>145.54175999999998</v>
      </c>
      <c r="GW44" s="14">
        <f t="shared" si="51"/>
        <v>37.563662342876064</v>
      </c>
      <c r="GX44" s="22">
        <f t="shared" si="28"/>
        <v>318.90861058050911</v>
      </c>
      <c r="GY44" s="62">
        <f t="shared" si="29"/>
        <v>544.25136543082181</v>
      </c>
      <c r="GZ44" s="62">
        <f ca="1">AVERAGE(OFFSET($GY$3,0,0,'Données projet'!$E$18+1,1))-AVERAGE(OFFSET($H$3,0,0,'Données projet'!$E$18+1,1))</f>
        <v>378.51861272969165</v>
      </c>
      <c r="HA44" s="62">
        <f t="shared" si="52"/>
        <v>387.42368617035459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0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0</v>
      </c>
      <c r="HJ44" s="24">
        <f t="shared" si="30"/>
        <v>0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135.66666666666666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9.5</v>
      </c>
      <c r="N45" s="14">
        <f>IF('Données projet'!$A$36&gt;35,N44+M45-V44,IF(A45&lt;'Données projet'!$A$36,$K$205^A45,IF(A45='Données projet'!$A$36,'Données projet'!$B$36,N44+M45-V44)))</f>
        <v>245.00000000000011</v>
      </c>
      <c r="O45" s="14">
        <f>N45*VLOOKUP('Données projet'!$B$9,Paramètres!$A$1:$I$89,3,0)*VLOOKUP('Données projet'!$B$9,Paramètres!$A$1:$I$89,5,0)</f>
        <v>146.51000000000008</v>
      </c>
      <c r="P45" s="14">
        <f t="shared" si="33"/>
        <v>37.784387209607431</v>
      </c>
      <c r="Q45" s="22">
        <f t="shared" si="53"/>
        <v>320.97939105673305</v>
      </c>
      <c r="R45" s="62">
        <f t="shared" si="0"/>
        <v>547.50163043956445</v>
      </c>
      <c r="S45" s="62">
        <f ca="1">AVERAGE(OFFSET($R$3,0,0,'Données projet'!$E$9+1,1))-AVERAGE(OFFSET($H$3,0,0,'Données projet'!$E$9+1,1))</f>
        <v>437.94016462147999</v>
      </c>
      <c r="T45" s="62">
        <f t="shared" si="34"/>
        <v>281.88254003380348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0.12794335531609372</v>
      </c>
      <c r="AC45" s="24">
        <f t="shared" si="3"/>
        <v>0.12794335531609372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132.80000000000001</v>
      </c>
      <c r="AJ45" s="14">
        <f>AI45*VLOOKUP('Données projet'!$B$10,Paramètres!$A$1:$I$89,3,0)*VLOOKUP('Données projet'!$B$10,Paramètres!$A$1:$I$89,5,0)</f>
        <v>120.15744000000001</v>
      </c>
      <c r="AK45" s="14">
        <f t="shared" si="35"/>
        <v>31.711716786129845</v>
      </c>
      <c r="AL45" s="22">
        <f t="shared" si="4"/>
        <v>264.50544806917611</v>
      </c>
      <c r="AM45" s="62">
        <f t="shared" si="5"/>
        <v>491.02768745200751</v>
      </c>
      <c r="AN45" s="62">
        <f ca="1">AVERAGE(OFFSET($AM$3,0,0,'Données projet'!$E$10+1,1))-AVERAGE(OFFSET($H$3,0,0,'Données projet'!$E$10+1,1))</f>
        <v>434.56763649859136</v>
      </c>
      <c r="AO45" s="62">
        <f t="shared" si="36"/>
        <v>271.90302066766264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1.1368683772161603E-13</v>
      </c>
      <c r="BE45" s="14">
        <f>BD45*VLOOKUP('Données projet'!$B$11,Paramètres!$A$1:$I$89,3,0)*VLOOKUP('Données projet'!$B$11,Paramètres!$A$1:$I$89,5,0)</f>
        <v>6.7984728957526396E-14</v>
      </c>
      <c r="BF45" s="14">
        <f t="shared" si="37"/>
        <v>1.0682447123141398E-12</v>
      </c>
      <c r="BG45" s="22">
        <f t="shared" si="7"/>
        <v>1.978932943548152E-12</v>
      </c>
      <c r="BH45" s="62">
        <f t="shared" si="8"/>
        <v>226.52223938283342</v>
      </c>
      <c r="BI45" s="62">
        <f ca="1">AVERAGE(OFFSET($BH$3,0,0,'Données projet'!$E$11+1,1))-AVERAGE(OFFSET($H$3,0,0,'Données projet'!$E$11+1,1))</f>
        <v>199.65420589615553</v>
      </c>
      <c r="BJ45" s="62">
        <f t="shared" si="38"/>
        <v>477.85821088970999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42.041982809906166</v>
      </c>
      <c r="BQ45" s="23">
        <f>EXP(-LN(2)/25)*BQ44+(1-EXP(-LN(2)/25))/(LN(2)/25)*Calculateur!BL45*Calculateur!BN45*VLOOKUP('Données projet'!$B$11,Paramètres!$A$1:$I$89,3,0)*0.475*44/12</f>
        <v>31.510316753855939</v>
      </c>
      <c r="BR45" s="23">
        <f>EXP(-LN(2)/2)*BR44+(1-EXP(-LN(2)/2))/(LN(2)/2)*BL45*BO45*VLOOKUP('Données projet'!$B$11,Paramètres!$A$1:$I$89,3,0)*0.475*44/12</f>
        <v>0.68074038745169452</v>
      </c>
      <c r="BS45" s="24">
        <f t="shared" si="9"/>
        <v>74.233039951213797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9.5</v>
      </c>
      <c r="BY45" s="13">
        <f>IF('Données projet'!$A$114&gt;35,BY44+BX45-CG44,IF(A45&lt;'Données projet'!$A$114,$BV$205^A45,IF(A45='Données projet'!$A$114,'Données projet'!$B$114,BY44+BX45-CG44)))</f>
        <v>245.00000000000011</v>
      </c>
      <c r="BZ45" s="14">
        <f>BY45*VLOOKUP('Données projet'!$B$12,Paramètres!$A$1:$I$89,3,0)*VLOOKUP('Données projet'!$B$12,Paramètres!$A$1:$I$89,5,0)</f>
        <v>146.51000000000008</v>
      </c>
      <c r="CA45" s="14">
        <f t="shared" si="39"/>
        <v>37.784387209607431</v>
      </c>
      <c r="CB45" s="22">
        <f t="shared" si="10"/>
        <v>320.97939105673305</v>
      </c>
      <c r="CC45" s="62">
        <f t="shared" si="11"/>
        <v>547.50163043956445</v>
      </c>
      <c r="CD45" s="62">
        <f ca="1">AVERAGE(OFFSET($CC$3,0,0,'Données projet'!$E$12+1,1))-AVERAGE(OFFSET($H$3,0,0,'Données projet'!$E$12+1,1))</f>
        <v>437.94016462147999</v>
      </c>
      <c r="CE45" s="62">
        <f t="shared" si="40"/>
        <v>281.88254003380348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0.12794335531609372</v>
      </c>
      <c r="CN45" s="24">
        <f t="shared" si="12"/>
        <v>0.12794335531609372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8.4</v>
      </c>
      <c r="CT45" s="13">
        <f>IF('Données projet'!$A$140&gt;35,CT44+CS45-DB44,IF(A45&lt;'Données projet'!$A$140,$CQ$205^A45,IF(A45='Données projet'!$A$140,'Données projet'!$B$140,CT44+CS45-DB44)))</f>
        <v>132.80000000000001</v>
      </c>
      <c r="CU45" s="18">
        <f>CT45*VLOOKUP('Données projet'!$B$13,Paramètres!$A$1:$I$89,3,0)*VLOOKUP('Données projet'!$B$13,Paramètres!$A$1:$I$89,5,0)</f>
        <v>151.23264</v>
      </c>
      <c r="CV45" s="14">
        <f t="shared" si="41"/>
        <v>38.85857391964295</v>
      </c>
      <c r="CW45" s="22">
        <f t="shared" si="13"/>
        <v>331.07553091004479</v>
      </c>
      <c r="CX45" s="62">
        <f t="shared" si="14"/>
        <v>557.59777029287625</v>
      </c>
      <c r="CY45" s="62">
        <f ca="1">AVERAGE(OFFSET($CX$3,0,0,'Données projet'!$E$13+1,1))-AVERAGE(OFFSET($H$3,0,0,'Données projet'!$E$13+1,1))</f>
        <v>520.23742527061836</v>
      </c>
      <c r="CZ45" s="62">
        <f t="shared" si="42"/>
        <v>321.35925479331274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11.4</v>
      </c>
      <c r="DO45" s="13">
        <f>IF('Données projet'!$A$166&gt;35,DO44+DN45-DW44,IF(A45&lt;'Données projet'!$A$166,$DL$205^A45,IF(A45='Données projet'!$A$166,'Données projet'!$B$166,DO44+DN45-DW44)))</f>
        <v>169.8</v>
      </c>
      <c r="DP45" s="18">
        <f>DO45*VLOOKUP('Données projet'!$B$14,Paramètres!$A$1:$I$89,3,0)*VLOOKUP('Données projet'!$B$14,Paramètres!$A$1:$I$89,5,0)</f>
        <v>172.1772</v>
      </c>
      <c r="DQ45" s="14">
        <f t="shared" si="43"/>
        <v>43.577282221917017</v>
      </c>
      <c r="DR45" s="22">
        <f t="shared" si="16"/>
        <v>375.77238986983883</v>
      </c>
      <c r="DS45" s="62">
        <f t="shared" si="17"/>
        <v>602.29462925267023</v>
      </c>
      <c r="DT45" s="62">
        <f ca="1">AVERAGE(OFFSET($DS$3,0,0,'Données projet'!$E$14+1,1))-AVERAGE(OFFSET($H$3,0,0,'Données projet'!$E$14+1,1))</f>
        <v>547.89540791313675</v>
      </c>
      <c r="DU45" s="62">
        <f t="shared" si="44"/>
        <v>345.19555189302378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9.8000000000000007</v>
      </c>
      <c r="EJ45" s="13">
        <f>IF('Données projet'!$A$192&gt;35,EJ44+EI45-ER44,IF(A45&lt;'Données projet'!$A$192,$EG$205^A45,IF(A45='Données projet'!$A$192,'Données projet'!$B$192,EJ44+EI45-ER44)))</f>
        <v>194.6</v>
      </c>
      <c r="EK45" s="18">
        <f>EJ45*VLOOKUP('Données projet'!$B$15,Paramètres!$A$1:$I$89,3,0)*VLOOKUP('Données projet'!$B$15,Paramètres!$A$1:$I$89,5,0)</f>
        <v>203.39592000000002</v>
      </c>
      <c r="EL45" s="14">
        <f t="shared" si="45"/>
        <v>50.489755252507052</v>
      </c>
      <c r="EM45" s="22">
        <f t="shared" si="19"/>
        <v>442.18421773144979</v>
      </c>
      <c r="EN45" s="62">
        <f t="shared" si="20"/>
        <v>668.70645711428119</v>
      </c>
      <c r="EO45" s="62">
        <f ca="1">AVERAGE(OFFSET($EN$3,0,0,'Données projet'!$E$15+1,1))-AVERAGE(OFFSET($H$3,0,0,'Données projet'!$E$15+1,1))</f>
        <v>418.23737352070503</v>
      </c>
      <c r="EP45" s="62">
        <f t="shared" si="46"/>
        <v>496.10742685332968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14.1</v>
      </c>
      <c r="FE45" s="13">
        <f>IF('Données projet'!$A$218&gt;35,FE44+FD45-FM44,IF(A45&lt;'Données projet'!$A$218,$FB$205^A45,IF(A45='Données projet'!$A$218,'Données projet'!$B$218,FE44+FD45-FM44)))</f>
        <v>202.20000000000002</v>
      </c>
      <c r="FF45" s="18">
        <f>FE45*VLOOKUP('Données projet'!$B$16,Paramètres!$A$1:$I$89,3,0)*VLOOKUP('Données projet'!$B$16,Paramètres!$A$1:$I$89,5,0)</f>
        <v>120.91560000000003</v>
      </c>
      <c r="FG45" s="14">
        <f t="shared" si="47"/>
        <v>31.888453396738488</v>
      </c>
      <c r="FH45" s="22">
        <f t="shared" si="22"/>
        <v>266.13372633265288</v>
      </c>
      <c r="FI45" s="62">
        <f t="shared" si="23"/>
        <v>492.65596571548429</v>
      </c>
      <c r="FJ45" s="62">
        <f ca="1">AVERAGE(OFFSET($FI$3,0,0,'Données projet'!$E$16+1,1))-AVERAGE(OFFSET($H$3,0,0,'Données projet'!$E$16+1,1))</f>
        <v>341.70983624543067</v>
      </c>
      <c r="FK45" s="62">
        <f t="shared" si="48"/>
        <v>250.82562837973805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0.19363602896103294</v>
      </c>
      <c r="FT45" s="24">
        <f t="shared" si="24"/>
        <v>0.19363602896103294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14.090909090909092</v>
      </c>
      <c r="FZ45" s="13">
        <f>IF('Données projet'!$A$244&gt;35,FZ44+FY45-GH44,IF(A45&lt;'Données projet'!$A$244,$FW$205^A45,IF(A45='Données projet'!$A$244,'Données projet'!$B$244,FZ44+FY45-GH44)))</f>
        <v>264.18181818181819</v>
      </c>
      <c r="GA45" s="18">
        <f>FZ45*VLOOKUP('Données projet'!$B$17,Paramètres!$A$1:$I$89,3,0)*VLOOKUP('Données projet'!$B$17,Paramètres!$A$1:$I$89,5,0)</f>
        <v>123.63709090909092</v>
      </c>
      <c r="GB45" s="14">
        <f t="shared" si="49"/>
        <v>32.52181125552751</v>
      </c>
      <c r="GC45" s="22">
        <f t="shared" si="25"/>
        <v>271.97675460337706</v>
      </c>
      <c r="GD45" s="62">
        <f t="shared" si="26"/>
        <v>498.49899398620846</v>
      </c>
      <c r="GE45" s="62">
        <f ca="1">AVERAGE(OFFSET($GD$3,0,0,'Données projet'!$E$17+1,1))-AVERAGE(OFFSET($H$3,0,0,'Données projet'!$E$17+1,1))</f>
        <v>368.69628434154333</v>
      </c>
      <c r="GF45" s="62">
        <f t="shared" si="50"/>
        <v>202.28197295839524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8.6</v>
      </c>
      <c r="GU45" s="13">
        <f>IF('Données projet'!$A$270&gt;35,GU44+GT45-HC44,IF(A45&lt;'Données projet'!$A$270,$GR$205^A45,IF(A45='Données projet'!$A$270,'Données projet'!$B$270,GU44+GT45-HC44)))</f>
        <v>175.19999999999993</v>
      </c>
      <c r="GV45" s="18">
        <f>GU45*VLOOKUP('Données projet'!$B$18,Paramètres!$A$1:$I$89,3,0)*VLOOKUP('Données projet'!$B$18,Paramètres!$A$1:$I$89,5,0)</f>
        <v>153.05471999999995</v>
      </c>
      <c r="GW45" s="14">
        <f t="shared" si="51"/>
        <v>39.271965088385166</v>
      </c>
      <c r="GX45" s="22">
        <f t="shared" si="28"/>
        <v>334.96897652893739</v>
      </c>
      <c r="GY45" s="62">
        <f t="shared" si="29"/>
        <v>561.49121591176879</v>
      </c>
      <c r="GZ45" s="62">
        <f ca="1">AVERAGE(OFFSET($GY$3,0,0,'Données projet'!$E$18+1,1))-AVERAGE(OFFSET($H$3,0,0,'Données projet'!$E$18+1,1))</f>
        <v>378.51861272969165</v>
      </c>
      <c r="HA45" s="62">
        <f t="shared" si="52"/>
        <v>387.42368617035459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0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0</v>
      </c>
      <c r="HJ45" s="24">
        <f t="shared" si="30"/>
        <v>0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135.66666666666666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9.5</v>
      </c>
      <c r="N46" s="14">
        <f>IF('Données projet'!$A$36&gt;35,N45+M46-V45,IF(A46&lt;'Données projet'!$A$36,$K$205^A46,IF(A46='Données projet'!$A$36,'Données projet'!$B$36,N45+M46-V45)))</f>
        <v>254.50000000000011</v>
      </c>
      <c r="O46" s="14">
        <f>N46*VLOOKUP('Données projet'!$B$9,Paramètres!$A$1:$I$89,3,0)*VLOOKUP('Données projet'!$B$9,Paramètres!$A$1:$I$89,5,0)</f>
        <v>152.19100000000009</v>
      </c>
      <c r="P46" s="14">
        <f t="shared" si="33"/>
        <v>39.076077236632756</v>
      </c>
      <c r="Q46" s="22">
        <f t="shared" si="53"/>
        <v>333.12349285380219</v>
      </c>
      <c r="R46" s="62">
        <f t="shared" si="0"/>
        <v>560.8047553494456</v>
      </c>
      <c r="S46" s="62">
        <f ca="1">AVERAGE(OFFSET($R$3,0,0,'Données projet'!$E$9+1,1))-AVERAGE(OFFSET($H$3,0,0,'Données projet'!$E$9+1,1))</f>
        <v>437.94016462147999</v>
      </c>
      <c r="T46" s="62">
        <f t="shared" si="34"/>
        <v>281.88254003380348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9.0469614151769781E-2</v>
      </c>
      <c r="AC46" s="24">
        <f t="shared" si="3"/>
        <v>9.0469614151769781E-2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141.20000000000002</v>
      </c>
      <c r="AJ46" s="14">
        <f>AI46*VLOOKUP('Données projet'!$B$10,Paramètres!$A$1:$I$89,3,0)*VLOOKUP('Données projet'!$B$10,Paramètres!$A$1:$I$89,5,0)</f>
        <v>127.75776</v>
      </c>
      <c r="AK46" s="14">
        <f t="shared" si="35"/>
        <v>33.477720030956604</v>
      </c>
      <c r="AL46" s="22">
        <f t="shared" si="4"/>
        <v>280.81846105391611</v>
      </c>
      <c r="AM46" s="62">
        <f t="shared" si="5"/>
        <v>508.49972354955946</v>
      </c>
      <c r="AN46" s="62">
        <f ca="1">AVERAGE(OFFSET($AM$3,0,0,'Données projet'!$E$10+1,1))-AVERAGE(OFFSET($H$3,0,0,'Données projet'!$E$10+1,1))</f>
        <v>434.56763649859136</v>
      </c>
      <c r="AO46" s="62">
        <f t="shared" si="36"/>
        <v>271.90302066766264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1.1368683772161603E-13</v>
      </c>
      <c r="BE46" s="14">
        <f>BD46*VLOOKUP('Données projet'!$B$11,Paramètres!$A$1:$I$89,3,0)*VLOOKUP('Données projet'!$B$11,Paramètres!$A$1:$I$89,5,0)</f>
        <v>6.7984728957526396E-14</v>
      </c>
      <c r="BF46" s="14">
        <f t="shared" si="37"/>
        <v>1.0682447123141398E-12</v>
      </c>
      <c r="BG46" s="22">
        <f t="shared" si="7"/>
        <v>1.978932943548152E-12</v>
      </c>
      <c r="BH46" s="62">
        <f t="shared" si="8"/>
        <v>227.68126249564537</v>
      </c>
      <c r="BI46" s="62">
        <f ca="1">AVERAGE(OFFSET($BH$3,0,0,'Données projet'!$E$11+1,1))-AVERAGE(OFFSET($H$3,0,0,'Données projet'!$E$11+1,1))</f>
        <v>199.65420589615553</v>
      </c>
      <c r="BJ46" s="62">
        <f t="shared" si="38"/>
        <v>477.85821088970999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41.217565170081379</v>
      </c>
      <c r="BQ46" s="23">
        <f>EXP(-LN(2)/25)*BQ45+(1-EXP(-LN(2)/25))/(LN(2)/25)*Calculateur!BL46*Calculateur!BN46*VLOOKUP('Données projet'!$B$11,Paramètres!$A$1:$I$89,3,0)*0.475*44/12</f>
        <v>30.648665485166209</v>
      </c>
      <c r="BR46" s="23">
        <f>EXP(-LN(2)/2)*BR45+(1-EXP(-LN(2)/2))/(LN(2)/2)*BL46*BO46*VLOOKUP('Données projet'!$B$11,Paramètres!$A$1:$I$89,3,0)*0.475*44/12</f>
        <v>0.48135614419465095</v>
      </c>
      <c r="BS46" s="24">
        <f t="shared" si="9"/>
        <v>72.34758679944224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9.5</v>
      </c>
      <c r="BY46" s="13">
        <f>IF('Données projet'!$A$114&gt;35,BY45+BX46-CG45,IF(A46&lt;'Données projet'!$A$114,$BV$205^A46,IF(A46='Données projet'!$A$114,'Données projet'!$B$114,BY45+BX46-CG45)))</f>
        <v>254.50000000000011</v>
      </c>
      <c r="BZ46" s="14">
        <f>BY46*VLOOKUP('Données projet'!$B$12,Paramètres!$A$1:$I$89,3,0)*VLOOKUP('Données projet'!$B$12,Paramètres!$A$1:$I$89,5,0)</f>
        <v>152.19100000000009</v>
      </c>
      <c r="CA46" s="14">
        <f t="shared" si="39"/>
        <v>39.076077236632756</v>
      </c>
      <c r="CB46" s="22">
        <f t="shared" si="10"/>
        <v>333.12349285380219</v>
      </c>
      <c r="CC46" s="62">
        <f t="shared" si="11"/>
        <v>560.8047553494456</v>
      </c>
      <c r="CD46" s="62">
        <f ca="1">AVERAGE(OFFSET($CC$3,0,0,'Données projet'!$E$12+1,1))-AVERAGE(OFFSET($H$3,0,0,'Données projet'!$E$12+1,1))</f>
        <v>437.94016462147999</v>
      </c>
      <c r="CE46" s="62">
        <f t="shared" si="40"/>
        <v>281.88254003380348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9.0469614151769781E-2</v>
      </c>
      <c r="CN46" s="24">
        <f t="shared" si="12"/>
        <v>9.0469614151769781E-2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8.4</v>
      </c>
      <c r="CT46" s="13">
        <f>IF('Données projet'!$A$140&gt;35,CT45+CS46-DB45,IF(A46&lt;'Données projet'!$A$140,$CQ$205^A46,IF(A46='Données projet'!$A$140,'Données projet'!$B$140,CT45+CS46-DB45)))</f>
        <v>141.20000000000002</v>
      </c>
      <c r="CU46" s="18">
        <f>CT46*VLOOKUP('Données projet'!$B$13,Paramètres!$A$1:$I$89,3,0)*VLOOKUP('Données projet'!$B$13,Paramètres!$A$1:$I$89,5,0)</f>
        <v>160.79856000000001</v>
      </c>
      <c r="CV46" s="14">
        <f t="shared" si="41"/>
        <v>41.022580620833125</v>
      </c>
      <c r="CW46" s="22">
        <f t="shared" si="13"/>
        <v>351.50515324795106</v>
      </c>
      <c r="CX46" s="62">
        <f t="shared" si="14"/>
        <v>579.18641574359447</v>
      </c>
      <c r="CY46" s="62">
        <f ca="1">AVERAGE(OFFSET($CX$3,0,0,'Données projet'!$E$13+1,1))-AVERAGE(OFFSET($H$3,0,0,'Données projet'!$E$13+1,1))</f>
        <v>520.23742527061836</v>
      </c>
      <c r="CZ46" s="62">
        <f t="shared" si="42"/>
        <v>321.35925479331274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11.4</v>
      </c>
      <c r="DO46" s="13">
        <f>IF('Données projet'!$A$166&gt;35,DO45+DN46-DW45,IF(A46&lt;'Données projet'!$A$166,$DL$205^A46,IF(A46='Données projet'!$A$166,'Données projet'!$B$166,DO45+DN46-DW45)))</f>
        <v>181.20000000000002</v>
      </c>
      <c r="DP46" s="18">
        <f>DO46*VLOOKUP('Données projet'!$B$14,Paramètres!$A$1:$I$89,3,0)*VLOOKUP('Données projet'!$B$14,Paramètres!$A$1:$I$89,5,0)</f>
        <v>183.73680000000002</v>
      </c>
      <c r="DQ46" s="14">
        <f t="shared" si="43"/>
        <v>46.152558509293854</v>
      </c>
      <c r="DR46" s="22">
        <f t="shared" si="16"/>
        <v>400.3906327370201</v>
      </c>
      <c r="DS46" s="62">
        <f t="shared" si="17"/>
        <v>628.07189523266345</v>
      </c>
      <c r="DT46" s="62">
        <f ca="1">AVERAGE(OFFSET($DS$3,0,0,'Données projet'!$E$14+1,1))-AVERAGE(OFFSET($H$3,0,0,'Données projet'!$E$14+1,1))</f>
        <v>547.89540791313675</v>
      </c>
      <c r="DU46" s="62">
        <f t="shared" si="44"/>
        <v>345.19555189302378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9.8000000000000007</v>
      </c>
      <c r="EJ46" s="13">
        <f>IF('Données projet'!$A$192&gt;35,EJ45+EI46-ER45,IF(A46&lt;'Données projet'!$A$192,$EG$205^A46,IF(A46='Données projet'!$A$192,'Données projet'!$B$192,EJ45+EI46-ER45)))</f>
        <v>204.4</v>
      </c>
      <c r="EK46" s="18">
        <f>EJ46*VLOOKUP('Données projet'!$B$15,Paramètres!$A$1:$I$89,3,0)*VLOOKUP('Données projet'!$B$15,Paramètres!$A$1:$I$89,5,0)</f>
        <v>213.63888000000003</v>
      </c>
      <c r="EL46" s="14">
        <f t="shared" si="45"/>
        <v>52.729975717788165</v>
      </c>
      <c r="EM46" s="22">
        <f t="shared" si="19"/>
        <v>463.92575704181439</v>
      </c>
      <c r="EN46" s="62">
        <f t="shared" si="20"/>
        <v>691.60701953745775</v>
      </c>
      <c r="EO46" s="62">
        <f ca="1">AVERAGE(OFFSET($EN$3,0,0,'Données projet'!$E$15+1,1))-AVERAGE(OFFSET($H$3,0,0,'Données projet'!$E$15+1,1))</f>
        <v>418.23737352070503</v>
      </c>
      <c r="EP46" s="62">
        <f t="shared" si="46"/>
        <v>496.10742685332968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14.1</v>
      </c>
      <c r="FE46" s="13">
        <f>IF('Données projet'!$A$218&gt;35,FE45+FD46-FM45,IF(A46&lt;'Données projet'!$A$218,$FB$205^A46,IF(A46='Données projet'!$A$218,'Données projet'!$B$218,FE45+FD46-FM45)))</f>
        <v>216.3</v>
      </c>
      <c r="FF46" s="18">
        <f>FE46*VLOOKUP('Données projet'!$B$16,Paramètres!$A$1:$I$89,3,0)*VLOOKUP('Données projet'!$B$16,Paramètres!$A$1:$I$89,5,0)</f>
        <v>129.34740000000002</v>
      </c>
      <c r="FG46" s="14">
        <f t="shared" si="47"/>
        <v>33.845518493267228</v>
      </c>
      <c r="FH46" s="22">
        <f t="shared" si="22"/>
        <v>284.22766637577377</v>
      </c>
      <c r="FI46" s="62">
        <f t="shared" si="23"/>
        <v>511.90892887141717</v>
      </c>
      <c r="FJ46" s="62">
        <f ca="1">AVERAGE(OFFSET($FI$3,0,0,'Données projet'!$E$16+1,1))-AVERAGE(OFFSET($H$3,0,0,'Données projet'!$E$16+1,1))</f>
        <v>341.70983624543067</v>
      </c>
      <c r="FK46" s="62">
        <f t="shared" si="48"/>
        <v>250.82562837973805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0.1369213491603811</v>
      </c>
      <c r="FT46" s="24">
        <f t="shared" si="24"/>
        <v>0.1369213491603811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14.090909090909092</v>
      </c>
      <c r="FZ46" s="13">
        <f>IF('Données projet'!$A$244&gt;35,FZ45+FY46-GH45,IF(A46&lt;'Données projet'!$A$244,$FW$205^A46,IF(A46='Données projet'!$A$244,'Données projet'!$B$244,FZ45+FY46-GH45)))</f>
        <v>278.27272727272725</v>
      </c>
      <c r="GA46" s="18">
        <f>FZ46*VLOOKUP('Données projet'!$B$17,Paramètres!$A$1:$I$89,3,0)*VLOOKUP('Données projet'!$B$17,Paramètres!$A$1:$I$89,5,0)</f>
        <v>130.23163636363637</v>
      </c>
      <c r="GB46" s="14">
        <f t="shared" si="49"/>
        <v>34.049878148078378</v>
      </c>
      <c r="GC46" s="22">
        <f t="shared" si="25"/>
        <v>286.12363777456983</v>
      </c>
      <c r="GD46" s="62">
        <f t="shared" si="26"/>
        <v>513.80490027021324</v>
      </c>
      <c r="GE46" s="62">
        <f ca="1">AVERAGE(OFFSET($GD$3,0,0,'Données projet'!$E$17+1,1))-AVERAGE(OFFSET($H$3,0,0,'Données projet'!$E$17+1,1))</f>
        <v>368.69628434154333</v>
      </c>
      <c r="GF46" s="62">
        <f t="shared" si="50"/>
        <v>202.28197295839524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8.6</v>
      </c>
      <c r="GU46" s="13">
        <f>IF('Données projet'!$A$270&gt;35,GU45+GT46-HC45,IF(A46&lt;'Données projet'!$A$270,$GR$205^A46,IF(A46='Données projet'!$A$270,'Données projet'!$B$270,GU45+GT46-HC45)))</f>
        <v>183.79999999999993</v>
      </c>
      <c r="GV46" s="18">
        <f>GU46*VLOOKUP('Données projet'!$B$18,Paramètres!$A$1:$I$89,3,0)*VLOOKUP('Données projet'!$B$18,Paramètres!$A$1:$I$89,5,0)</f>
        <v>160.56767999999997</v>
      </c>
      <c r="GW46" s="14">
        <f t="shared" si="51"/>
        <v>40.970530810309882</v>
      </c>
      <c r="GX46" s="22">
        <f t="shared" si="28"/>
        <v>351.01238382795628</v>
      </c>
      <c r="GY46" s="62">
        <f t="shared" si="29"/>
        <v>578.69364632359964</v>
      </c>
      <c r="GZ46" s="62">
        <f ca="1">AVERAGE(OFFSET($GY$3,0,0,'Données projet'!$E$18+1,1))-AVERAGE(OFFSET($H$3,0,0,'Données projet'!$E$18+1,1))</f>
        <v>378.51861272969165</v>
      </c>
      <c r="HA46" s="62">
        <f t="shared" si="52"/>
        <v>387.42368617035459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0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0</v>
      </c>
      <c r="HJ46" s="24">
        <f t="shared" si="30"/>
        <v>0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135.66666666666666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9.5</v>
      </c>
      <c r="N47" s="14">
        <f>IF('Données projet'!$A$36&gt;35,N46+M47-V46,IF(A47&lt;'Données projet'!$A$36,$K$205^A47,IF(A47='Données projet'!$A$36,'Données projet'!$B$36,N46+M47-V46)))</f>
        <v>264.00000000000011</v>
      </c>
      <c r="O47" s="14">
        <f>N47*VLOOKUP('Données projet'!$B$9,Paramètres!$A$1:$I$89,3,0)*VLOOKUP('Données projet'!$B$9,Paramètres!$A$1:$I$89,5,0)</f>
        <v>157.87200000000007</v>
      </c>
      <c r="P47" s="14">
        <f t="shared" si="33"/>
        <v>40.362165684361159</v>
      </c>
      <c r="Q47" s="22">
        <f t="shared" si="53"/>
        <v>345.25783856692919</v>
      </c>
      <c r="R47" s="62">
        <f t="shared" si="0"/>
        <v>574.07801771556478</v>
      </c>
      <c r="S47" s="62">
        <f ca="1">AVERAGE(OFFSET($R$3,0,0,'Données projet'!$E$9+1,1))-AVERAGE(OFFSET($H$3,0,0,'Données projet'!$E$9+1,1))</f>
        <v>437.94016462147999</v>
      </c>
      <c r="T47" s="62">
        <f t="shared" si="34"/>
        <v>281.88254003380348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6.3971677658046858E-2</v>
      </c>
      <c r="AC47" s="24">
        <f t="shared" si="3"/>
        <v>6.3971677658046858E-2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149.60000000000002</v>
      </c>
      <c r="AJ47" s="14">
        <f>AI47*VLOOKUP('Données projet'!$B$10,Paramètres!$A$1:$I$89,3,0)*VLOOKUP('Données projet'!$B$10,Paramètres!$A$1:$I$89,5,0)</f>
        <v>135.35808</v>
      </c>
      <c r="AK47" s="14">
        <f t="shared" si="35"/>
        <v>35.231528980112834</v>
      </c>
      <c r="AL47" s="22">
        <f t="shared" si="4"/>
        <v>297.11023564036316</v>
      </c>
      <c r="AM47" s="62">
        <f t="shared" si="5"/>
        <v>525.93041478899875</v>
      </c>
      <c r="AN47" s="62">
        <f ca="1">AVERAGE(OFFSET($AM$3,0,0,'Données projet'!$E$10+1,1))-AVERAGE(OFFSET($H$3,0,0,'Données projet'!$E$10+1,1))</f>
        <v>434.56763649859136</v>
      </c>
      <c r="AO47" s="62">
        <f t="shared" si="36"/>
        <v>271.90302066766264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1.1368683772161603E-13</v>
      </c>
      <c r="BE47" s="14">
        <f>BD47*VLOOKUP('Données projet'!$B$11,Paramètres!$A$1:$I$89,3,0)*VLOOKUP('Données projet'!$B$11,Paramètres!$A$1:$I$89,5,0)</f>
        <v>6.7984728957526396E-14</v>
      </c>
      <c r="BF47" s="14">
        <f t="shared" si="37"/>
        <v>1.0682447123141398E-12</v>
      </c>
      <c r="BG47" s="22">
        <f t="shared" si="7"/>
        <v>1.978932943548152E-12</v>
      </c>
      <c r="BH47" s="62">
        <f t="shared" si="8"/>
        <v>228.82017914863755</v>
      </c>
      <c r="BI47" s="62">
        <f ca="1">AVERAGE(OFFSET($BH$3,0,0,'Données projet'!$E$11+1,1))-AVERAGE(OFFSET($H$3,0,0,'Données projet'!$E$11+1,1))</f>
        <v>199.65420589615553</v>
      </c>
      <c r="BJ47" s="62">
        <f t="shared" si="38"/>
        <v>477.85821088970999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40.409313857328442</v>
      </c>
      <c r="BQ47" s="23">
        <f>EXP(-LN(2)/25)*BQ46+(1-EXP(-LN(2)/25))/(LN(2)/25)*Calculateur!BL47*Calculateur!BN47*VLOOKUP('Données projet'!$B$11,Paramètres!$A$1:$I$89,3,0)*0.475*44/12</f>
        <v>29.81057611573107</v>
      </c>
      <c r="BR47" s="23">
        <f>EXP(-LN(2)/2)*BR46+(1-EXP(-LN(2)/2))/(LN(2)/2)*BL47*BO47*VLOOKUP('Données projet'!$B$11,Paramètres!$A$1:$I$89,3,0)*0.475*44/12</f>
        <v>0.34037019372584731</v>
      </c>
      <c r="BS47" s="24">
        <f t="shared" si="9"/>
        <v>70.560260166785355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9.5</v>
      </c>
      <c r="BY47" s="13">
        <f>IF('Données projet'!$A$114&gt;35,BY46+BX47-CG46,IF(A47&lt;'Données projet'!$A$114,$BV$205^A47,IF(A47='Données projet'!$A$114,'Données projet'!$B$114,BY46+BX47-CG46)))</f>
        <v>264.00000000000011</v>
      </c>
      <c r="BZ47" s="14">
        <f>BY47*VLOOKUP('Données projet'!$B$12,Paramètres!$A$1:$I$89,3,0)*VLOOKUP('Données projet'!$B$12,Paramètres!$A$1:$I$89,5,0)</f>
        <v>157.87200000000007</v>
      </c>
      <c r="CA47" s="14">
        <f t="shared" si="39"/>
        <v>40.362165684361159</v>
      </c>
      <c r="CB47" s="22">
        <f t="shared" si="10"/>
        <v>345.25783856692919</v>
      </c>
      <c r="CC47" s="62">
        <f t="shared" si="11"/>
        <v>574.07801771556478</v>
      </c>
      <c r="CD47" s="62">
        <f ca="1">AVERAGE(OFFSET($CC$3,0,0,'Données projet'!$E$12+1,1))-AVERAGE(OFFSET($H$3,0,0,'Données projet'!$E$12+1,1))</f>
        <v>437.94016462147999</v>
      </c>
      <c r="CE47" s="62">
        <f t="shared" si="40"/>
        <v>281.88254003380348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6.3971677658046858E-2</v>
      </c>
      <c r="CN47" s="24">
        <f t="shared" si="12"/>
        <v>6.3971677658046858E-2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8.4</v>
      </c>
      <c r="CT47" s="13">
        <f>IF('Données projet'!$A$140&gt;35,CT46+CS47-DB46,IF(A47&lt;'Données projet'!$A$140,$CQ$205^A47,IF(A47='Données projet'!$A$140,'Données projet'!$B$140,CT46+CS47-DB46)))</f>
        <v>149.60000000000002</v>
      </c>
      <c r="CU47" s="18">
        <f>CT47*VLOOKUP('Données projet'!$B$13,Paramètres!$A$1:$I$89,3,0)*VLOOKUP('Données projet'!$B$13,Paramètres!$A$1:$I$89,5,0)</f>
        <v>170.36448000000001</v>
      </c>
      <c r="CV47" s="14">
        <f t="shared" si="41"/>
        <v>43.171644802736004</v>
      </c>
      <c r="CW47" s="22">
        <f t="shared" si="13"/>
        <v>371.90875069809857</v>
      </c>
      <c r="CX47" s="62">
        <f t="shared" si="14"/>
        <v>600.7289298467341</v>
      </c>
      <c r="CY47" s="62">
        <f ca="1">AVERAGE(OFFSET($CX$3,0,0,'Données projet'!$E$13+1,1))-AVERAGE(OFFSET($H$3,0,0,'Données projet'!$E$13+1,1))</f>
        <v>520.23742527061836</v>
      </c>
      <c r="CZ47" s="62">
        <f t="shared" si="42"/>
        <v>321.35925479331274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11.4</v>
      </c>
      <c r="DO47" s="13">
        <f>IF('Données projet'!$A$166&gt;35,DO46+DN47-DW46,IF(A47&lt;'Données projet'!$A$166,$DL$205^A47,IF(A47='Données projet'!$A$166,'Données projet'!$B$166,DO46+DN47-DW46)))</f>
        <v>192.60000000000002</v>
      </c>
      <c r="DP47" s="18">
        <f>DO47*VLOOKUP('Données projet'!$B$14,Paramètres!$A$1:$I$89,3,0)*VLOOKUP('Données projet'!$B$14,Paramètres!$A$1:$I$89,5,0)</f>
        <v>195.29640000000003</v>
      </c>
      <c r="DQ47" s="14">
        <f t="shared" si="43"/>
        <v>48.709031383366153</v>
      </c>
      <c r="DR47" s="22">
        <f t="shared" si="16"/>
        <v>424.97612632602949</v>
      </c>
      <c r="DS47" s="62">
        <f t="shared" si="17"/>
        <v>653.79630547466502</v>
      </c>
      <c r="DT47" s="62">
        <f ca="1">AVERAGE(OFFSET($DS$3,0,0,'Données projet'!$E$14+1,1))-AVERAGE(OFFSET($H$3,0,0,'Données projet'!$E$14+1,1))</f>
        <v>547.89540791313675</v>
      </c>
      <c r="DU47" s="62">
        <f t="shared" si="44"/>
        <v>345.19555189302378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9.8000000000000007</v>
      </c>
      <c r="EJ47" s="13">
        <f>IF('Données projet'!$A$192&gt;35,EJ46+EI47-ER46,IF(A47&lt;'Données projet'!$A$192,$EG$205^A47,IF(A47='Données projet'!$A$192,'Données projet'!$B$192,EJ46+EI47-ER46)))</f>
        <v>214.20000000000002</v>
      </c>
      <c r="EK47" s="18">
        <f>EJ47*VLOOKUP('Données projet'!$B$15,Paramètres!$A$1:$I$89,3,0)*VLOOKUP('Données projet'!$B$15,Paramètres!$A$1:$I$89,5,0)</f>
        <v>223.88184000000001</v>
      </c>
      <c r="EL47" s="14">
        <f t="shared" si="45"/>
        <v>54.95772368792867</v>
      </c>
      <c r="EM47" s="22">
        <f t="shared" si="19"/>
        <v>485.64557342314242</v>
      </c>
      <c r="EN47" s="62">
        <f t="shared" si="20"/>
        <v>714.46575257177801</v>
      </c>
      <c r="EO47" s="62">
        <f ca="1">AVERAGE(OFFSET($EN$3,0,0,'Données projet'!$E$15+1,1))-AVERAGE(OFFSET($H$3,0,0,'Données projet'!$E$15+1,1))</f>
        <v>418.23737352070503</v>
      </c>
      <c r="EP47" s="62">
        <f t="shared" si="46"/>
        <v>496.10742685332968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14.1</v>
      </c>
      <c r="FE47" s="13">
        <f>IF('Données projet'!$A$218&gt;35,FE46+FD47-FM46,IF(A47&lt;'Données projet'!$A$218,$FB$205^A47,IF(A47='Données projet'!$A$218,'Données projet'!$B$218,FE46+FD47-FM46)))</f>
        <v>230.4</v>
      </c>
      <c r="FF47" s="18">
        <f>FE47*VLOOKUP('Données projet'!$B$16,Paramètres!$A$1:$I$89,3,0)*VLOOKUP('Données projet'!$B$16,Paramètres!$A$1:$I$89,5,0)</f>
        <v>137.7792</v>
      </c>
      <c r="FG47" s="14">
        <f t="shared" si="47"/>
        <v>35.787778913287674</v>
      </c>
      <c r="FH47" s="22">
        <f t="shared" si="22"/>
        <v>302.29582160730934</v>
      </c>
      <c r="FI47" s="62">
        <f t="shared" si="23"/>
        <v>531.11600075594492</v>
      </c>
      <c r="FJ47" s="62">
        <f ca="1">AVERAGE(OFFSET($FI$3,0,0,'Données projet'!$E$16+1,1))-AVERAGE(OFFSET($H$3,0,0,'Données projet'!$E$16+1,1))</f>
        <v>341.70983624543067</v>
      </c>
      <c r="FK47" s="62">
        <f t="shared" si="48"/>
        <v>250.82562837973805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9.6818014480516468E-2</v>
      </c>
      <c r="FT47" s="24">
        <f t="shared" si="24"/>
        <v>9.6818014480516468E-2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14.090909090909092</v>
      </c>
      <c r="FZ47" s="13">
        <f>IF('Données projet'!$A$244&gt;35,FZ46+FY47-GH46,IF(A47&lt;'Données projet'!$A$244,$FW$205^A47,IF(A47='Données projet'!$A$244,'Données projet'!$B$244,FZ46+FY47-GH46)))</f>
        <v>292.36363636363632</v>
      </c>
      <c r="GA47" s="18">
        <f>FZ47*VLOOKUP('Données projet'!$B$17,Paramètres!$A$1:$I$89,3,0)*VLOOKUP('Données projet'!$B$17,Paramètres!$A$1:$I$89,5,0)</f>
        <v>136.82618181818179</v>
      </c>
      <c r="GB47" s="14">
        <f t="shared" si="49"/>
        <v>35.568960819535086</v>
      </c>
      <c r="GC47" s="22">
        <f t="shared" si="25"/>
        <v>300.25487342735687</v>
      </c>
      <c r="GD47" s="62">
        <f t="shared" si="26"/>
        <v>529.07505257599246</v>
      </c>
      <c r="GE47" s="62">
        <f ca="1">AVERAGE(OFFSET($GD$3,0,0,'Données projet'!$E$17+1,1))-AVERAGE(OFFSET($H$3,0,0,'Données projet'!$E$17+1,1))</f>
        <v>368.69628434154333</v>
      </c>
      <c r="GF47" s="62">
        <f t="shared" si="50"/>
        <v>202.28197295839524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8.6</v>
      </c>
      <c r="GU47" s="13">
        <f>IF('Données projet'!$A$270&gt;35,GU46+GT47-HC46,IF(A47&lt;'Données projet'!$A$270,$GR$205^A47,IF(A47='Données projet'!$A$270,'Données projet'!$B$270,GU46+GT47-HC46)))</f>
        <v>192.39999999999992</v>
      </c>
      <c r="GV47" s="18">
        <f>GU47*VLOOKUP('Données projet'!$B$18,Paramètres!$A$1:$I$89,3,0)*VLOOKUP('Données projet'!$B$18,Paramètres!$A$1:$I$89,5,0)</f>
        <v>168.08063999999996</v>
      </c>
      <c r="GW47" s="14">
        <f t="shared" si="51"/>
        <v>42.659867131343425</v>
      </c>
      <c r="GX47" s="22">
        <f t="shared" si="28"/>
        <v>367.03971658708974</v>
      </c>
      <c r="GY47" s="62">
        <f t="shared" si="29"/>
        <v>595.85989573572533</v>
      </c>
      <c r="GZ47" s="62">
        <f ca="1">AVERAGE(OFFSET($GY$3,0,0,'Données projet'!$E$18+1,1))-AVERAGE(OFFSET($H$3,0,0,'Données projet'!$E$18+1,1))</f>
        <v>378.51861272969165</v>
      </c>
      <c r="HA47" s="62">
        <f t="shared" si="52"/>
        <v>387.42368617035459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0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0</v>
      </c>
      <c r="HJ47" s="24">
        <f t="shared" si="30"/>
        <v>0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135.66666666666666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9.5</v>
      </c>
      <c r="N48" s="14">
        <f>IF('Données projet'!$A$36&gt;35,N47+M48-V47,IF(A48&lt;'Données projet'!$A$36,$K$205^A48,IF(A48='Données projet'!$A$36,'Données projet'!$B$36,N47+M48-V47)))</f>
        <v>273.50000000000011</v>
      </c>
      <c r="O48" s="14">
        <f>N48*VLOOKUP('Données projet'!$B$9,Paramètres!$A$1:$I$89,3,0)*VLOOKUP('Données projet'!$B$9,Paramètres!$A$1:$I$89,5,0)</f>
        <v>163.55300000000008</v>
      </c>
      <c r="P48" s="14">
        <f t="shared" si="33"/>
        <v>41.642877215727864</v>
      </c>
      <c r="Q48" s="22">
        <f t="shared" si="53"/>
        <v>357.38281948405944</v>
      </c>
      <c r="R48" s="62">
        <f t="shared" si="0"/>
        <v>587.32215762799399</v>
      </c>
      <c r="S48" s="62">
        <f ca="1">AVERAGE(OFFSET($R$3,0,0,'Données projet'!$E$9+1,1))-AVERAGE(OFFSET($H$3,0,0,'Données projet'!$E$9+1,1))</f>
        <v>437.94016462147999</v>
      </c>
      <c r="T48" s="62">
        <f t="shared" si="34"/>
        <v>281.88254003380348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4.5234807075884891E-2</v>
      </c>
      <c r="AC48" s="24">
        <f t="shared" si="3"/>
        <v>4.5234807075884891E-2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158.00000000000003</v>
      </c>
      <c r="AJ48" s="14">
        <f>AI48*VLOOKUP('Données projet'!$B$10,Paramètres!$A$1:$I$89,3,0)*VLOOKUP('Données projet'!$B$10,Paramètres!$A$1:$I$89,5,0)</f>
        <v>142.95840000000004</v>
      </c>
      <c r="AK48" s="14">
        <f t="shared" si="35"/>
        <v>36.973906370811264</v>
      </c>
      <c r="AL48" s="22">
        <f t="shared" si="4"/>
        <v>313.38210026249641</v>
      </c>
      <c r="AM48" s="62">
        <f t="shared" si="5"/>
        <v>543.32143840643096</v>
      </c>
      <c r="AN48" s="62">
        <f ca="1">AVERAGE(OFFSET($AM$3,0,0,'Données projet'!$E$10+1,1))-AVERAGE(OFFSET($H$3,0,0,'Données projet'!$E$10+1,1))</f>
        <v>434.56763649859136</v>
      </c>
      <c r="AO48" s="62">
        <f t="shared" si="36"/>
        <v>271.90302066766264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1.1368683772161603E-13</v>
      </c>
      <c r="BE48" s="14">
        <f>BD48*VLOOKUP('Données projet'!$B$11,Paramètres!$A$1:$I$89,3,0)*VLOOKUP('Données projet'!$B$11,Paramètres!$A$1:$I$89,5,0)</f>
        <v>6.7984728957526396E-14</v>
      </c>
      <c r="BF48" s="14">
        <f t="shared" si="37"/>
        <v>1.0682447123141398E-12</v>
      </c>
      <c r="BG48" s="22">
        <f t="shared" si="7"/>
        <v>1.978932943548152E-12</v>
      </c>
      <c r="BH48" s="62">
        <f t="shared" si="8"/>
        <v>229.93933814393651</v>
      </c>
      <c r="BI48" s="62">
        <f ca="1">AVERAGE(OFFSET($BH$3,0,0,'Données projet'!$E$11+1,1))-AVERAGE(OFFSET($H$3,0,0,'Données projet'!$E$11+1,1))</f>
        <v>199.65420589615553</v>
      </c>
      <c r="BJ48" s="62">
        <f t="shared" si="38"/>
        <v>477.85821088970999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39.616911859833969</v>
      </c>
      <c r="BQ48" s="23">
        <f>EXP(-LN(2)/25)*BQ47+(1-EXP(-LN(2)/25))/(LN(2)/25)*Calculateur!BL48*Calculateur!BN48*VLOOKUP('Données projet'!$B$11,Paramètres!$A$1:$I$89,3,0)*0.475*44/12</f>
        <v>28.99540434417634</v>
      </c>
      <c r="BR48" s="23">
        <f>EXP(-LN(2)/2)*BR47+(1-EXP(-LN(2)/2))/(LN(2)/2)*BL48*BO48*VLOOKUP('Données projet'!$B$11,Paramètres!$A$1:$I$89,3,0)*0.475*44/12</f>
        <v>0.24067807209732553</v>
      </c>
      <c r="BS48" s="24">
        <f t="shared" si="9"/>
        <v>68.852994276107637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9.5</v>
      </c>
      <c r="BY48" s="13">
        <f>IF('Données projet'!$A$114&gt;35,BY47+BX48-CG47,IF(A48&lt;'Données projet'!$A$114,$BV$205^A48,IF(A48='Données projet'!$A$114,'Données projet'!$B$114,BY47+BX48-CG47)))</f>
        <v>273.50000000000011</v>
      </c>
      <c r="BZ48" s="14">
        <f>BY48*VLOOKUP('Données projet'!$B$12,Paramètres!$A$1:$I$89,3,0)*VLOOKUP('Données projet'!$B$12,Paramètres!$A$1:$I$89,5,0)</f>
        <v>163.55300000000008</v>
      </c>
      <c r="CA48" s="14">
        <f t="shared" si="39"/>
        <v>41.642877215727864</v>
      </c>
      <c r="CB48" s="22">
        <f t="shared" si="10"/>
        <v>357.38281948405944</v>
      </c>
      <c r="CC48" s="62">
        <f t="shared" si="11"/>
        <v>587.32215762799399</v>
      </c>
      <c r="CD48" s="62">
        <f ca="1">AVERAGE(OFFSET($CC$3,0,0,'Données projet'!$E$12+1,1))-AVERAGE(OFFSET($H$3,0,0,'Données projet'!$E$12+1,1))</f>
        <v>437.94016462147999</v>
      </c>
      <c r="CE48" s="62">
        <f t="shared" si="40"/>
        <v>281.88254003380348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4.5234807075884891E-2</v>
      </c>
      <c r="CN48" s="24">
        <f t="shared" si="12"/>
        <v>4.5234807075884891E-2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158</v>
      </c>
      <c r="CR48" s="13">
        <f>VLOOKUP(A48,'Données projet'!$A$139:$I$159,9,0)</f>
        <v>8.4</v>
      </c>
      <c r="CS48" s="13">
        <f t="array" ref="CS48">INDEX(CR:CR,MIN(IF(ISNUMBER(CR48:CR244),ROW(CR48:CR244),"")))</f>
        <v>8.4</v>
      </c>
      <c r="CT48" s="13">
        <f>IF('Données projet'!$A$140&gt;35,CT47+CS48-DB47,IF(A48&lt;'Données projet'!$A$140,$CQ$205^A48,IF(A48='Données projet'!$A$140,'Données projet'!$B$140,CT47+CS48-DB47)))</f>
        <v>158.00000000000003</v>
      </c>
      <c r="CU48" s="18">
        <f>CT48*VLOOKUP('Données projet'!$B$13,Paramètres!$A$1:$I$89,3,0)*VLOOKUP('Données projet'!$B$13,Paramètres!$A$1:$I$89,5,0)</f>
        <v>179.93040000000002</v>
      </c>
      <c r="CV48" s="14">
        <f t="shared" si="41"/>
        <v>45.306701100349692</v>
      </c>
      <c r="CW48" s="22">
        <f t="shared" si="13"/>
        <v>392.28795108310914</v>
      </c>
      <c r="CX48" s="62">
        <f t="shared" si="14"/>
        <v>622.22728922704368</v>
      </c>
      <c r="CY48" s="62">
        <f ca="1">AVERAGE(OFFSET($CX$3,0,0,'Données projet'!$E$13+1,1))-AVERAGE(OFFSET($H$3,0,0,'Données projet'!$E$13+1,1))</f>
        <v>520.23742527061836</v>
      </c>
      <c r="CZ48" s="62">
        <f t="shared" si="42"/>
        <v>321.35925479331274</v>
      </c>
      <c r="DA48" s="16">
        <f>IF(ISNA(VLOOKUP(A48,'Données projet'!$A$139:$I$159,3,0)),0,VLOOKUP(A48,'Données projet'!$A$139:$I$159,3,0))</f>
        <v>5</v>
      </c>
      <c r="DB48" s="16">
        <f>IF(ISNA(VLOOKUP(A48,'Données projet'!$A$139:$I$159,4,0)),0,VLOOKUP(A48,'Données projet'!$A$139:$I$159,4,0))</f>
        <v>21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204</v>
      </c>
      <c r="DM48" s="13">
        <f>VLOOKUP(A48,'Données projet'!$A$165:$I$185,9,0)</f>
        <v>11.4</v>
      </c>
      <c r="DN48" s="13">
        <f t="array" ref="DN48">INDEX(DM:DM,MIN(IF(ISNUMBER(DM48:DM244),ROW(DM48:DM244),"")))</f>
        <v>11.4</v>
      </c>
      <c r="DO48" s="13">
        <f>IF('Données projet'!$A$166&gt;35,DO47+DN48-DW47,IF(A48&lt;'Données projet'!$A$166,$DL$205^A48,IF(A48='Données projet'!$A$166,'Données projet'!$B$166,DO47+DN48-DW47)))</f>
        <v>204.00000000000003</v>
      </c>
      <c r="DP48" s="18">
        <f>DO48*VLOOKUP('Données projet'!$B$14,Paramètres!$A$1:$I$89,3,0)*VLOOKUP('Données projet'!$B$14,Paramètres!$A$1:$I$89,5,0)</f>
        <v>206.85600000000005</v>
      </c>
      <c r="DQ48" s="14">
        <f t="shared" si="43"/>
        <v>51.247940588293027</v>
      </c>
      <c r="DR48" s="22">
        <f t="shared" si="16"/>
        <v>449.53102985794379</v>
      </c>
      <c r="DS48" s="62">
        <f t="shared" si="17"/>
        <v>679.47036800187834</v>
      </c>
      <c r="DT48" s="62">
        <f ca="1">AVERAGE(OFFSET($DS$3,0,0,'Données projet'!$E$14+1,1))-AVERAGE(OFFSET($H$3,0,0,'Données projet'!$E$14+1,1))</f>
        <v>547.89540791313675</v>
      </c>
      <c r="DU48" s="62">
        <f t="shared" si="44"/>
        <v>345.19555189302378</v>
      </c>
      <c r="DV48" s="16">
        <f>IF(ISNA(VLOOKUP(A48,'Données projet'!$A$165:$I$185,3,0)),0,VLOOKUP(A48,'Données projet'!$A$165:$I$185,3,0))</f>
        <v>6</v>
      </c>
      <c r="DW48" s="16">
        <f>IF(ISNA(VLOOKUP(A48,'Données projet'!$A$165:$I$185,4,0)),0,VLOOKUP(A48,'Données projet'!$A$165:$I$185,4,0))</f>
        <v>28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224</v>
      </c>
      <c r="EH48" s="13">
        <f>VLOOKUP(A48,'Données projet'!$A$191:$I$211,9,0)</f>
        <v>9.8000000000000007</v>
      </c>
      <c r="EI48" s="13">
        <f t="array" ref="EI48">INDEX(EH:EH,MIN(IF(ISNUMBER(EH48:EH244),ROW(EH48:EH244),"")))</f>
        <v>9.8000000000000007</v>
      </c>
      <c r="EJ48" s="13">
        <f>IF('Données projet'!$A$192&gt;35,EJ47+EI48-ER47,IF(A48&lt;'Données projet'!$A$192,$EG$205^A48,IF(A48='Données projet'!$A$192,'Données projet'!$B$192,EJ47+EI48-ER47)))</f>
        <v>224.00000000000003</v>
      </c>
      <c r="EK48" s="18">
        <f>EJ48*VLOOKUP('Données projet'!$B$15,Paramètres!$A$1:$I$89,3,0)*VLOOKUP('Données projet'!$B$15,Paramètres!$A$1:$I$89,5,0)</f>
        <v>234.12480000000008</v>
      </c>
      <c r="EL48" s="14">
        <f t="shared" si="45"/>
        <v>57.173634982132555</v>
      </c>
      <c r="EM48" s="22">
        <f t="shared" si="19"/>
        <v>507.34477426054764</v>
      </c>
      <c r="EN48" s="62">
        <f t="shared" si="20"/>
        <v>737.28411240448213</v>
      </c>
      <c r="EO48" s="62">
        <f ca="1">AVERAGE(OFFSET($EN$3,0,0,'Données projet'!$E$15+1,1))-AVERAGE(OFFSET($H$3,0,0,'Données projet'!$E$15+1,1))</f>
        <v>418.23737352070503</v>
      </c>
      <c r="EP48" s="62">
        <f t="shared" si="46"/>
        <v>496.10742685332968</v>
      </c>
      <c r="EQ48" s="16">
        <f>IF(ISNA(VLOOKUP(A48,'Données projet'!$A$191:$I$211,3,0)),0,VLOOKUP(A48,'Données projet'!$A$191:$I$211,3,0))</f>
        <v>7</v>
      </c>
      <c r="ER48" s="16">
        <f>IF(ISNA(VLOOKUP(A48,'Données projet'!$A$191:$I$211,4,0)),0,VLOOKUP(A48,'Données projet'!$A$191:$I$211,4,0))</f>
        <v>36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14.1</v>
      </c>
      <c r="FE48" s="13">
        <f>IF('Données projet'!$A$218&gt;35,FE47+FD48-FM47,IF(A48&lt;'Données projet'!$A$218,$FB$205^A48,IF(A48='Données projet'!$A$218,'Données projet'!$B$218,FE47+FD48-FM47)))</f>
        <v>244.5</v>
      </c>
      <c r="FF48" s="18">
        <f>FE48*VLOOKUP('Données projet'!$B$16,Paramètres!$A$1:$I$89,3,0)*VLOOKUP('Données projet'!$B$16,Paramètres!$A$1:$I$89,5,0)</f>
        <v>146.21100000000001</v>
      </c>
      <c r="FG48" s="14">
        <f t="shared" si="47"/>
        <v>37.71624383608448</v>
      </c>
      <c r="FH48" s="22">
        <f t="shared" si="22"/>
        <v>320.33994968118049</v>
      </c>
      <c r="FI48" s="62">
        <f t="shared" si="23"/>
        <v>550.27928782511503</v>
      </c>
      <c r="FJ48" s="62">
        <f ca="1">AVERAGE(OFFSET($FI$3,0,0,'Données projet'!$E$16+1,1))-AVERAGE(OFFSET($H$3,0,0,'Données projet'!$E$16+1,1))</f>
        <v>341.70983624543067</v>
      </c>
      <c r="FK48" s="62">
        <f t="shared" si="48"/>
        <v>250.82562837973805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6.8460674580190548E-2</v>
      </c>
      <c r="FT48" s="24">
        <f t="shared" si="24"/>
        <v>6.8460674580190548E-2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14.090909090909092</v>
      </c>
      <c r="FZ48" s="13">
        <f>IF('Données projet'!$A$244&gt;35,FZ47+FY48-GH47,IF(A48&lt;'Données projet'!$A$244,$FW$205^A48,IF(A48='Données projet'!$A$244,'Données projet'!$B$244,FZ47+FY48-GH47)))</f>
        <v>306.45454545454538</v>
      </c>
      <c r="GA48" s="18">
        <f>FZ48*VLOOKUP('Données projet'!$B$17,Paramètres!$A$1:$I$89,3,0)*VLOOKUP('Données projet'!$B$17,Paramètres!$A$1:$I$89,5,0)</f>
        <v>143.42072727272725</v>
      </c>
      <c r="GB48" s="14">
        <f t="shared" si="49"/>
        <v>37.079541708965657</v>
      </c>
      <c r="GC48" s="22">
        <f t="shared" si="25"/>
        <v>314.37130180978181</v>
      </c>
      <c r="GD48" s="62">
        <f t="shared" si="26"/>
        <v>544.3106399537163</v>
      </c>
      <c r="GE48" s="62">
        <f ca="1">AVERAGE(OFFSET($GD$3,0,0,'Données projet'!$E$17+1,1))-AVERAGE(OFFSET($H$3,0,0,'Données projet'!$E$17+1,1))</f>
        <v>368.69628434154333</v>
      </c>
      <c r="GF48" s="62">
        <f t="shared" si="50"/>
        <v>202.28197295839524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>
        <f>VLOOKUP(A48,'Données projet'!$A$269:$I$289,2,0)</f>
        <v>201</v>
      </c>
      <c r="GS48" s="13">
        <f>VLOOKUP(A48,'Données projet'!$A$269:$I$289,9,0)</f>
        <v>8.6</v>
      </c>
      <c r="GT48" s="13">
        <f t="array" ref="GT48">INDEX(GS:GS,MIN(IF(ISNUMBER(GS48:GS244),ROW(GS48:GS244),"")))</f>
        <v>8.6</v>
      </c>
      <c r="GU48" s="13">
        <f>IF('Données projet'!$A$270&gt;35,GU47+GT48-HC47,IF(A48&lt;'Données projet'!$A$270,$GR$205^A48,IF(A48='Données projet'!$A$270,'Données projet'!$B$270,GU47+GT48-HC47)))</f>
        <v>200.99999999999991</v>
      </c>
      <c r="GV48" s="18">
        <f>GU48*VLOOKUP('Données projet'!$B$18,Paramètres!$A$1:$I$89,3,0)*VLOOKUP('Données projet'!$B$18,Paramètres!$A$1:$I$89,5,0)</f>
        <v>175.59359999999995</v>
      </c>
      <c r="GW48" s="14">
        <f t="shared" si="51"/>
        <v>44.340433728638573</v>
      </c>
      <c r="GX48" s="22">
        <f t="shared" si="28"/>
        <v>383.05177541071203</v>
      </c>
      <c r="GY48" s="62">
        <f t="shared" si="29"/>
        <v>612.99111355464652</v>
      </c>
      <c r="GZ48" s="62">
        <f ca="1">AVERAGE(OFFSET($GY$3,0,0,'Données projet'!$E$18+1,1))-AVERAGE(OFFSET($H$3,0,0,'Données projet'!$E$18+1,1))</f>
        <v>378.51861272969165</v>
      </c>
      <c r="HA48" s="62">
        <f t="shared" si="52"/>
        <v>387.42368617035459</v>
      </c>
      <c r="HB48" s="16">
        <f>IF(ISNA(VLOOKUP(A48,'Données projet'!$A$269:$I$289,3,0)),0,VLOOKUP(A48,'Données projet'!$A$269:$I$289,3,0))</f>
        <v>6</v>
      </c>
      <c r="HC48" s="16">
        <f>IF(ISNA(VLOOKUP(A48,'Données projet'!$A$269:$I$289,4,0)),0,VLOOKUP(A48,'Données projet'!$A$269:$I$289,4,0))</f>
        <v>31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0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0</v>
      </c>
      <c r="HJ48" s="24">
        <f t="shared" si="30"/>
        <v>0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135.66666666666666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9.5</v>
      </c>
      <c r="N49" s="14">
        <f>IF('Données projet'!$A$36&gt;35,N48+M49-V48,IF(A49&lt;'Données projet'!$A$36,$K$205^A49,IF(A49='Données projet'!$A$36,'Données projet'!$B$36,N48+M49-V48)))</f>
        <v>283.00000000000011</v>
      </c>
      <c r="O49" s="14">
        <f>N49*VLOOKUP('Données projet'!$B$9,Paramètres!$A$1:$I$89,3,0)*VLOOKUP('Données projet'!$B$9,Paramètres!$A$1:$I$89,5,0)</f>
        <v>169.23400000000009</v>
      </c>
      <c r="P49" s="14">
        <f t="shared" si="33"/>
        <v>42.918420001269396</v>
      </c>
      <c r="Q49" s="22">
        <f t="shared" si="53"/>
        <v>369.49879816887761</v>
      </c>
      <c r="R49" s="62">
        <f t="shared" si="0"/>
        <v>600.53788040160725</v>
      </c>
      <c r="S49" s="62">
        <f ca="1">AVERAGE(OFFSET($R$3,0,0,'Données projet'!$E$9+1,1))-AVERAGE(OFFSET($H$3,0,0,'Données projet'!$E$9+1,1))</f>
        <v>437.94016462147999</v>
      </c>
      <c r="T49" s="62">
        <f t="shared" si="34"/>
        <v>281.88254003380348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3.1985838829023429E-2</v>
      </c>
      <c r="AC49" s="24">
        <f t="shared" si="3"/>
        <v>3.1985838829023429E-2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8.4</v>
      </c>
      <c r="AI49" s="14">
        <f>IF('Données projet'!$A$62&gt;35,AI48+AH49-AQ48,IF(A49&lt;'Données projet'!$A$62,$AF$205^A49,IF(A49='Données projet'!$A$62,'Données projet'!$B$62,AI48+AH49-AQ48)))</f>
        <v>145.40000000000003</v>
      </c>
      <c r="AJ49" s="14">
        <f>AI49*VLOOKUP('Données projet'!$B$10,Paramètres!$A$1:$I$89,3,0)*VLOOKUP('Données projet'!$B$10,Paramètres!$A$1:$I$89,5,0)</f>
        <v>131.55792000000002</v>
      </c>
      <c r="AK49" s="14">
        <f t="shared" si="35"/>
        <v>34.3560989338864</v>
      </c>
      <c r="AL49" s="22">
        <f t="shared" si="4"/>
        <v>288.96691630985219</v>
      </c>
      <c r="AM49" s="62">
        <f t="shared" si="5"/>
        <v>520.00599854258189</v>
      </c>
      <c r="AN49" s="62">
        <f ca="1">AVERAGE(OFFSET($AM$3,0,0,'Données projet'!$E$10+1,1))-AVERAGE(OFFSET($H$3,0,0,'Données projet'!$E$10+1,1))</f>
        <v>434.56763649859136</v>
      </c>
      <c r="AO49" s="62">
        <f t="shared" si="36"/>
        <v>271.90302066766264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1.1368683772161603E-13</v>
      </c>
      <c r="BE49" s="14">
        <f>BD49*VLOOKUP('Données projet'!$B$11,Paramètres!$A$1:$I$89,3,0)*VLOOKUP('Données projet'!$B$11,Paramètres!$A$1:$I$89,5,0)</f>
        <v>6.7984728957526396E-14</v>
      </c>
      <c r="BF49" s="14">
        <f t="shared" si="37"/>
        <v>1.0682447123141398E-12</v>
      </c>
      <c r="BG49" s="22">
        <f t="shared" si="7"/>
        <v>1.978932943548152E-12</v>
      </c>
      <c r="BH49" s="62">
        <f t="shared" si="8"/>
        <v>231.03908223273169</v>
      </c>
      <c r="BI49" s="62">
        <f ca="1">AVERAGE(OFFSET($BH$3,0,0,'Données projet'!$E$11+1,1))-AVERAGE(OFFSET($H$3,0,0,'Données projet'!$E$11+1,1))</f>
        <v>199.65420589615553</v>
      </c>
      <c r="BJ49" s="62">
        <f t="shared" si="38"/>
        <v>477.85821088970999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38.840048382192869</v>
      </c>
      <c r="BQ49" s="23">
        <f>EXP(-LN(2)/25)*BQ48+(1-EXP(-LN(2)/25))/(LN(2)/25)*Calculateur!BL49*Calculateur!BN49*VLOOKUP('Données projet'!$B$11,Paramètres!$A$1:$I$89,3,0)*0.475*44/12</f>
        <v>28.202523487582791</v>
      </c>
      <c r="BR49" s="23">
        <f>EXP(-LN(2)/2)*BR48+(1-EXP(-LN(2)/2))/(LN(2)/2)*BL49*BO49*VLOOKUP('Données projet'!$B$11,Paramètres!$A$1:$I$89,3,0)*0.475*44/12</f>
        <v>0.17018509686292368</v>
      </c>
      <c r="BS49" s="24">
        <f t="shared" si="9"/>
        <v>67.21275696663858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9.5</v>
      </c>
      <c r="BY49" s="13">
        <f>IF('Données projet'!$A$114&gt;35,BY48+BX49-CG48,IF(A49&lt;'Données projet'!$A$114,$BV$205^A49,IF(A49='Données projet'!$A$114,'Données projet'!$B$114,BY48+BX49-CG48)))</f>
        <v>283.00000000000011</v>
      </c>
      <c r="BZ49" s="14">
        <f>BY49*VLOOKUP('Données projet'!$B$12,Paramètres!$A$1:$I$89,3,0)*VLOOKUP('Données projet'!$B$12,Paramètres!$A$1:$I$89,5,0)</f>
        <v>169.23400000000009</v>
      </c>
      <c r="CA49" s="14">
        <f t="shared" si="39"/>
        <v>42.918420001269396</v>
      </c>
      <c r="CB49" s="22">
        <f t="shared" si="10"/>
        <v>369.49879816887761</v>
      </c>
      <c r="CC49" s="62">
        <f t="shared" si="11"/>
        <v>600.53788040160725</v>
      </c>
      <c r="CD49" s="62">
        <f ca="1">AVERAGE(OFFSET($CC$3,0,0,'Données projet'!$E$12+1,1))-AVERAGE(OFFSET($H$3,0,0,'Données projet'!$E$12+1,1))</f>
        <v>437.94016462147999</v>
      </c>
      <c r="CE49" s="62">
        <f t="shared" si="40"/>
        <v>281.88254003380348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3.1985838829023429E-2</v>
      </c>
      <c r="CN49" s="24">
        <f t="shared" si="12"/>
        <v>3.1985838829023429E-2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8.4</v>
      </c>
      <c r="CT49" s="13">
        <f>IF('Données projet'!$A$140&gt;35,CT48+CS49-DB48,IF(A49&lt;'Données projet'!$A$140,$CQ$205^A49,IF(A49='Données projet'!$A$140,'Données projet'!$B$140,CT48+CS49-DB48)))</f>
        <v>145.40000000000003</v>
      </c>
      <c r="CU49" s="18">
        <f>CT49*VLOOKUP('Données projet'!$B$13,Paramètres!$A$1:$I$89,3,0)*VLOOKUP('Données projet'!$B$13,Paramètres!$A$1:$I$89,5,0)</f>
        <v>165.58152000000004</v>
      </c>
      <c r="CV49" s="14">
        <f t="shared" si="41"/>
        <v>42.098919431473696</v>
      </c>
      <c r="CW49" s="22">
        <f t="shared" si="13"/>
        <v>361.71009867648337</v>
      </c>
      <c r="CX49" s="62">
        <f t="shared" si="14"/>
        <v>592.74918090921301</v>
      </c>
      <c r="CY49" s="62">
        <f ca="1">AVERAGE(OFFSET($CX$3,0,0,'Données projet'!$E$13+1,1))-AVERAGE(OFFSET($H$3,0,0,'Données projet'!$E$13+1,1))</f>
        <v>520.23742527061836</v>
      </c>
      <c r="CZ49" s="62">
        <f t="shared" si="42"/>
        <v>321.35925479331274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11</v>
      </c>
      <c r="DO49" s="13">
        <f>IF('Données projet'!$A$166&gt;35,DO48+DN49-DW48,IF(A49&lt;'Données projet'!$A$166,$DL$205^A49,IF(A49='Données projet'!$A$166,'Données projet'!$B$166,DO48+DN49-DW48)))</f>
        <v>187.00000000000003</v>
      </c>
      <c r="DP49" s="18">
        <f>DO49*VLOOKUP('Données projet'!$B$14,Paramètres!$A$1:$I$89,3,0)*VLOOKUP('Données projet'!$B$14,Paramètres!$A$1:$I$89,5,0)</f>
        <v>189.61800000000005</v>
      </c>
      <c r="DQ49" s="14">
        <f t="shared" si="43"/>
        <v>47.4554881852685</v>
      </c>
      <c r="DR49" s="22">
        <f t="shared" si="16"/>
        <v>412.90299192267599</v>
      </c>
      <c r="DS49" s="62">
        <f t="shared" si="17"/>
        <v>643.94207415540563</v>
      </c>
      <c r="DT49" s="62">
        <f ca="1">AVERAGE(OFFSET($DS$3,0,0,'Données projet'!$E$14+1,1))-AVERAGE(OFFSET($H$3,0,0,'Données projet'!$E$14+1,1))</f>
        <v>547.89540791313675</v>
      </c>
      <c r="DU49" s="62">
        <f t="shared" si="44"/>
        <v>345.19555189302378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8.6</v>
      </c>
      <c r="EJ49" s="13">
        <f>IF('Données projet'!$A$192&gt;35,EJ48+EI49-ER48,IF(A49&lt;'Données projet'!$A$192,$EG$205^A49,IF(A49='Données projet'!$A$192,'Données projet'!$B$192,EJ48+EI49-ER48)))</f>
        <v>196.60000000000002</v>
      </c>
      <c r="EK49" s="18">
        <f>EJ49*VLOOKUP('Données projet'!$B$15,Paramètres!$A$1:$I$89,3,0)*VLOOKUP('Données projet'!$B$15,Paramètres!$A$1:$I$89,5,0)</f>
        <v>205.48632000000006</v>
      </c>
      <c r="EL49" s="14">
        <f t="shared" si="45"/>
        <v>50.947989210699681</v>
      </c>
      <c r="EM49" s="22">
        <f t="shared" si="19"/>
        <v>446.62308854196868</v>
      </c>
      <c r="EN49" s="62">
        <f t="shared" si="20"/>
        <v>677.66217077469832</v>
      </c>
      <c r="EO49" s="62">
        <f ca="1">AVERAGE(OFFSET($EN$3,0,0,'Données projet'!$E$15+1,1))-AVERAGE(OFFSET($H$3,0,0,'Données projet'!$E$15+1,1))</f>
        <v>418.23737352070503</v>
      </c>
      <c r="EP49" s="62">
        <f t="shared" si="46"/>
        <v>496.10742685332968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14.1</v>
      </c>
      <c r="FE49" s="13">
        <f>IF('Données projet'!$A$218&gt;35,FE48+FD49-FM48,IF(A49&lt;'Données projet'!$A$218,$FB$205^A49,IF(A49='Données projet'!$A$218,'Données projet'!$B$218,FE48+FD49-FM48)))</f>
        <v>258.60000000000002</v>
      </c>
      <c r="FF49" s="18">
        <f>FE49*VLOOKUP('Données projet'!$B$16,Paramètres!$A$1:$I$89,3,0)*VLOOKUP('Données projet'!$B$16,Paramètres!$A$1:$I$89,5,0)</f>
        <v>154.64280000000002</v>
      </c>
      <c r="FG49" s="14">
        <f t="shared" si="47"/>
        <v>39.631799470164985</v>
      </c>
      <c r="FH49" s="22">
        <f t="shared" si="22"/>
        <v>338.36159407720407</v>
      </c>
      <c r="FI49" s="62">
        <f t="shared" si="23"/>
        <v>569.40067630993371</v>
      </c>
      <c r="FJ49" s="62">
        <f ca="1">AVERAGE(OFFSET($FI$3,0,0,'Données projet'!$E$16+1,1))-AVERAGE(OFFSET($H$3,0,0,'Données projet'!$E$16+1,1))</f>
        <v>341.70983624543067</v>
      </c>
      <c r="FK49" s="62">
        <f t="shared" si="48"/>
        <v>250.82562837973805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4.8409007240258234E-2</v>
      </c>
      <c r="FT49" s="24">
        <f t="shared" si="24"/>
        <v>4.8409007240258234E-2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14.090909090909092</v>
      </c>
      <c r="FZ49" s="13">
        <f>IF('Données projet'!$A$244&gt;35,FZ48+FY49-GH48,IF(A49&lt;'Données projet'!$A$244,$FW$205^A49,IF(A49='Données projet'!$A$244,'Données projet'!$B$244,FZ48+FY49-GH48)))</f>
        <v>320.54545454545445</v>
      </c>
      <c r="GA49" s="18">
        <f>FZ49*VLOOKUP('Données projet'!$B$17,Paramètres!$A$1:$I$89,3,0)*VLOOKUP('Données projet'!$B$17,Paramètres!$A$1:$I$89,5,0)</f>
        <v>150.0152727272727</v>
      </c>
      <c r="GB49" s="14">
        <f t="shared" si="49"/>
        <v>38.582056382364094</v>
      </c>
      <c r="GC49" s="22">
        <f t="shared" si="25"/>
        <v>328.47368153261738</v>
      </c>
      <c r="GD49" s="62">
        <f t="shared" si="26"/>
        <v>559.51276376534702</v>
      </c>
      <c r="GE49" s="62">
        <f ca="1">AVERAGE(OFFSET($GD$3,0,0,'Données projet'!$E$17+1,1))-AVERAGE(OFFSET($H$3,0,0,'Données projet'!$E$17+1,1))</f>
        <v>368.69628434154333</v>
      </c>
      <c r="GF49" s="62">
        <f t="shared" si="50"/>
        <v>202.28197295839524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7.8</v>
      </c>
      <c r="GU49" s="13">
        <f>IF('Données projet'!$A$270&gt;35,GU48+GT49-HC48,IF(A49&lt;'Données projet'!$A$270,$GR$205^A49,IF(A49='Données projet'!$A$270,'Données projet'!$B$270,GU48+GT49-HC48)))</f>
        <v>177.79999999999993</v>
      </c>
      <c r="GV49" s="18">
        <f>GU49*VLOOKUP('Données projet'!$B$18,Paramètres!$A$1:$I$89,3,0)*VLOOKUP('Données projet'!$B$18,Paramètres!$A$1:$I$89,5,0)</f>
        <v>155.32607999999996</v>
      </c>
      <c r="GW49" s="14">
        <f t="shared" si="51"/>
        <v>39.786487601092411</v>
      </c>
      <c r="GX49" s="22">
        <f t="shared" si="28"/>
        <v>339.82105523856922</v>
      </c>
      <c r="GY49" s="62">
        <f t="shared" si="29"/>
        <v>570.86013747129891</v>
      </c>
      <c r="GZ49" s="62">
        <f ca="1">AVERAGE(OFFSET($GY$3,0,0,'Données projet'!$E$18+1,1))-AVERAGE(OFFSET($H$3,0,0,'Données projet'!$E$18+1,1))</f>
        <v>378.51861272969165</v>
      </c>
      <c r="HA49" s="62">
        <f t="shared" si="52"/>
        <v>387.42368617035459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0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0</v>
      </c>
      <c r="HJ49" s="24">
        <f t="shared" si="30"/>
        <v>0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135.66666666666666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9.5</v>
      </c>
      <c r="N50" s="14">
        <f>IF('Données projet'!$A$36&gt;35,N49+M50-V49,IF(A50&lt;'Données projet'!$A$36,$K$205^A50,IF(A50='Données projet'!$A$36,'Données projet'!$B$36,N49+M50-V49)))</f>
        <v>292.50000000000011</v>
      </c>
      <c r="O50" s="14">
        <f>N50*VLOOKUP('Données projet'!$B$9,Paramètres!$A$1:$I$89,3,0)*VLOOKUP('Données projet'!$B$9,Paramètres!$A$1:$I$89,5,0)</f>
        <v>174.91500000000011</v>
      </c>
      <c r="P50" s="14">
        <f t="shared" si="33"/>
        <v>44.188987442418814</v>
      </c>
      <c r="Q50" s="22">
        <f t="shared" si="53"/>
        <v>381.60611146221294</v>
      </c>
      <c r="R50" s="62">
        <f t="shared" si="0"/>
        <v>613.72585968245664</v>
      </c>
      <c r="S50" s="62">
        <f ca="1">AVERAGE(OFFSET($R$3,0,0,'Données projet'!$E$9+1,1))-AVERAGE(OFFSET($H$3,0,0,'Données projet'!$E$9+1,1))</f>
        <v>437.94016462147999</v>
      </c>
      <c r="T50" s="62">
        <f t="shared" si="34"/>
        <v>281.88254003380348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2.2617403537942445E-2</v>
      </c>
      <c r="AC50" s="24">
        <f t="shared" si="3"/>
        <v>2.2617403537942445E-2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8.4</v>
      </c>
      <c r="AI50" s="14">
        <f>IF('Données projet'!$A$62&gt;35,AI49+AH50-AQ49,IF(A50&lt;'Données projet'!$A$62,$AF$205^A50,IF(A50='Données projet'!$A$62,'Données projet'!$B$62,AI49+AH50-AQ49)))</f>
        <v>153.80000000000004</v>
      </c>
      <c r="AJ50" s="14">
        <f>AI50*VLOOKUP('Données projet'!$B$10,Paramètres!$A$1:$I$89,3,0)*VLOOKUP('Données projet'!$B$10,Paramètres!$A$1:$I$89,5,0)</f>
        <v>139.15824000000003</v>
      </c>
      <c r="AK50" s="14">
        <f t="shared" si="35"/>
        <v>36.104102468715482</v>
      </c>
      <c r="AL50" s="22">
        <f t="shared" si="4"/>
        <v>305.24857979967953</v>
      </c>
      <c r="AM50" s="62">
        <f t="shared" si="5"/>
        <v>537.3683280199233</v>
      </c>
      <c r="AN50" s="62">
        <f ca="1">AVERAGE(OFFSET($AM$3,0,0,'Données projet'!$E$10+1,1))-AVERAGE(OFFSET($H$3,0,0,'Données projet'!$E$10+1,1))</f>
        <v>434.56763649859136</v>
      </c>
      <c r="AO50" s="62">
        <f t="shared" si="36"/>
        <v>271.90302066766264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1.1368683772161603E-13</v>
      </c>
      <c r="BE50" s="14">
        <f>BD50*VLOOKUP('Données projet'!$B$11,Paramètres!$A$1:$I$89,3,0)*VLOOKUP('Données projet'!$B$11,Paramètres!$A$1:$I$89,5,0)</f>
        <v>6.7984728957526396E-14</v>
      </c>
      <c r="BF50" s="14">
        <f t="shared" si="37"/>
        <v>1.0682447123141398E-12</v>
      </c>
      <c r="BG50" s="22">
        <f t="shared" si="7"/>
        <v>1.978932943548152E-12</v>
      </c>
      <c r="BH50" s="62">
        <f t="shared" si="8"/>
        <v>232.11974822024573</v>
      </c>
      <c r="BI50" s="62">
        <f ca="1">AVERAGE(OFFSET($BH$3,0,0,'Données projet'!$E$11+1,1))-AVERAGE(OFFSET($H$3,0,0,'Données projet'!$E$11+1,1))</f>
        <v>199.65420589615553</v>
      </c>
      <c r="BJ50" s="62">
        <f t="shared" si="38"/>
        <v>477.85821088970999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38.078418723508378</v>
      </c>
      <c r="BQ50" s="23">
        <f>EXP(-LN(2)/25)*BQ49+(1-EXP(-LN(2)/25))/(LN(2)/25)*Calculateur!BL50*Calculateur!BN50*VLOOKUP('Données projet'!$B$11,Paramètres!$A$1:$I$89,3,0)*0.475*44/12</f>
        <v>27.431323999708589</v>
      </c>
      <c r="BR50" s="23">
        <f>EXP(-LN(2)/2)*BR49+(1-EXP(-LN(2)/2))/(LN(2)/2)*BL50*BO50*VLOOKUP('Données projet'!$B$11,Paramètres!$A$1:$I$89,3,0)*0.475*44/12</f>
        <v>0.12033903604866278</v>
      </c>
      <c r="BS50" s="24">
        <f t="shared" si="9"/>
        <v>65.630081759265622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9.5</v>
      </c>
      <c r="BY50" s="13">
        <f>IF('Données projet'!$A$114&gt;35,BY49+BX50-CG49,IF(A50&lt;'Données projet'!$A$114,$BV$205^A50,IF(A50='Données projet'!$A$114,'Données projet'!$B$114,BY49+BX50-CG49)))</f>
        <v>292.50000000000011</v>
      </c>
      <c r="BZ50" s="14">
        <f>BY50*VLOOKUP('Données projet'!$B$12,Paramètres!$A$1:$I$89,3,0)*VLOOKUP('Données projet'!$B$12,Paramètres!$A$1:$I$89,5,0)</f>
        <v>174.91500000000011</v>
      </c>
      <c r="CA50" s="14">
        <f t="shared" si="39"/>
        <v>44.188987442418814</v>
      </c>
      <c r="CB50" s="22">
        <f t="shared" si="10"/>
        <v>381.60611146221294</v>
      </c>
      <c r="CC50" s="62">
        <f t="shared" si="11"/>
        <v>613.72585968245664</v>
      </c>
      <c r="CD50" s="62">
        <f ca="1">AVERAGE(OFFSET($CC$3,0,0,'Données projet'!$E$12+1,1))-AVERAGE(OFFSET($H$3,0,0,'Données projet'!$E$12+1,1))</f>
        <v>437.94016462147999</v>
      </c>
      <c r="CE50" s="62">
        <f t="shared" si="40"/>
        <v>281.88254003380348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2.2617403537942445E-2</v>
      </c>
      <c r="CN50" s="24">
        <f t="shared" si="12"/>
        <v>2.2617403537942445E-2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8.4</v>
      </c>
      <c r="CT50" s="13">
        <f>IF('Données projet'!$A$140&gt;35,CT49+CS50-DB49,IF(A50&lt;'Données projet'!$A$140,$CQ$205^A50,IF(A50='Données projet'!$A$140,'Données projet'!$B$140,CT49+CS50-DB49)))</f>
        <v>153.80000000000004</v>
      </c>
      <c r="CU50" s="18">
        <f>CT50*VLOOKUP('Données projet'!$B$13,Paramètres!$A$1:$I$89,3,0)*VLOOKUP('Données projet'!$B$13,Paramètres!$A$1:$I$89,5,0)</f>
        <v>175.14744000000005</v>
      </c>
      <c r="CV50" s="14">
        <f t="shared" si="41"/>
        <v>44.240869835106878</v>
      </c>
      <c r="CW50" s="22">
        <f t="shared" si="13"/>
        <v>382.10130629614451</v>
      </c>
      <c r="CX50" s="62">
        <f t="shared" si="14"/>
        <v>614.22105451638822</v>
      </c>
      <c r="CY50" s="62">
        <f ca="1">AVERAGE(OFFSET($CX$3,0,0,'Données projet'!$E$13+1,1))-AVERAGE(OFFSET($H$3,0,0,'Données projet'!$E$13+1,1))</f>
        <v>520.23742527061836</v>
      </c>
      <c r="CZ50" s="62">
        <f t="shared" si="42"/>
        <v>321.35925479331274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11</v>
      </c>
      <c r="DO50" s="13">
        <f>IF('Données projet'!$A$166&gt;35,DO49+DN50-DW49,IF(A50&lt;'Données projet'!$A$166,$DL$205^A50,IF(A50='Données projet'!$A$166,'Données projet'!$B$166,DO49+DN50-DW49)))</f>
        <v>198.00000000000003</v>
      </c>
      <c r="DP50" s="18">
        <f>DO50*VLOOKUP('Données projet'!$B$14,Paramètres!$A$1:$I$89,3,0)*VLOOKUP('Données projet'!$B$14,Paramètres!$A$1:$I$89,5,0)</f>
        <v>200.77200000000002</v>
      </c>
      <c r="DQ50" s="14">
        <f t="shared" si="43"/>
        <v>49.913791898945412</v>
      </c>
      <c r="DR50" s="22">
        <f t="shared" si="16"/>
        <v>436.61108755732994</v>
      </c>
      <c r="DS50" s="62">
        <f t="shared" si="17"/>
        <v>668.7308357775737</v>
      </c>
      <c r="DT50" s="62">
        <f ca="1">AVERAGE(OFFSET($DS$3,0,0,'Données projet'!$E$14+1,1))-AVERAGE(OFFSET($H$3,0,0,'Données projet'!$E$14+1,1))</f>
        <v>547.89540791313675</v>
      </c>
      <c r="DU50" s="62">
        <f t="shared" si="44"/>
        <v>345.19555189302378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8.6</v>
      </c>
      <c r="EJ50" s="13">
        <f>IF('Données projet'!$A$192&gt;35,EJ49+EI50-ER49,IF(A50&lt;'Données projet'!$A$192,$EG$205^A50,IF(A50='Données projet'!$A$192,'Données projet'!$B$192,EJ49+EI50-ER49)))</f>
        <v>205.20000000000002</v>
      </c>
      <c r="EK50" s="18">
        <f>EJ50*VLOOKUP('Données projet'!$B$15,Paramètres!$A$1:$I$89,3,0)*VLOOKUP('Données projet'!$B$15,Paramètres!$A$1:$I$89,5,0)</f>
        <v>214.47504000000001</v>
      </c>
      <c r="EL50" s="14">
        <f t="shared" si="45"/>
        <v>52.912291212091404</v>
      </c>
      <c r="EM50" s="22">
        <f t="shared" si="19"/>
        <v>465.69960186105914</v>
      </c>
      <c r="EN50" s="62">
        <f t="shared" si="20"/>
        <v>697.8193500813029</v>
      </c>
      <c r="EO50" s="62">
        <f ca="1">AVERAGE(OFFSET($EN$3,0,0,'Données projet'!$E$15+1,1))-AVERAGE(OFFSET($H$3,0,0,'Données projet'!$E$15+1,1))</f>
        <v>418.23737352070503</v>
      </c>
      <c r="EP50" s="62">
        <f t="shared" si="46"/>
        <v>496.10742685332968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14.1</v>
      </c>
      <c r="FE50" s="13">
        <f>IF('Données projet'!$A$218&gt;35,FE49+FD50-FM49,IF(A50&lt;'Données projet'!$A$218,$FB$205^A50,IF(A50='Données projet'!$A$218,'Données projet'!$B$218,FE49+FD50-FM49)))</f>
        <v>272.70000000000005</v>
      </c>
      <c r="FF50" s="18">
        <f>FE50*VLOOKUP('Données projet'!$B$16,Paramètres!$A$1:$I$89,3,0)*VLOOKUP('Données projet'!$B$16,Paramètres!$A$1:$I$89,5,0)</f>
        <v>163.07460000000003</v>
      </c>
      <c r="FG50" s="14">
        <f t="shared" si="47"/>
        <v>41.535229926099966</v>
      </c>
      <c r="FH50" s="22">
        <f t="shared" si="22"/>
        <v>356.36212045462412</v>
      </c>
      <c r="FI50" s="62">
        <f t="shared" si="23"/>
        <v>588.48186867486788</v>
      </c>
      <c r="FJ50" s="62">
        <f ca="1">AVERAGE(OFFSET($FI$3,0,0,'Données projet'!$E$16+1,1))-AVERAGE(OFFSET($H$3,0,0,'Données projet'!$E$16+1,1))</f>
        <v>341.70983624543067</v>
      </c>
      <c r="FK50" s="62">
        <f t="shared" si="48"/>
        <v>250.82562837973805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3.4230337290095274E-2</v>
      </c>
      <c r="FT50" s="24">
        <f t="shared" si="24"/>
        <v>3.4230337290095274E-2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14.090909090909092</v>
      </c>
      <c r="FZ50" s="13">
        <f>IF('Données projet'!$A$244&gt;35,FZ49+FY50-GH49,IF(A50&lt;'Données projet'!$A$244,$FW$205^A50,IF(A50='Données projet'!$A$244,'Données projet'!$B$244,FZ49+FY50-GH49)))</f>
        <v>334.63636363636351</v>
      </c>
      <c r="GA50" s="18">
        <f>FZ50*VLOOKUP('Données projet'!$B$17,Paramètres!$A$1:$I$89,3,0)*VLOOKUP('Données projet'!$B$17,Paramètres!$A$1:$I$89,5,0)</f>
        <v>156.60981818181813</v>
      </c>
      <c r="GB50" s="14">
        <f t="shared" si="49"/>
        <v>40.076899946190913</v>
      </c>
      <c r="GC50" s="22">
        <f t="shared" si="25"/>
        <v>342.56270073961565</v>
      </c>
      <c r="GD50" s="62">
        <f t="shared" si="26"/>
        <v>574.68244895985936</v>
      </c>
      <c r="GE50" s="62">
        <f ca="1">AVERAGE(OFFSET($GD$3,0,0,'Données projet'!$E$17+1,1))-AVERAGE(OFFSET($H$3,0,0,'Données projet'!$E$17+1,1))</f>
        <v>368.69628434154333</v>
      </c>
      <c r="GF50" s="62">
        <f t="shared" si="50"/>
        <v>202.28197295839524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7.8</v>
      </c>
      <c r="GU50" s="13">
        <f>IF('Données projet'!$A$270&gt;35,GU49+GT50-HC49,IF(A50&lt;'Données projet'!$A$270,$GR$205^A50,IF(A50='Données projet'!$A$270,'Données projet'!$B$270,GU49+GT50-HC49)))</f>
        <v>185.59999999999994</v>
      </c>
      <c r="GV50" s="18">
        <f>GU50*VLOOKUP('Données projet'!$B$18,Paramètres!$A$1:$I$89,3,0)*VLOOKUP('Données projet'!$B$18,Paramètres!$A$1:$I$89,5,0)</f>
        <v>162.14015999999998</v>
      </c>
      <c r="GW50" s="14">
        <f t="shared" si="51"/>
        <v>41.324860537333677</v>
      </c>
      <c r="GX50" s="22">
        <f t="shared" si="28"/>
        <v>354.36824410252279</v>
      </c>
      <c r="GY50" s="62">
        <f t="shared" si="29"/>
        <v>586.48799232276656</v>
      </c>
      <c r="GZ50" s="62">
        <f ca="1">AVERAGE(OFFSET($GY$3,0,0,'Données projet'!$E$18+1,1))-AVERAGE(OFFSET($H$3,0,0,'Données projet'!$E$18+1,1))</f>
        <v>378.51861272969165</v>
      </c>
      <c r="HA50" s="62">
        <f t="shared" si="52"/>
        <v>387.42368617035459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0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0</v>
      </c>
      <c r="HJ50" s="24">
        <f t="shared" si="30"/>
        <v>0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135.66666666666666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9.5</v>
      </c>
      <c r="N51" s="14">
        <f>IF('Données projet'!$A$36&gt;35,N50+M51-V50,IF(A51&lt;'Données projet'!$A$36,$K$205^A51,IF(A51='Données projet'!$A$36,'Données projet'!$B$36,N50+M51-V50)))</f>
        <v>302.00000000000011</v>
      </c>
      <c r="O51" s="14">
        <f>N51*VLOOKUP('Données projet'!$B$9,Paramètres!$A$1:$I$89,3,0)*VLOOKUP('Données projet'!$B$9,Paramètres!$A$1:$I$89,5,0)</f>
        <v>180.59600000000006</v>
      </c>
      <c r="P51" s="14">
        <f t="shared" si="33"/>
        <v>45.45475966463092</v>
      </c>
      <c r="Q51" s="22">
        <f t="shared" si="53"/>
        <v>393.7050730825656</v>
      </c>
      <c r="R51" s="62">
        <f t="shared" si="0"/>
        <v>626.88674015144716</v>
      </c>
      <c r="S51" s="62">
        <f ca="1">AVERAGE(OFFSET($R$3,0,0,'Données projet'!$E$9+1,1))-AVERAGE(OFFSET($H$3,0,0,'Données projet'!$E$9+1,1))</f>
        <v>437.94016462147999</v>
      </c>
      <c r="T51" s="62">
        <f t="shared" si="34"/>
        <v>281.88254003380348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1.5992919414511714E-2</v>
      </c>
      <c r="AC51" s="24">
        <f t="shared" si="3"/>
        <v>1.5992919414511714E-2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8.4</v>
      </c>
      <c r="AI51" s="14">
        <f>IF('Données projet'!$A$62&gt;35,AI50+AH51-AQ50,IF(A51&lt;'Données projet'!$A$62,$AF$205^A51,IF(A51='Données projet'!$A$62,'Données projet'!$B$62,AI50+AH51-AQ50)))</f>
        <v>162.20000000000005</v>
      </c>
      <c r="AJ51" s="14">
        <f>AI51*VLOOKUP('Données projet'!$B$10,Paramètres!$A$1:$I$89,3,0)*VLOOKUP('Données projet'!$B$10,Paramètres!$A$1:$I$89,5,0)</f>
        <v>146.75856000000005</v>
      </c>
      <c r="AK51" s="14">
        <f t="shared" si="35"/>
        <v>37.841022770456242</v>
      </c>
      <c r="AL51" s="22">
        <f t="shared" si="4"/>
        <v>321.51093999187805</v>
      </c>
      <c r="AM51" s="62">
        <f t="shared" si="5"/>
        <v>554.69260706075966</v>
      </c>
      <c r="AN51" s="62">
        <f ca="1">AVERAGE(OFFSET($AM$3,0,0,'Données projet'!$E$10+1,1))-AVERAGE(OFFSET($H$3,0,0,'Données projet'!$E$10+1,1))</f>
        <v>434.56763649859136</v>
      </c>
      <c r="AO51" s="62">
        <f t="shared" si="36"/>
        <v>271.90302066766264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1.1368683772161603E-13</v>
      </c>
      <c r="BE51" s="14">
        <f>BD51*VLOOKUP('Données projet'!$B$11,Paramètres!$A$1:$I$89,3,0)*VLOOKUP('Données projet'!$B$11,Paramètres!$A$1:$I$89,5,0)</f>
        <v>6.7984728957526396E-14</v>
      </c>
      <c r="BF51" s="14">
        <f t="shared" si="37"/>
        <v>1.0682447123141398E-12</v>
      </c>
      <c r="BG51" s="22">
        <f t="shared" si="7"/>
        <v>1.978932943548152E-12</v>
      </c>
      <c r="BH51" s="62">
        <f t="shared" si="8"/>
        <v>233.18166706888354</v>
      </c>
      <c r="BI51" s="62">
        <f ca="1">AVERAGE(OFFSET($BH$3,0,0,'Données projet'!$E$11+1,1))-AVERAGE(OFFSET($H$3,0,0,'Données projet'!$E$11+1,1))</f>
        <v>199.65420589615553</v>
      </c>
      <c r="BJ51" s="62">
        <f t="shared" si="38"/>
        <v>477.85821088970999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37.331724157882469</v>
      </c>
      <c r="BQ51" s="23">
        <f>EXP(-LN(2)/25)*BQ50+(1-EXP(-LN(2)/25))/(LN(2)/25)*Calculateur!BL51*Calculateur!BN51*VLOOKUP('Données projet'!$B$11,Paramètres!$A$1:$I$89,3,0)*0.475*44/12</f>
        <v>26.681213002385924</v>
      </c>
      <c r="BR51" s="23">
        <f>EXP(-LN(2)/2)*BR50+(1-EXP(-LN(2)/2))/(LN(2)/2)*BL51*BO51*VLOOKUP('Données projet'!$B$11,Paramètres!$A$1:$I$89,3,0)*0.475*44/12</f>
        <v>8.5092548431461856E-2</v>
      </c>
      <c r="BS51" s="24">
        <f t="shared" si="9"/>
        <v>64.098029708699855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9.5</v>
      </c>
      <c r="BY51" s="13">
        <f>IF('Données projet'!$A$114&gt;35,BY50+BX51-CG50,IF(A51&lt;'Données projet'!$A$114,$BV$205^A51,IF(A51='Données projet'!$A$114,'Données projet'!$B$114,BY50+BX51-CG50)))</f>
        <v>302.00000000000011</v>
      </c>
      <c r="BZ51" s="14">
        <f>BY51*VLOOKUP('Données projet'!$B$12,Paramètres!$A$1:$I$89,3,0)*VLOOKUP('Données projet'!$B$12,Paramètres!$A$1:$I$89,5,0)</f>
        <v>180.59600000000006</v>
      </c>
      <c r="CA51" s="14">
        <f t="shared" si="39"/>
        <v>45.45475966463092</v>
      </c>
      <c r="CB51" s="22">
        <f t="shared" si="10"/>
        <v>393.7050730825656</v>
      </c>
      <c r="CC51" s="62">
        <f t="shared" si="11"/>
        <v>626.88674015144716</v>
      </c>
      <c r="CD51" s="62">
        <f ca="1">AVERAGE(OFFSET($CC$3,0,0,'Données projet'!$E$12+1,1))-AVERAGE(OFFSET($H$3,0,0,'Données projet'!$E$12+1,1))</f>
        <v>437.94016462147999</v>
      </c>
      <c r="CE51" s="62">
        <f t="shared" si="40"/>
        <v>281.88254003380348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1.5992919414511714E-2</v>
      </c>
      <c r="CN51" s="24">
        <f t="shared" si="12"/>
        <v>1.5992919414511714E-2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8.4</v>
      </c>
      <c r="CT51" s="13">
        <f>IF('Données projet'!$A$140&gt;35,CT50+CS51-DB50,IF(A51&lt;'Données projet'!$A$140,$CQ$205^A51,IF(A51='Données projet'!$A$140,'Données projet'!$B$140,CT50+CS51-DB50)))</f>
        <v>162.20000000000005</v>
      </c>
      <c r="CU51" s="18">
        <f>CT51*VLOOKUP('Données projet'!$B$13,Paramètres!$A$1:$I$89,3,0)*VLOOKUP('Données projet'!$B$13,Paramètres!$A$1:$I$89,5,0)</f>
        <v>184.71336000000005</v>
      </c>
      <c r="CV51" s="14">
        <f t="shared" si="41"/>
        <v>46.369239181771952</v>
      </c>
      <c r="CW51" s="22">
        <f t="shared" si="13"/>
        <v>402.46886024158624</v>
      </c>
      <c r="CX51" s="62">
        <f t="shared" si="14"/>
        <v>635.65052731046785</v>
      </c>
      <c r="CY51" s="62">
        <f ca="1">AVERAGE(OFFSET($CX$3,0,0,'Données projet'!$E$13+1,1))-AVERAGE(OFFSET($H$3,0,0,'Données projet'!$E$13+1,1))</f>
        <v>520.23742527061836</v>
      </c>
      <c r="CZ51" s="62">
        <f t="shared" si="42"/>
        <v>321.35925479331274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11</v>
      </c>
      <c r="DO51" s="13">
        <f>IF('Données projet'!$A$166&gt;35,DO50+DN51-DW50,IF(A51&lt;'Données projet'!$A$166,$DL$205^A51,IF(A51='Données projet'!$A$166,'Données projet'!$B$166,DO50+DN51-DW50)))</f>
        <v>209.00000000000003</v>
      </c>
      <c r="DP51" s="18">
        <f>DO51*VLOOKUP('Données projet'!$B$14,Paramètres!$A$1:$I$89,3,0)*VLOOKUP('Données projet'!$B$14,Paramètres!$A$1:$I$89,5,0)</f>
        <v>211.92600000000004</v>
      </c>
      <c r="DQ51" s="14">
        <f t="shared" si="43"/>
        <v>52.356241262970165</v>
      </c>
      <c r="DR51" s="22">
        <f t="shared" si="16"/>
        <v>460.29157019967312</v>
      </c>
      <c r="DS51" s="62">
        <f t="shared" si="17"/>
        <v>693.47323726855461</v>
      </c>
      <c r="DT51" s="62">
        <f ca="1">AVERAGE(OFFSET($DS$3,0,0,'Données projet'!$E$14+1,1))-AVERAGE(OFFSET($H$3,0,0,'Données projet'!$E$14+1,1))</f>
        <v>547.89540791313675</v>
      </c>
      <c r="DU51" s="62">
        <f t="shared" si="44"/>
        <v>345.19555189302378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8.6</v>
      </c>
      <c r="EJ51" s="13">
        <f>IF('Données projet'!$A$192&gt;35,EJ50+EI51-ER50,IF(A51&lt;'Données projet'!$A$192,$EG$205^A51,IF(A51='Données projet'!$A$192,'Données projet'!$B$192,EJ50+EI51-ER50)))</f>
        <v>213.8</v>
      </c>
      <c r="EK51" s="18">
        <f>EJ51*VLOOKUP('Données projet'!$B$15,Paramètres!$A$1:$I$89,3,0)*VLOOKUP('Données projet'!$B$15,Paramètres!$A$1:$I$89,5,0)</f>
        <v>223.46376000000004</v>
      </c>
      <c r="EL51" s="14">
        <f t="shared" si="45"/>
        <v>54.867031015545003</v>
      </c>
      <c r="EM51" s="22">
        <f t="shared" si="19"/>
        <v>484.75946101874098</v>
      </c>
      <c r="EN51" s="62">
        <f t="shared" si="20"/>
        <v>717.94112808762247</v>
      </c>
      <c r="EO51" s="62">
        <f ca="1">AVERAGE(OFFSET($EN$3,0,0,'Données projet'!$E$15+1,1))-AVERAGE(OFFSET($H$3,0,0,'Données projet'!$E$15+1,1))</f>
        <v>418.23737352070503</v>
      </c>
      <c r="EP51" s="62">
        <f t="shared" si="46"/>
        <v>496.10742685332968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14.1</v>
      </c>
      <c r="FE51" s="13">
        <f>IF('Données projet'!$A$218&gt;35,FE50+FD51-FM50,IF(A51&lt;'Données projet'!$A$218,$FB$205^A51,IF(A51='Données projet'!$A$218,'Données projet'!$B$218,FE50+FD51-FM50)))</f>
        <v>286.80000000000007</v>
      </c>
      <c r="FF51" s="18">
        <f>FE51*VLOOKUP('Données projet'!$B$16,Paramètres!$A$1:$I$89,3,0)*VLOOKUP('Données projet'!$B$16,Paramètres!$A$1:$I$89,5,0)</f>
        <v>171.50640000000004</v>
      </c>
      <c r="FG51" s="14">
        <f t="shared" si="47"/>
        <v>43.427233649451665</v>
      </c>
      <c r="FH51" s="22">
        <f t="shared" si="22"/>
        <v>374.34274527279507</v>
      </c>
      <c r="FI51" s="62">
        <f t="shared" si="23"/>
        <v>607.52441234167668</v>
      </c>
      <c r="FJ51" s="62">
        <f ca="1">AVERAGE(OFFSET($FI$3,0,0,'Données projet'!$E$16+1,1))-AVERAGE(OFFSET($H$3,0,0,'Données projet'!$E$16+1,1))</f>
        <v>341.70983624543067</v>
      </c>
      <c r="FK51" s="62">
        <f t="shared" si="48"/>
        <v>250.82562837973805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2.4204503620129117E-2</v>
      </c>
      <c r="FT51" s="24">
        <f t="shared" si="24"/>
        <v>2.4204503620129117E-2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14.090909090909092</v>
      </c>
      <c r="FZ51" s="13">
        <f>IF('Données projet'!$A$244&gt;35,FZ50+FY51-GH50,IF(A51&lt;'Données projet'!$A$244,$FW$205^A51,IF(A51='Données projet'!$A$244,'Données projet'!$B$244,FZ50+FY51-GH50)))</f>
        <v>348.72727272727258</v>
      </c>
      <c r="GA51" s="18">
        <f>FZ51*VLOOKUP('Données projet'!$B$17,Paramètres!$A$1:$I$89,3,0)*VLOOKUP('Données projet'!$B$17,Paramètres!$A$1:$I$89,5,0)</f>
        <v>163.20436363636358</v>
      </c>
      <c r="GB51" s="14">
        <f t="shared" si="49"/>
        <v>41.564432350216741</v>
      </c>
      <c r="GC51" s="22">
        <f t="shared" si="25"/>
        <v>356.63898634329399</v>
      </c>
      <c r="GD51" s="62">
        <f t="shared" si="26"/>
        <v>589.82065341217549</v>
      </c>
      <c r="GE51" s="62">
        <f ca="1">AVERAGE(OFFSET($GD$3,0,0,'Données projet'!$E$17+1,1))-AVERAGE(OFFSET($H$3,0,0,'Données projet'!$E$17+1,1))</f>
        <v>368.69628434154333</v>
      </c>
      <c r="GF51" s="62">
        <f t="shared" si="50"/>
        <v>202.28197295839524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7.8</v>
      </c>
      <c r="GU51" s="13">
        <f>IF('Données projet'!$A$270&gt;35,GU50+GT51-HC50,IF(A51&lt;'Données projet'!$A$270,$GR$205^A51,IF(A51='Données projet'!$A$270,'Données projet'!$B$270,GU50+GT51-HC50)))</f>
        <v>193.39999999999995</v>
      </c>
      <c r="GV51" s="18">
        <f>GU51*VLOOKUP('Données projet'!$B$18,Paramètres!$A$1:$I$89,3,0)*VLOOKUP('Données projet'!$B$18,Paramètres!$A$1:$I$89,5,0)</f>
        <v>168.95424</v>
      </c>
      <c r="GW51" s="14">
        <f t="shared" si="51"/>
        <v>42.855724087026708</v>
      </c>
      <c r="GX51" s="22">
        <f t="shared" si="28"/>
        <v>368.90235411823818</v>
      </c>
      <c r="GY51" s="62">
        <f t="shared" si="29"/>
        <v>602.08402118711979</v>
      </c>
      <c r="GZ51" s="62">
        <f ca="1">AVERAGE(OFFSET($GY$3,0,0,'Données projet'!$E$18+1,1))-AVERAGE(OFFSET($H$3,0,0,'Données projet'!$E$18+1,1))</f>
        <v>378.51861272969165</v>
      </c>
      <c r="HA51" s="62">
        <f t="shared" si="52"/>
        <v>387.42368617035459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0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0</v>
      </c>
      <c r="HJ51" s="24">
        <f t="shared" si="30"/>
        <v>0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135.66666666666666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9.5</v>
      </c>
      <c r="N52" s="14">
        <f>IF('Données projet'!$A$36&gt;35,N51+M52-V51,IF(A52&lt;'Données projet'!$A$36,$K$205^A52,IF(A52='Données projet'!$A$36,'Données projet'!$B$36,N51+M52-V51)))</f>
        <v>311.50000000000011</v>
      </c>
      <c r="O52" s="14">
        <f>N52*VLOOKUP('Données projet'!$B$9,Paramètres!$A$1:$I$89,3,0)*VLOOKUP('Données projet'!$B$9,Paramètres!$A$1:$I$89,5,0)</f>
        <v>186.27700000000007</v>
      </c>
      <c r="P52" s="14">
        <f t="shared" si="33"/>
        <v>46.715904817352708</v>
      </c>
      <c r="Q52" s="22">
        <f t="shared" si="53"/>
        <v>405.79597589022273</v>
      </c>
      <c r="R52" s="62">
        <f t="shared" si="0"/>
        <v>640.02113988981318</v>
      </c>
      <c r="S52" s="62">
        <f ca="1">AVERAGE(OFFSET($R$3,0,0,'Données projet'!$E$9+1,1))-AVERAGE(OFFSET($H$3,0,0,'Données projet'!$E$9+1,1))</f>
        <v>437.94016462147999</v>
      </c>
      <c r="T52" s="62">
        <f t="shared" si="34"/>
        <v>281.88254003380348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1.1308701768971223E-2</v>
      </c>
      <c r="AC52" s="24">
        <f t="shared" si="3"/>
        <v>1.1308701768971223E-2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8.4</v>
      </c>
      <c r="AI52" s="14">
        <f>IF('Données projet'!$A$62&gt;35,AI51+AH52-AQ51,IF(A52&lt;'Données projet'!$A$62,$AF$205^A52,IF(A52='Données projet'!$A$62,'Données projet'!$B$62,AI51+AH52-AQ51)))</f>
        <v>170.60000000000005</v>
      </c>
      <c r="AJ52" s="14">
        <f>AI52*VLOOKUP('Données projet'!$B$10,Paramètres!$A$1:$I$89,3,0)*VLOOKUP('Données projet'!$B$10,Paramètres!$A$1:$I$89,5,0)</f>
        <v>154.35888000000003</v>
      </c>
      <c r="AK52" s="14">
        <f t="shared" si="35"/>
        <v>39.567499286120309</v>
      </c>
      <c r="AL52" s="22">
        <f t="shared" si="4"/>
        <v>337.75511058999291</v>
      </c>
      <c r="AM52" s="62">
        <f t="shared" si="5"/>
        <v>571.98027458958336</v>
      </c>
      <c r="AN52" s="62">
        <f ca="1">AVERAGE(OFFSET($AM$3,0,0,'Données projet'!$E$10+1,1))-AVERAGE(OFFSET($H$3,0,0,'Données projet'!$E$10+1,1))</f>
        <v>434.56763649859136</v>
      </c>
      <c r="AO52" s="62">
        <f t="shared" si="36"/>
        <v>271.90302066766264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1.1368683772161603E-13</v>
      </c>
      <c r="BE52" s="14">
        <f>BD52*VLOOKUP('Données projet'!$B$11,Paramètres!$A$1:$I$89,3,0)*VLOOKUP('Données projet'!$B$11,Paramètres!$A$1:$I$89,5,0)</f>
        <v>6.7984728957526396E-14</v>
      </c>
      <c r="BF52" s="14">
        <f t="shared" si="37"/>
        <v>1.0682447123141398E-12</v>
      </c>
      <c r="BG52" s="22">
        <f t="shared" si="7"/>
        <v>1.978932943548152E-12</v>
      </c>
      <c r="BH52" s="62">
        <f t="shared" si="8"/>
        <v>234.22516399959244</v>
      </c>
      <c r="BI52" s="62">
        <f ca="1">AVERAGE(OFFSET($BH$3,0,0,'Données projet'!$E$11+1,1))-AVERAGE(OFFSET($H$3,0,0,'Données projet'!$E$11+1,1))</f>
        <v>199.65420589615553</v>
      </c>
      <c r="BJ52" s="62">
        <f t="shared" si="38"/>
        <v>477.85821088970999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36.599671817249771</v>
      </c>
      <c r="BQ52" s="23">
        <f>EXP(-LN(2)/25)*BQ51+(1-EXP(-LN(2)/25))/(LN(2)/25)*Calculateur!BL52*Calculateur!BN52*VLOOKUP('Données projet'!$B$11,Paramètres!$A$1:$I$89,3,0)*0.475*44/12</f>
        <v>25.95161382973167</v>
      </c>
      <c r="BR52" s="23">
        <f>EXP(-LN(2)/2)*BR51+(1-EXP(-LN(2)/2))/(LN(2)/2)*BL52*BO52*VLOOKUP('Données projet'!$B$11,Paramètres!$A$1:$I$89,3,0)*0.475*44/12</f>
        <v>6.0169518024331403E-2</v>
      </c>
      <c r="BS52" s="24">
        <f t="shared" si="9"/>
        <v>62.611455165005772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9.5</v>
      </c>
      <c r="BY52" s="13">
        <f>IF('Données projet'!$A$114&gt;35,BY51+BX52-CG51,IF(A52&lt;'Données projet'!$A$114,$BV$205^A52,IF(A52='Données projet'!$A$114,'Données projet'!$B$114,BY51+BX52-CG51)))</f>
        <v>311.50000000000011</v>
      </c>
      <c r="BZ52" s="14">
        <f>BY52*VLOOKUP('Données projet'!$B$12,Paramètres!$A$1:$I$89,3,0)*VLOOKUP('Données projet'!$B$12,Paramètres!$A$1:$I$89,5,0)</f>
        <v>186.27700000000007</v>
      </c>
      <c r="CA52" s="14">
        <f t="shared" si="39"/>
        <v>46.715904817352708</v>
      </c>
      <c r="CB52" s="22">
        <f t="shared" si="10"/>
        <v>405.79597589022273</v>
      </c>
      <c r="CC52" s="62">
        <f t="shared" si="11"/>
        <v>640.02113988981318</v>
      </c>
      <c r="CD52" s="62">
        <f ca="1">AVERAGE(OFFSET($CC$3,0,0,'Données projet'!$E$12+1,1))-AVERAGE(OFFSET($H$3,0,0,'Données projet'!$E$12+1,1))</f>
        <v>437.94016462147999</v>
      </c>
      <c r="CE52" s="62">
        <f t="shared" si="40"/>
        <v>281.88254003380348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1.1308701768971223E-2</v>
      </c>
      <c r="CN52" s="24">
        <f t="shared" si="12"/>
        <v>1.1308701768971223E-2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8.4</v>
      </c>
      <c r="CT52" s="13">
        <f>IF('Données projet'!$A$140&gt;35,CT51+CS52-DB51,IF(A52&lt;'Données projet'!$A$140,$CQ$205^A52,IF(A52='Données projet'!$A$140,'Données projet'!$B$140,CT51+CS52-DB51)))</f>
        <v>170.60000000000005</v>
      </c>
      <c r="CU52" s="18">
        <f>CT52*VLOOKUP('Données projet'!$B$13,Paramètres!$A$1:$I$89,3,0)*VLOOKUP('Données projet'!$B$13,Paramètres!$A$1:$I$89,5,0)</f>
        <v>194.27928000000006</v>
      </c>
      <c r="CV52" s="14">
        <f t="shared" si="41"/>
        <v>48.484811030401794</v>
      </c>
      <c r="CW52" s="22">
        <f t="shared" si="13"/>
        <v>422.81412521128323</v>
      </c>
      <c r="CX52" s="62">
        <f t="shared" si="14"/>
        <v>657.03928921087368</v>
      </c>
      <c r="CY52" s="62">
        <f ca="1">AVERAGE(OFFSET($CX$3,0,0,'Données projet'!$E$13+1,1))-AVERAGE(OFFSET($H$3,0,0,'Données projet'!$E$13+1,1))</f>
        <v>520.23742527061836</v>
      </c>
      <c r="CZ52" s="62">
        <f t="shared" si="42"/>
        <v>321.35925479331274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11</v>
      </c>
      <c r="DO52" s="13">
        <f>IF('Données projet'!$A$166&gt;35,DO51+DN52-DW51,IF(A52&lt;'Données projet'!$A$166,$DL$205^A52,IF(A52='Données projet'!$A$166,'Données projet'!$B$166,DO51+DN52-DW51)))</f>
        <v>220.00000000000003</v>
      </c>
      <c r="DP52" s="18">
        <f>DO52*VLOOKUP('Données projet'!$B$14,Paramètres!$A$1:$I$89,3,0)*VLOOKUP('Données projet'!$B$14,Paramètres!$A$1:$I$89,5,0)</f>
        <v>223.08000000000004</v>
      </c>
      <c r="DQ52" s="14">
        <f t="shared" si="43"/>
        <v>54.783765878062667</v>
      </c>
      <c r="DR52" s="22">
        <f t="shared" si="16"/>
        <v>483.94605890429256</v>
      </c>
      <c r="DS52" s="62">
        <f t="shared" si="17"/>
        <v>718.17122290388306</v>
      </c>
      <c r="DT52" s="62">
        <f ca="1">AVERAGE(OFFSET($DS$3,0,0,'Données projet'!$E$14+1,1))-AVERAGE(OFFSET($H$3,0,0,'Données projet'!$E$14+1,1))</f>
        <v>547.89540791313675</v>
      </c>
      <c r="DU52" s="62">
        <f t="shared" si="44"/>
        <v>345.19555189302378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8.6</v>
      </c>
      <c r="EJ52" s="13">
        <f>IF('Données projet'!$A$192&gt;35,EJ51+EI52-ER51,IF(A52&lt;'Données projet'!$A$192,$EG$205^A52,IF(A52='Données projet'!$A$192,'Données projet'!$B$192,EJ51+EI52-ER51)))</f>
        <v>222.4</v>
      </c>
      <c r="EK52" s="18">
        <f>EJ52*VLOOKUP('Données projet'!$B$15,Paramètres!$A$1:$I$89,3,0)*VLOOKUP('Données projet'!$B$15,Paramètres!$A$1:$I$89,5,0)</f>
        <v>232.45248000000004</v>
      </c>
      <c r="EL52" s="14">
        <f t="shared" si="45"/>
        <v>56.812637259137837</v>
      </c>
      <c r="EM52" s="22">
        <f t="shared" si="19"/>
        <v>503.80341255966511</v>
      </c>
      <c r="EN52" s="62">
        <f t="shared" si="20"/>
        <v>738.0285765592555</v>
      </c>
      <c r="EO52" s="62">
        <f ca="1">AVERAGE(OFFSET($EN$3,0,0,'Données projet'!$E$15+1,1))-AVERAGE(OFFSET($H$3,0,0,'Données projet'!$E$15+1,1))</f>
        <v>418.23737352070503</v>
      </c>
      <c r="EP52" s="62">
        <f t="shared" si="46"/>
        <v>496.10742685332968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14.1</v>
      </c>
      <c r="FE52" s="13">
        <f>IF('Données projet'!$A$218&gt;35,FE51+FD52-FM51,IF(A52&lt;'Données projet'!$A$218,$FB$205^A52,IF(A52='Données projet'!$A$218,'Données projet'!$B$218,FE51+FD52-FM51)))</f>
        <v>300.90000000000009</v>
      </c>
      <c r="FF52" s="18">
        <f>FE52*VLOOKUP('Données projet'!$B$16,Paramètres!$A$1:$I$89,3,0)*VLOOKUP('Données projet'!$B$16,Paramètres!$A$1:$I$89,5,0)</f>
        <v>179.93820000000005</v>
      </c>
      <c r="FG52" s="14">
        <f t="shared" si="47"/>
        <v>45.308436530386629</v>
      </c>
      <c r="FH52" s="22">
        <f t="shared" si="22"/>
        <v>392.30455862375675</v>
      </c>
      <c r="FI52" s="62">
        <f t="shared" si="23"/>
        <v>626.5297226233472</v>
      </c>
      <c r="FJ52" s="62">
        <f ca="1">AVERAGE(OFFSET($FI$3,0,0,'Données projet'!$E$16+1,1))-AVERAGE(OFFSET($H$3,0,0,'Données projet'!$E$16+1,1))</f>
        <v>341.70983624543067</v>
      </c>
      <c r="FK52" s="62">
        <f t="shared" si="48"/>
        <v>250.82562837973805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1.7115168645047637E-2</v>
      </c>
      <c r="FT52" s="24">
        <f t="shared" si="24"/>
        <v>1.7115168645047637E-2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14.090909090909092</v>
      </c>
      <c r="FZ52" s="13">
        <f>IF('Données projet'!$A$244&gt;35,FZ51+FY52-GH51,IF(A52&lt;'Données projet'!$A$244,$FW$205^A52,IF(A52='Données projet'!$A$244,'Données projet'!$B$244,FZ51+FY52-GH51)))</f>
        <v>362.81818181818164</v>
      </c>
      <c r="GA52" s="18">
        <f>FZ52*VLOOKUP('Données projet'!$B$17,Paramètres!$A$1:$I$89,3,0)*VLOOKUP('Données projet'!$B$17,Paramètres!$A$1:$I$89,5,0)</f>
        <v>169.79890909090901</v>
      </c>
      <c r="GB52" s="14">
        <f t="shared" si="49"/>
        <v>43.044982809152742</v>
      </c>
      <c r="GC52" s="22">
        <f t="shared" si="25"/>
        <v>370.7031117259408</v>
      </c>
      <c r="GD52" s="62">
        <f t="shared" si="26"/>
        <v>604.92827572553119</v>
      </c>
      <c r="GE52" s="62">
        <f ca="1">AVERAGE(OFFSET($GD$3,0,0,'Données projet'!$E$17+1,1))-AVERAGE(OFFSET($H$3,0,0,'Données projet'!$E$17+1,1))</f>
        <v>368.69628434154333</v>
      </c>
      <c r="GF52" s="62">
        <f t="shared" si="50"/>
        <v>202.28197295839524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7.8</v>
      </c>
      <c r="GU52" s="13">
        <f>IF('Données projet'!$A$270&gt;35,GU51+GT52-HC51,IF(A52&lt;'Données projet'!$A$270,$GR$205^A52,IF(A52='Données projet'!$A$270,'Données projet'!$B$270,GU51+GT52-HC51)))</f>
        <v>201.19999999999996</v>
      </c>
      <c r="GV52" s="18">
        <f>GU52*VLOOKUP('Données projet'!$B$18,Paramètres!$A$1:$I$89,3,0)*VLOOKUP('Données projet'!$B$18,Paramètres!$A$1:$I$89,5,0)</f>
        <v>175.76831999999999</v>
      </c>
      <c r="GW52" s="14">
        <f t="shared" si="51"/>
        <v>44.379415757690168</v>
      </c>
      <c r="GX52" s="22">
        <f t="shared" si="28"/>
        <v>383.42397311131032</v>
      </c>
      <c r="GY52" s="62">
        <f t="shared" si="29"/>
        <v>617.64913711090071</v>
      </c>
      <c r="GZ52" s="62">
        <f ca="1">AVERAGE(OFFSET($GY$3,0,0,'Données projet'!$E$18+1,1))-AVERAGE(OFFSET($H$3,0,0,'Données projet'!$E$18+1,1))</f>
        <v>378.51861272969165</v>
      </c>
      <c r="HA52" s="62">
        <f t="shared" si="52"/>
        <v>387.42368617035459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0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0</v>
      </c>
      <c r="HJ52" s="24">
        <f t="shared" si="30"/>
        <v>0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135.66666666666666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321</v>
      </c>
      <c r="L53" s="13">
        <f>VLOOKUP(A53,'Données projet'!$A$35:$I$55,9,0)</f>
        <v>9.5</v>
      </c>
      <c r="M53" s="13">
        <f t="array" ref="M53">INDEX(L:L,MIN(IF(ISNUMBER(L53:L249),ROW(L53:L249),"")))</f>
        <v>9.5</v>
      </c>
      <c r="N53" s="14">
        <f>IF('Données projet'!$A$36&gt;35,N52+M53-V52,IF(A53&lt;'Données projet'!$A$36,$K$205^A53,IF(A53='Données projet'!$A$36,'Données projet'!$B$36,N52+M53-V52)))</f>
        <v>321.00000000000011</v>
      </c>
      <c r="O53" s="14">
        <f>N53*VLOOKUP('Données projet'!$B$9,Paramètres!$A$1:$I$89,3,0)*VLOOKUP('Données projet'!$B$9,Paramètres!$A$1:$I$89,5,0)</f>
        <v>191.95800000000008</v>
      </c>
      <c r="P53" s="14">
        <f t="shared" si="33"/>
        <v>47.972580210954611</v>
      </c>
      <c r="Q53" s="22">
        <f t="shared" si="53"/>
        <v>417.87909386741279</v>
      </c>
      <c r="R53" s="62">
        <f t="shared" si="0"/>
        <v>653.12965245887403</v>
      </c>
      <c r="S53" s="62">
        <f ca="1">AVERAGE(OFFSET($R$3,0,0,'Données projet'!$E$9+1,1))-AVERAGE(OFFSET($H$3,0,0,'Données projet'!$E$9+1,1))</f>
        <v>437.94016462147999</v>
      </c>
      <c r="T53" s="62">
        <f t="shared" si="34"/>
        <v>281.88254003380348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25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7.9964597072558572E-3</v>
      </c>
      <c r="AC53" s="24">
        <f t="shared" si="3"/>
        <v>7.9964597072558572E-3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179</v>
      </c>
      <c r="AG53" s="13">
        <f>VLOOKUP(A53,'Données projet'!$A$61:$I$81,9,0)</f>
        <v>8.4</v>
      </c>
      <c r="AH53" s="13">
        <f t="array" ref="AH53">INDEX(AG:AG,MIN(IF(ISNUMBER(AG53:AG249),ROW(AG53:AG249),"")))</f>
        <v>8.4</v>
      </c>
      <c r="AI53" s="14">
        <f>IF('Données projet'!$A$62&gt;35,AI52+AH53-AQ52,IF(A53&lt;'Données projet'!$A$62,$AF$205^A53,IF(A53='Données projet'!$A$62,'Données projet'!$B$62,AI52+AH53-AQ52)))</f>
        <v>179.00000000000006</v>
      </c>
      <c r="AJ53" s="14">
        <f>AI53*VLOOKUP('Données projet'!$B$10,Paramètres!$A$1:$I$89,3,0)*VLOOKUP('Données projet'!$B$10,Paramètres!$A$1:$I$89,5,0)</f>
        <v>161.95920000000004</v>
      </c>
      <c r="AK53" s="14">
        <f t="shared" si="35"/>
        <v>41.284104935125725</v>
      </c>
      <c r="AL53" s="22">
        <f t="shared" si="4"/>
        <v>353.9820894286774</v>
      </c>
      <c r="AM53" s="62">
        <f t="shared" si="5"/>
        <v>589.23264802013864</v>
      </c>
      <c r="AN53" s="62">
        <f ca="1">AVERAGE(OFFSET($AM$3,0,0,'Données projet'!$E$10+1,1))-AVERAGE(OFFSET($H$3,0,0,'Données projet'!$E$10+1,1))</f>
        <v>434.56763649859136</v>
      </c>
      <c r="AO53" s="62">
        <f t="shared" si="36"/>
        <v>271.90302066766264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1.1368683772161603E-13</v>
      </c>
      <c r="BE53" s="14">
        <f>BD53*VLOOKUP('Données projet'!$B$11,Paramètres!$A$1:$I$89,3,0)*VLOOKUP('Données projet'!$B$11,Paramètres!$A$1:$I$89,5,0)</f>
        <v>6.7984728957526396E-14</v>
      </c>
      <c r="BF53" s="14">
        <f t="shared" si="37"/>
        <v>1.0682447123141398E-12</v>
      </c>
      <c r="BG53" s="22">
        <f t="shared" si="7"/>
        <v>1.978932943548152E-12</v>
      </c>
      <c r="BH53" s="62">
        <f t="shared" si="8"/>
        <v>235.25055859146318</v>
      </c>
      <c r="BI53" s="62">
        <f ca="1">AVERAGE(OFFSET($BH$3,0,0,'Données projet'!$E$11+1,1))-AVERAGE(OFFSET($H$3,0,0,'Données projet'!$E$11+1,1))</f>
        <v>199.65420589615553</v>
      </c>
      <c r="BJ53" s="62">
        <f t="shared" si="38"/>
        <v>477.85821088970999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35.881974576509037</v>
      </c>
      <c r="BQ53" s="23">
        <f>EXP(-LN(2)/25)*BQ52+(1-EXP(-LN(2)/25))/(LN(2)/25)*Calculateur!BL53*Calculateur!BN53*VLOOKUP('Données projet'!$B$11,Paramètres!$A$1:$I$89,3,0)*0.475*44/12</f>
        <v>25.2419655848216</v>
      </c>
      <c r="BR53" s="23">
        <f>EXP(-LN(2)/2)*BR52+(1-EXP(-LN(2)/2))/(LN(2)/2)*BL53*BO53*VLOOKUP('Données projet'!$B$11,Paramètres!$A$1:$I$89,3,0)*0.475*44/12</f>
        <v>4.2546274215730935E-2</v>
      </c>
      <c r="BS53" s="24">
        <f t="shared" si="9"/>
        <v>61.166486435546368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321</v>
      </c>
      <c r="BW53" s="13">
        <f>VLOOKUP(A53,'Données projet'!$A$113:$I$133,9,0)</f>
        <v>9.5</v>
      </c>
      <c r="BX53" s="13">
        <f t="array" ref="BX53">INDEX(BW:BW,MIN(IF(ISNUMBER(BW53:BW249),ROW(BW53:BW249),"")))</f>
        <v>9.5</v>
      </c>
      <c r="BY53" s="13">
        <f>IF('Données projet'!$A$114&gt;35,BY52+BX53-CG52,IF(A53&lt;'Données projet'!$A$114,$BV$205^A53,IF(A53='Données projet'!$A$114,'Données projet'!$B$114,BY52+BX53-CG52)))</f>
        <v>321.00000000000011</v>
      </c>
      <c r="BZ53" s="14">
        <f>BY53*VLOOKUP('Données projet'!$B$12,Paramètres!$A$1:$I$89,3,0)*VLOOKUP('Données projet'!$B$12,Paramètres!$A$1:$I$89,5,0)</f>
        <v>191.95800000000008</v>
      </c>
      <c r="CA53" s="14">
        <f t="shared" si="39"/>
        <v>47.972580210954611</v>
      </c>
      <c r="CB53" s="22">
        <f t="shared" si="10"/>
        <v>417.87909386741279</v>
      </c>
      <c r="CC53" s="62">
        <f t="shared" si="11"/>
        <v>653.12965245887403</v>
      </c>
      <c r="CD53" s="62">
        <f ca="1">AVERAGE(OFFSET($CC$3,0,0,'Données projet'!$E$12+1,1))-AVERAGE(OFFSET($H$3,0,0,'Données projet'!$E$12+1,1))</f>
        <v>437.94016462147999</v>
      </c>
      <c r="CE53" s="62">
        <f t="shared" si="40"/>
        <v>281.88254003380348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25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7.9964597072558572E-3</v>
      </c>
      <c r="CN53" s="24">
        <f t="shared" si="12"/>
        <v>7.9964597072558572E-3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179</v>
      </c>
      <c r="CR53" s="13">
        <f>VLOOKUP(A53,'Données projet'!$A$139:$I$159,9,0)</f>
        <v>8.4</v>
      </c>
      <c r="CS53" s="13">
        <f t="array" ref="CS53">INDEX(CR:CR,MIN(IF(ISNUMBER(CR53:CR249),ROW(CR53:CR249),"")))</f>
        <v>8.4</v>
      </c>
      <c r="CT53" s="13">
        <f>IF('Données projet'!$A$140&gt;35,CT52+CS53-DB52,IF(A53&lt;'Données projet'!$A$140,$CQ$205^A53,IF(A53='Données projet'!$A$140,'Données projet'!$B$140,CT52+CS53-DB52)))</f>
        <v>179.00000000000006</v>
      </c>
      <c r="CU53" s="18">
        <f>CT53*VLOOKUP('Données projet'!$B$13,Paramètres!$A$1:$I$89,3,0)*VLOOKUP('Données projet'!$B$13,Paramètres!$A$1:$I$89,5,0)</f>
        <v>203.84520000000006</v>
      </c>
      <c r="CV53" s="14">
        <f t="shared" si="41"/>
        <v>50.588287419038338</v>
      </c>
      <c r="CW53" s="22">
        <f t="shared" si="13"/>
        <v>443.1383239214918</v>
      </c>
      <c r="CX53" s="62">
        <f t="shared" si="14"/>
        <v>678.38888251295293</v>
      </c>
      <c r="CY53" s="62">
        <f ca="1">AVERAGE(OFFSET($CX$3,0,0,'Données projet'!$E$13+1,1))-AVERAGE(OFFSET($H$3,0,0,'Données projet'!$E$13+1,1))</f>
        <v>520.23742527061836</v>
      </c>
      <c r="CZ53" s="62">
        <f t="shared" si="42"/>
        <v>321.35925479331274</v>
      </c>
      <c r="DA53" s="16">
        <f>IF(ISNA(VLOOKUP(A53,'Données projet'!$A$139:$I$159,3,0)),0,VLOOKUP(A53,'Données projet'!$A$139:$I$159,3,0))</f>
        <v>6</v>
      </c>
      <c r="DB53" s="16">
        <f>IF(ISNA(VLOOKUP(A53,'Données projet'!$A$139:$I$159,4,0)),0,VLOOKUP(A53,'Données projet'!$A$139:$I$159,4,0))</f>
        <v>21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231</v>
      </c>
      <c r="DM53" s="13">
        <f>VLOOKUP(A53,'Données projet'!$A$165:$I$185,9,0)</f>
        <v>11</v>
      </c>
      <c r="DN53" s="13">
        <f t="array" ref="DN53">INDEX(DM:DM,MIN(IF(ISNUMBER(DM53:DM249),ROW(DM53:DM249),"")))</f>
        <v>11</v>
      </c>
      <c r="DO53" s="13">
        <f>IF('Données projet'!$A$166&gt;35,DO52+DN53-DW52,IF(A53&lt;'Données projet'!$A$166,$DL$205^A53,IF(A53='Données projet'!$A$166,'Données projet'!$B$166,DO52+DN53-DW52)))</f>
        <v>231.00000000000003</v>
      </c>
      <c r="DP53" s="18">
        <f>DO53*VLOOKUP('Données projet'!$B$14,Paramètres!$A$1:$I$89,3,0)*VLOOKUP('Données projet'!$B$14,Paramètres!$A$1:$I$89,5,0)</f>
        <v>234.23400000000007</v>
      </c>
      <c r="DQ53" s="14">
        <f t="shared" si="43"/>
        <v>57.197197133603488</v>
      </c>
      <c r="DR53" s="22">
        <f t="shared" si="16"/>
        <v>507.57600167435953</v>
      </c>
      <c r="DS53" s="62">
        <f t="shared" si="17"/>
        <v>742.82656026582072</v>
      </c>
      <c r="DT53" s="62">
        <f ca="1">AVERAGE(OFFSET($DS$3,0,0,'Données projet'!$E$14+1,1))-AVERAGE(OFFSET($H$3,0,0,'Données projet'!$E$14+1,1))</f>
        <v>547.89540791313675</v>
      </c>
      <c r="DU53" s="62">
        <f t="shared" si="44"/>
        <v>345.19555189302378</v>
      </c>
      <c r="DV53" s="16">
        <f>IF(ISNA(VLOOKUP(A53,'Données projet'!$A$165:$I$185,3,0)),0,VLOOKUP(A53,'Données projet'!$A$165:$I$185,3,0))</f>
        <v>7</v>
      </c>
      <c r="DW53" s="16">
        <f>IF(ISNA(VLOOKUP(A53,'Données projet'!$A$165:$I$185,4,0)),0,VLOOKUP(A53,'Données projet'!$A$165:$I$185,4,0))</f>
        <v>28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231</v>
      </c>
      <c r="EH53" s="13">
        <f>VLOOKUP(A53,'Données projet'!$A$191:$I$211,9,0)</f>
        <v>8.6</v>
      </c>
      <c r="EI53" s="13">
        <f t="array" ref="EI53">INDEX(EH:EH,MIN(IF(ISNUMBER(EH53:EH249),ROW(EH53:EH249),"")))</f>
        <v>8.6</v>
      </c>
      <c r="EJ53" s="13">
        <f>IF('Données projet'!$A$192&gt;35,EJ52+EI53-ER52,IF(A53&lt;'Données projet'!$A$192,$EG$205^A53,IF(A53='Données projet'!$A$192,'Données projet'!$B$192,EJ52+EI53-ER52)))</f>
        <v>231</v>
      </c>
      <c r="EK53" s="18">
        <f>EJ53*VLOOKUP('Données projet'!$B$15,Paramètres!$A$1:$I$89,3,0)*VLOOKUP('Données projet'!$B$15,Paramètres!$A$1:$I$89,5,0)</f>
        <v>241.44120000000004</v>
      </c>
      <c r="EL53" s="14">
        <f t="shared" si="45"/>
        <v>58.749503553680732</v>
      </c>
      <c r="EM53" s="22">
        <f t="shared" si="19"/>
        <v>522.83214202266061</v>
      </c>
      <c r="EN53" s="62">
        <f t="shared" si="20"/>
        <v>758.08270061412179</v>
      </c>
      <c r="EO53" s="62">
        <f ca="1">AVERAGE(OFFSET($EN$3,0,0,'Données projet'!$E$15+1,1))-AVERAGE(OFFSET($H$3,0,0,'Données projet'!$E$15+1,1))</f>
        <v>418.23737352070503</v>
      </c>
      <c r="EP53" s="62">
        <f t="shared" si="46"/>
        <v>496.10742685332968</v>
      </c>
      <c r="EQ53" s="16">
        <f>IF(ISNA(VLOOKUP(A53,'Données projet'!$A$191:$I$211,3,0)),0,VLOOKUP(A53,'Données projet'!$A$191:$I$211,3,0))</f>
        <v>8</v>
      </c>
      <c r="ER53" s="16">
        <f>IF(ISNA(VLOOKUP(A53,'Données projet'!$A$191:$I$211,4,0)),0,VLOOKUP(A53,'Données projet'!$A$191:$I$211,4,0))</f>
        <v>33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315</v>
      </c>
      <c r="FC53" s="13">
        <f>VLOOKUP(A53,'Données projet'!$A$217:$I$237,9,0)</f>
        <v>14.1</v>
      </c>
      <c r="FD53" s="13">
        <f t="array" ref="FD53">INDEX(FC:FC,MIN(IF(ISNUMBER(FC53:FC249),ROW(FC53:FC249),"")))</f>
        <v>14.1</v>
      </c>
      <c r="FE53" s="13">
        <f>IF('Données projet'!$A$218&gt;35,FE52+FD53-FM52,IF(A53&lt;'Données projet'!$A$218,$FB$205^A53,IF(A53='Données projet'!$A$218,'Données projet'!$B$218,FE52+FD53-FM52)))</f>
        <v>315.00000000000011</v>
      </c>
      <c r="FF53" s="18">
        <f>FE53*VLOOKUP('Données projet'!$B$16,Paramètres!$A$1:$I$89,3,0)*VLOOKUP('Données projet'!$B$16,Paramètres!$A$1:$I$89,5,0)</f>
        <v>188.37000000000009</v>
      </c>
      <c r="FG53" s="14">
        <f t="shared" si="47"/>
        <v>47.179402486491341</v>
      </c>
      <c r="FH53" s="22">
        <f t="shared" si="22"/>
        <v>410.24854266397256</v>
      </c>
      <c r="FI53" s="62">
        <f t="shared" si="23"/>
        <v>645.49910125543374</v>
      </c>
      <c r="FJ53" s="62">
        <f ca="1">AVERAGE(OFFSET($FI$3,0,0,'Données projet'!$E$16+1,1))-AVERAGE(OFFSET($H$3,0,0,'Données projet'!$E$16+1,1))</f>
        <v>341.70983624543067</v>
      </c>
      <c r="FK53" s="62">
        <f t="shared" si="48"/>
        <v>250.82562837973805</v>
      </c>
      <c r="FL53" s="16">
        <f>IF(ISNA(VLOOKUP(A53,'Données projet'!$A$217:$I$237,3,0)),0,VLOOKUP(A53,'Données projet'!$A$217:$I$237,3,0))</f>
        <v>5</v>
      </c>
      <c r="FM53" s="16">
        <f>IF(ISNA(VLOOKUP(A53,'Données projet'!$A$217:$I$237,4,0)),0,VLOOKUP(A53,'Données projet'!$A$217:$I$237,4,0))</f>
        <v>79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1.2102251810064558E-2</v>
      </c>
      <c r="FT53" s="24">
        <f t="shared" si="24"/>
        <v>1.2102251810064558E-2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14.090909090909092</v>
      </c>
      <c r="FZ53" s="13">
        <f>IF('Données projet'!$A$244&gt;35,FZ52+FY53-GH52,IF(A53&lt;'Données projet'!$A$244,$FW$205^A53,IF(A53='Données projet'!$A$244,'Données projet'!$B$244,FZ52+FY53-GH52)))</f>
        <v>376.90909090909071</v>
      </c>
      <c r="GA53" s="18">
        <f>FZ53*VLOOKUP('Données projet'!$B$17,Paramètres!$A$1:$I$89,3,0)*VLOOKUP('Données projet'!$B$17,Paramètres!$A$1:$I$89,5,0)</f>
        <v>176.39345454545443</v>
      </c>
      <c r="GB53" s="14">
        <f t="shared" si="49"/>
        <v>44.518853518059267</v>
      </c>
      <c r="GC53" s="22">
        <f t="shared" si="25"/>
        <v>384.75560321061965</v>
      </c>
      <c r="GD53" s="62">
        <f t="shared" si="26"/>
        <v>620.0061618020809</v>
      </c>
      <c r="GE53" s="62">
        <f ca="1">AVERAGE(OFFSET($GD$3,0,0,'Données projet'!$E$17+1,1))-AVERAGE(OFFSET($H$3,0,0,'Données projet'!$E$17+1,1))</f>
        <v>368.69628434154333</v>
      </c>
      <c r="GF53" s="62">
        <f t="shared" si="50"/>
        <v>202.28197295839524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>
        <f>VLOOKUP(A53,'Données projet'!$A$269:$I$289,2,0)</f>
        <v>209</v>
      </c>
      <c r="GS53" s="13">
        <f>VLOOKUP(A53,'Données projet'!$A$269:$I$289,9,0)</f>
        <v>7.8</v>
      </c>
      <c r="GT53" s="13">
        <f t="array" ref="GT53">INDEX(GS:GS,MIN(IF(ISNUMBER(GS53:GS249),ROW(GS53:GS249),"")))</f>
        <v>7.8</v>
      </c>
      <c r="GU53" s="13">
        <f>IF('Données projet'!$A$270&gt;35,GU52+GT53-HC52,IF(A53&lt;'Données projet'!$A$270,$GR$205^A53,IF(A53='Données projet'!$A$270,'Données projet'!$B$270,GU52+GT53-HC52)))</f>
        <v>208.99999999999997</v>
      </c>
      <c r="GV53" s="18">
        <f>GU53*VLOOKUP('Données projet'!$B$18,Paramètres!$A$1:$I$89,3,0)*VLOOKUP('Données projet'!$B$18,Paramètres!$A$1:$I$89,5,0)</f>
        <v>182.58240000000001</v>
      </c>
      <c r="GW53" s="14">
        <f t="shared" si="51"/>
        <v>45.896245406460288</v>
      </c>
      <c r="GX53" s="22">
        <f t="shared" si="28"/>
        <v>397.93364074958498</v>
      </c>
      <c r="GY53" s="62">
        <f t="shared" si="29"/>
        <v>633.18419934104622</v>
      </c>
      <c r="GZ53" s="62">
        <f ca="1">AVERAGE(OFFSET($GY$3,0,0,'Données projet'!$E$18+1,1))-AVERAGE(OFFSET($H$3,0,0,'Données projet'!$E$18+1,1))</f>
        <v>378.51861272969165</v>
      </c>
      <c r="HA53" s="62">
        <f t="shared" si="52"/>
        <v>387.42368617035459</v>
      </c>
      <c r="HB53" s="16">
        <f>IF(ISNA(VLOOKUP(A53,'Données projet'!$A$269:$I$289,3,0)),0,VLOOKUP(A53,'Données projet'!$A$269:$I$289,3,0))</f>
        <v>7</v>
      </c>
      <c r="HC53" s="16">
        <f>IF(ISNA(VLOOKUP(A53,'Données projet'!$A$269:$I$289,4,0)),0,VLOOKUP(A53,'Données projet'!$A$269:$I$289,4,0))</f>
        <v>28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0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0</v>
      </c>
      <c r="HJ53" s="24">
        <f t="shared" si="30"/>
        <v>0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135.66666666666666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8.3000000000000007</v>
      </c>
      <c r="N54" s="14">
        <f>IF('Données projet'!$A$36&gt;35,N53+M54-V53,IF(A54&lt;'Données projet'!$A$36,$K$205^A54,IF(A54='Données projet'!$A$36,'Données projet'!$B$36,N53+M54-V53)))</f>
        <v>304.30000000000013</v>
      </c>
      <c r="O54" s="14">
        <f>N54*VLOOKUP('Données projet'!$B$9,Paramètres!$A$1:$I$89,3,0)*VLOOKUP('Données projet'!$B$9,Paramètres!$A$1:$I$89,5,0)</f>
        <v>181.9714000000001</v>
      </c>
      <c r="P54" s="14">
        <f t="shared" si="33"/>
        <v>45.760507906331149</v>
      </c>
      <c r="Q54" s="22">
        <f t="shared" si="53"/>
        <v>396.63307293686029</v>
      </c>
      <c r="R54" s="62">
        <f t="shared" si="0"/>
        <v>632.89123781646208</v>
      </c>
      <c r="S54" s="62">
        <f ca="1">AVERAGE(OFFSET($R$3,0,0,'Données projet'!$E$9+1,1))-AVERAGE(OFFSET($H$3,0,0,'Données projet'!$E$9+1,1))</f>
        <v>437.94016462147999</v>
      </c>
      <c r="T54" s="62">
        <f t="shared" si="34"/>
        <v>281.88254003380348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5.6543508844856113E-3</v>
      </c>
      <c r="AC54" s="24">
        <f t="shared" si="3"/>
        <v>5.6543508844856113E-3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166.00000000000006</v>
      </c>
      <c r="AJ54" s="14">
        <f>AI54*VLOOKUP('Données projet'!$B$10,Paramètres!$A$1:$I$89,3,0)*VLOOKUP('Données projet'!$B$10,Paramètres!$A$1:$I$89,5,0)</f>
        <v>150.19680000000005</v>
      </c>
      <c r="AK54" s="14">
        <f t="shared" si="35"/>
        <v>38.623305713694506</v>
      </c>
      <c r="AL54" s="22">
        <f t="shared" si="4"/>
        <v>328.86168411801799</v>
      </c>
      <c r="AM54" s="62">
        <f t="shared" si="5"/>
        <v>565.11984899761978</v>
      </c>
      <c r="AN54" s="62">
        <f ca="1">AVERAGE(OFFSET($AM$3,0,0,'Données projet'!$E$10+1,1))-AVERAGE(OFFSET($H$3,0,0,'Données projet'!$E$10+1,1))</f>
        <v>434.56763649859136</v>
      </c>
      <c r="AO54" s="62">
        <f t="shared" si="36"/>
        <v>271.90302066766264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1.1368683772161603E-13</v>
      </c>
      <c r="BE54" s="14">
        <f>BD54*VLOOKUP('Données projet'!$B$11,Paramètres!$A$1:$I$89,3,0)*VLOOKUP('Données projet'!$B$11,Paramètres!$A$1:$I$89,5,0)</f>
        <v>6.7984728957526396E-14</v>
      </c>
      <c r="BF54" s="14">
        <f t="shared" si="37"/>
        <v>1.0682447123141398E-12</v>
      </c>
      <c r="BG54" s="22">
        <f t="shared" si="7"/>
        <v>1.978932943548152E-12</v>
      </c>
      <c r="BH54" s="62">
        <f t="shared" si="8"/>
        <v>236.25816487960381</v>
      </c>
      <c r="BI54" s="62">
        <f ca="1">AVERAGE(OFFSET($BH$3,0,0,'Données projet'!$E$11+1,1))-AVERAGE(OFFSET($H$3,0,0,'Données projet'!$E$11+1,1))</f>
        <v>199.65420589615553</v>
      </c>
      <c r="BJ54" s="62">
        <f t="shared" si="38"/>
        <v>477.85821088970999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35.178350940907137</v>
      </c>
      <c r="BQ54" s="23">
        <f>EXP(-LN(2)/25)*BQ53+(1-EXP(-LN(2)/25))/(LN(2)/25)*Calculateur!BL54*Calculateur!BN54*VLOOKUP('Données projet'!$B$11,Paramètres!$A$1:$I$89,3,0)*0.475*44/12</f>
        <v>24.551722708487375</v>
      </c>
      <c r="BR54" s="23">
        <f>EXP(-LN(2)/2)*BR53+(1-EXP(-LN(2)/2))/(LN(2)/2)*BL54*BO54*VLOOKUP('Données projet'!$B$11,Paramètres!$A$1:$I$89,3,0)*0.475*44/12</f>
        <v>3.0084759012165705E-2</v>
      </c>
      <c r="BS54" s="24">
        <f t="shared" si="9"/>
        <v>59.760158408406681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8.3000000000000007</v>
      </c>
      <c r="BY54" s="13">
        <f>IF('Données projet'!$A$114&gt;35,BY53+BX54-CG53,IF(A54&lt;'Données projet'!$A$114,$BV$205^A54,IF(A54='Données projet'!$A$114,'Données projet'!$B$114,BY53+BX54-CG53)))</f>
        <v>304.30000000000013</v>
      </c>
      <c r="BZ54" s="14">
        <f>BY54*VLOOKUP('Données projet'!$B$12,Paramètres!$A$1:$I$89,3,0)*VLOOKUP('Données projet'!$B$12,Paramètres!$A$1:$I$89,5,0)</f>
        <v>181.9714000000001</v>
      </c>
      <c r="CA54" s="14">
        <f t="shared" si="39"/>
        <v>45.760507906331149</v>
      </c>
      <c r="CB54" s="22">
        <f t="shared" si="10"/>
        <v>396.63307293686029</v>
      </c>
      <c r="CC54" s="62">
        <f t="shared" si="11"/>
        <v>632.89123781646208</v>
      </c>
      <c r="CD54" s="62">
        <f ca="1">AVERAGE(OFFSET($CC$3,0,0,'Données projet'!$E$12+1,1))-AVERAGE(OFFSET($H$3,0,0,'Données projet'!$E$12+1,1))</f>
        <v>437.94016462147999</v>
      </c>
      <c r="CE54" s="62">
        <f t="shared" si="40"/>
        <v>281.88254003380348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5.6543508844856113E-3</v>
      </c>
      <c r="CN54" s="24">
        <f t="shared" si="12"/>
        <v>5.6543508844856113E-3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</v>
      </c>
      <c r="CT54" s="13">
        <f>IF('Données projet'!$A$140&gt;35,CT53+CS54-DB53,IF(A54&lt;'Données projet'!$A$140,$CQ$205^A54,IF(A54='Données projet'!$A$140,'Données projet'!$B$140,CT53+CS54-DB53)))</f>
        <v>166.00000000000006</v>
      </c>
      <c r="CU54" s="18">
        <f>CT54*VLOOKUP('Données projet'!$B$13,Paramètres!$A$1:$I$89,3,0)*VLOOKUP('Données projet'!$B$13,Paramètres!$A$1:$I$89,5,0)</f>
        <v>189.04080000000008</v>
      </c>
      <c r="CV54" s="14">
        <f t="shared" si="41"/>
        <v>47.327824924099076</v>
      </c>
      <c r="CW54" s="22">
        <f t="shared" si="13"/>
        <v>411.67535507613934</v>
      </c>
      <c r="CX54" s="62">
        <f t="shared" si="14"/>
        <v>647.93351995574119</v>
      </c>
      <c r="CY54" s="62">
        <f ca="1">AVERAGE(OFFSET($CX$3,0,0,'Données projet'!$E$13+1,1))-AVERAGE(OFFSET($H$3,0,0,'Données projet'!$E$13+1,1))</f>
        <v>520.23742527061836</v>
      </c>
      <c r="CZ54" s="62">
        <f t="shared" si="42"/>
        <v>321.35925479331274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10.199999999999999</v>
      </c>
      <c r="DO54" s="13">
        <f>IF('Données projet'!$A$166&gt;35,DO53+DN54-DW53,IF(A54&lt;'Données projet'!$A$166,$DL$205^A54,IF(A54='Données projet'!$A$166,'Données projet'!$B$166,DO53+DN54-DW53)))</f>
        <v>213.20000000000002</v>
      </c>
      <c r="DP54" s="18">
        <f>DO54*VLOOKUP('Données projet'!$B$14,Paramètres!$A$1:$I$89,3,0)*VLOOKUP('Données projet'!$B$14,Paramètres!$A$1:$I$89,5,0)</f>
        <v>216.18480000000002</v>
      </c>
      <c r="DQ54" s="14">
        <f t="shared" si="43"/>
        <v>53.284828478170375</v>
      </c>
      <c r="DR54" s="22">
        <f t="shared" si="16"/>
        <v>469.3262695994801</v>
      </c>
      <c r="DS54" s="62">
        <f t="shared" si="17"/>
        <v>705.58443447908189</v>
      </c>
      <c r="DT54" s="62">
        <f ca="1">AVERAGE(OFFSET($DS$3,0,0,'Données projet'!$E$14+1,1))-AVERAGE(OFFSET($H$3,0,0,'Données projet'!$E$14+1,1))</f>
        <v>547.89540791313675</v>
      </c>
      <c r="DU54" s="62">
        <f t="shared" si="44"/>
        <v>345.19555189302378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7.8</v>
      </c>
      <c r="EJ54" s="13">
        <f>IF('Données projet'!$A$192&gt;35,EJ53+EI54-ER53,IF(A54&lt;'Données projet'!$A$192,$EG$205^A54,IF(A54='Données projet'!$A$192,'Données projet'!$B$192,EJ53+EI54-ER53)))</f>
        <v>205.8</v>
      </c>
      <c r="EK54" s="18">
        <f>EJ54*VLOOKUP('Données projet'!$B$15,Paramètres!$A$1:$I$89,3,0)*VLOOKUP('Données projet'!$B$15,Paramètres!$A$1:$I$89,5,0)</f>
        <v>215.10216000000005</v>
      </c>
      <c r="EL54" s="14">
        <f t="shared" si="45"/>
        <v>53.048973530499296</v>
      </c>
      <c r="EM54" s="22">
        <f t="shared" si="19"/>
        <v>467.029890898953</v>
      </c>
      <c r="EN54" s="62">
        <f t="shared" si="20"/>
        <v>703.28805577855485</v>
      </c>
      <c r="EO54" s="62">
        <f ca="1">AVERAGE(OFFSET($EN$3,0,0,'Données projet'!$E$15+1,1))-AVERAGE(OFFSET($H$3,0,0,'Données projet'!$E$15+1,1))</f>
        <v>418.23737352070503</v>
      </c>
      <c r="EP54" s="62">
        <f t="shared" si="46"/>
        <v>496.10742685332968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15.7</v>
      </c>
      <c r="FE54" s="13">
        <f>IF('Données projet'!$A$218&gt;35,FE53+FD54-FM53,IF(A54&lt;'Données projet'!$A$218,$FB$205^A54,IF(A54='Données projet'!$A$218,'Données projet'!$B$218,FE53+FD54-FM53)))</f>
        <v>251.7000000000001</v>
      </c>
      <c r="FF54" s="18">
        <f>FE54*VLOOKUP('Données projet'!$B$16,Paramètres!$A$1:$I$89,3,0)*VLOOKUP('Données projet'!$B$16,Paramètres!$A$1:$I$89,5,0)</f>
        <v>150.51660000000007</v>
      </c>
      <c r="FG54" s="14">
        <f t="shared" si="47"/>
        <v>38.695961323116059</v>
      </c>
      <c r="FH54" s="22">
        <f t="shared" si="22"/>
        <v>329.54521097109392</v>
      </c>
      <c r="FI54" s="62">
        <f t="shared" si="23"/>
        <v>565.80337585069572</v>
      </c>
      <c r="FJ54" s="62">
        <f ca="1">AVERAGE(OFFSET($FI$3,0,0,'Données projet'!$E$16+1,1))-AVERAGE(OFFSET($H$3,0,0,'Données projet'!$E$16+1,1))</f>
        <v>341.70983624543067</v>
      </c>
      <c r="FK54" s="62">
        <f t="shared" si="48"/>
        <v>250.82562837973805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8.5575843225238184E-3</v>
      </c>
      <c r="FT54" s="24">
        <f t="shared" si="24"/>
        <v>8.5575843225238184E-3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>
        <f>VLOOKUP(A54,'Données projet'!$A$243:$I$263,2,0)</f>
        <v>391</v>
      </c>
      <c r="FX54" s="13">
        <f>VLOOKUP(A54,'Données projet'!$A$243:$I$263,9,0)</f>
        <v>14.090909090909092</v>
      </c>
      <c r="FY54" s="13">
        <f t="array" ref="FY54">INDEX(FX:FX,MIN(IF(ISNUMBER(FX54:FX250),ROW(FX54:FX250),"")))</f>
        <v>14.090909090909092</v>
      </c>
      <c r="FZ54" s="13">
        <f>IF('Données projet'!$A$244&gt;35,FZ53+FY54-GH53,IF(A54&lt;'Données projet'!$A$244,$FW$205^A54,IF(A54='Données projet'!$A$244,'Données projet'!$B$244,FZ53+FY54-GH53)))</f>
        <v>390.99999999999977</v>
      </c>
      <c r="GA54" s="18">
        <f>FZ54*VLOOKUP('Données projet'!$B$17,Paramètres!$A$1:$I$89,3,0)*VLOOKUP('Données projet'!$B$17,Paramètres!$A$1:$I$89,5,0)</f>
        <v>182.98799999999989</v>
      </c>
      <c r="GB54" s="14">
        <f t="shared" si="49"/>
        <v>45.986322796524831</v>
      </c>
      <c r="GC54" s="22">
        <f t="shared" si="25"/>
        <v>398.79694553728058</v>
      </c>
      <c r="GD54" s="62">
        <f t="shared" si="26"/>
        <v>635.05511041688237</v>
      </c>
      <c r="GE54" s="62">
        <f ca="1">AVERAGE(OFFSET($GD$3,0,0,'Données projet'!$E$17+1,1))-AVERAGE(OFFSET($H$3,0,0,'Données projet'!$E$17+1,1))</f>
        <v>368.69628434154333</v>
      </c>
      <c r="GF54" s="62">
        <f t="shared" si="50"/>
        <v>202.28197295839524</v>
      </c>
      <c r="GG54" s="16">
        <f>IF(ISNA(VLOOKUP(A54,'Données projet'!$A$243:$I$263,3,0)),0,VLOOKUP(A54,'Données projet'!$A$243:$I$263,3,0))</f>
        <v>3</v>
      </c>
      <c r="GH54" s="16">
        <f>IF(ISNA(VLOOKUP(A54,'Données projet'!$A$243:$I$263,4,0)),0,VLOOKUP(A54,'Données projet'!$A$243:$I$263,4,0))</f>
        <v>171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6.8</v>
      </c>
      <c r="GU54" s="13">
        <f>IF('Données projet'!$A$270&gt;35,GU53+GT54-HC53,IF(A54&lt;'Données projet'!$A$270,$GR$205^A54,IF(A54='Données projet'!$A$270,'Données projet'!$B$270,GU53+GT54-HC53)))</f>
        <v>187.79999999999998</v>
      </c>
      <c r="GV54" s="18">
        <f>GU54*VLOOKUP('Données projet'!$B$18,Paramètres!$A$1:$I$89,3,0)*VLOOKUP('Données projet'!$B$18,Paramètres!$A$1:$I$89,5,0)</f>
        <v>164.06208000000001</v>
      </c>
      <c r="GW54" s="14">
        <f t="shared" si="51"/>
        <v>41.75738773013461</v>
      </c>
      <c r="GX54" s="22">
        <f t="shared" si="28"/>
        <v>358.46890629665108</v>
      </c>
      <c r="GY54" s="62">
        <f t="shared" si="29"/>
        <v>594.72707117625293</v>
      </c>
      <c r="GZ54" s="62">
        <f ca="1">AVERAGE(OFFSET($GY$3,0,0,'Données projet'!$E$18+1,1))-AVERAGE(OFFSET($H$3,0,0,'Données projet'!$E$18+1,1))</f>
        <v>378.51861272969165</v>
      </c>
      <c r="HA54" s="62">
        <f t="shared" si="52"/>
        <v>387.42368617035459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0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0</v>
      </c>
      <c r="HJ54" s="24">
        <f t="shared" si="30"/>
        <v>0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135.66666666666666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8.3000000000000007</v>
      </c>
      <c r="N55" s="14">
        <f>IF('Données projet'!$A$36&gt;35,N54+M55-V54,IF(A55&lt;'Données projet'!$A$36,$K$205^A55,IF(A55='Données projet'!$A$36,'Données projet'!$B$36,N54+M55-V54)))</f>
        <v>312.60000000000014</v>
      </c>
      <c r="O55" s="14">
        <f>N55*VLOOKUP('Données projet'!$B$9,Paramètres!$A$1:$I$89,3,0)*VLOOKUP('Données projet'!$B$9,Paramètres!$A$1:$I$89,5,0)</f>
        <v>186.93480000000011</v>
      </c>
      <c r="P55" s="14">
        <f t="shared" si="33"/>
        <v>46.861640519348171</v>
      </c>
      <c r="Q55" s="22">
        <f t="shared" si="53"/>
        <v>407.19546723786488</v>
      </c>
      <c r="R55" s="62">
        <f t="shared" si="0"/>
        <v>644.44375868917825</v>
      </c>
      <c r="S55" s="62">
        <f ca="1">AVERAGE(OFFSET($R$3,0,0,'Données projet'!$E$9+1,1))-AVERAGE(OFFSET($H$3,0,0,'Données projet'!$E$9+1,1))</f>
        <v>437.94016462147999</v>
      </c>
      <c r="T55" s="62">
        <f t="shared" si="34"/>
        <v>281.88254003380348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3.9982298536279286E-3</v>
      </c>
      <c r="AC55" s="24">
        <f t="shared" si="3"/>
        <v>3.9982298536279286E-3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174.00000000000006</v>
      </c>
      <c r="AJ55" s="14">
        <f>AI55*VLOOKUP('Données projet'!$B$10,Paramètres!$A$1:$I$89,3,0)*VLOOKUP('Données projet'!$B$10,Paramètres!$A$1:$I$89,5,0)</f>
        <v>157.43520000000007</v>
      </c>
      <c r="AK55" s="14">
        <f t="shared" si="35"/>
        <v>40.263474653179919</v>
      </c>
      <c r="AL55" s="22">
        <f t="shared" si="4"/>
        <v>344.32519168762178</v>
      </c>
      <c r="AM55" s="62">
        <f t="shared" si="5"/>
        <v>581.57348313893522</v>
      </c>
      <c r="AN55" s="62">
        <f ca="1">AVERAGE(OFFSET($AM$3,0,0,'Données projet'!$E$10+1,1))-AVERAGE(OFFSET($H$3,0,0,'Données projet'!$E$10+1,1))</f>
        <v>434.56763649859136</v>
      </c>
      <c r="AO55" s="62">
        <f t="shared" si="36"/>
        <v>271.90302066766264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1.1368683772161603E-13</v>
      </c>
      <c r="BE55" s="14">
        <f>BD55*VLOOKUP('Données projet'!$B$11,Paramètres!$A$1:$I$89,3,0)*VLOOKUP('Données projet'!$B$11,Paramètres!$A$1:$I$89,5,0)</f>
        <v>6.7984728957526396E-14</v>
      </c>
      <c r="BF55" s="14">
        <f t="shared" si="37"/>
        <v>1.0682447123141398E-12</v>
      </c>
      <c r="BG55" s="22">
        <f t="shared" si="7"/>
        <v>1.978932943548152E-12</v>
      </c>
      <c r="BH55" s="62">
        <f t="shared" si="8"/>
        <v>237.2482914513154</v>
      </c>
      <c r="BI55" s="62">
        <f ca="1">AVERAGE(OFFSET($BH$3,0,0,'Données projet'!$E$11+1,1))-AVERAGE(OFFSET($H$3,0,0,'Données projet'!$E$11+1,1))</f>
        <v>199.65420589615553</v>
      </c>
      <c r="BJ55" s="62">
        <f t="shared" si="38"/>
        <v>477.85821088970999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34.488524935631354</v>
      </c>
      <c r="BQ55" s="23">
        <f>EXP(-LN(2)/25)*BQ54+(1-EXP(-LN(2)/25))/(LN(2)/25)*Calculateur!BL55*Calculateur!BN55*VLOOKUP('Données projet'!$B$11,Paramètres!$A$1:$I$89,3,0)*0.475*44/12</f>
        <v>23.880354559904806</v>
      </c>
      <c r="BR55" s="23">
        <f>EXP(-LN(2)/2)*BR54+(1-EXP(-LN(2)/2))/(LN(2)/2)*BL55*BO55*VLOOKUP('Données projet'!$B$11,Paramètres!$A$1:$I$89,3,0)*0.475*44/12</f>
        <v>2.1273137107865471E-2</v>
      </c>
      <c r="BS55" s="24">
        <f t="shared" si="9"/>
        <v>58.390152632644032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8.3000000000000007</v>
      </c>
      <c r="BY55" s="13">
        <f>IF('Données projet'!$A$114&gt;35,BY54+BX55-CG54,IF(A55&lt;'Données projet'!$A$114,$BV$205^A55,IF(A55='Données projet'!$A$114,'Données projet'!$B$114,BY54+BX55-CG54)))</f>
        <v>312.60000000000014</v>
      </c>
      <c r="BZ55" s="14">
        <f>BY55*VLOOKUP('Données projet'!$B$12,Paramètres!$A$1:$I$89,3,0)*VLOOKUP('Données projet'!$B$12,Paramètres!$A$1:$I$89,5,0)</f>
        <v>186.93480000000011</v>
      </c>
      <c r="CA55" s="14">
        <f t="shared" si="39"/>
        <v>46.861640519348171</v>
      </c>
      <c r="CB55" s="22">
        <f t="shared" si="10"/>
        <v>407.19546723786488</v>
      </c>
      <c r="CC55" s="62">
        <f t="shared" si="11"/>
        <v>644.44375868917825</v>
      </c>
      <c r="CD55" s="62">
        <f ca="1">AVERAGE(OFFSET($CC$3,0,0,'Données projet'!$E$12+1,1))-AVERAGE(OFFSET($H$3,0,0,'Données projet'!$E$12+1,1))</f>
        <v>437.94016462147999</v>
      </c>
      <c r="CE55" s="62">
        <f t="shared" si="40"/>
        <v>281.88254003380348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3.9982298536279286E-3</v>
      </c>
      <c r="CN55" s="24">
        <f t="shared" si="12"/>
        <v>3.9982298536279286E-3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</v>
      </c>
      <c r="CT55" s="13">
        <f>IF('Données projet'!$A$140&gt;35,CT54+CS55-DB54,IF(A55&lt;'Données projet'!$A$140,$CQ$205^A55,IF(A55='Données projet'!$A$140,'Données projet'!$B$140,CT54+CS55-DB54)))</f>
        <v>174.00000000000006</v>
      </c>
      <c r="CU55" s="18">
        <f>CT55*VLOOKUP('Données projet'!$B$13,Paramètres!$A$1:$I$89,3,0)*VLOOKUP('Données projet'!$B$13,Paramètres!$A$1:$I$89,5,0)</f>
        <v>198.15120000000007</v>
      </c>
      <c r="CV55" s="14">
        <f t="shared" si="41"/>
        <v>49.337638092068957</v>
      </c>
      <c r="CW55" s="22">
        <f t="shared" si="13"/>
        <v>431.04305967702021</v>
      </c>
      <c r="CX55" s="62">
        <f t="shared" si="14"/>
        <v>668.29135112833364</v>
      </c>
      <c r="CY55" s="62">
        <f ca="1">AVERAGE(OFFSET($CX$3,0,0,'Données projet'!$E$13+1,1))-AVERAGE(OFFSET($H$3,0,0,'Données projet'!$E$13+1,1))</f>
        <v>520.23742527061836</v>
      </c>
      <c r="CZ55" s="62">
        <f t="shared" si="42"/>
        <v>321.35925479331274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10.199999999999999</v>
      </c>
      <c r="DO55" s="13">
        <f>IF('Données projet'!$A$166&gt;35,DO54+DN55-DW54,IF(A55&lt;'Données projet'!$A$166,$DL$205^A55,IF(A55='Données projet'!$A$166,'Données projet'!$B$166,DO54+DN55-DW54)))</f>
        <v>223.4</v>
      </c>
      <c r="DP55" s="18">
        <f>DO55*VLOOKUP('Données projet'!$B$14,Paramètres!$A$1:$I$89,3,0)*VLOOKUP('Données projet'!$B$14,Paramètres!$A$1:$I$89,5,0)</f>
        <v>226.52760000000001</v>
      </c>
      <c r="DQ55" s="14">
        <f t="shared" si="43"/>
        <v>55.531204013656371</v>
      </c>
      <c r="DR55" s="22">
        <f t="shared" si="16"/>
        <v>491.25241699045142</v>
      </c>
      <c r="DS55" s="62">
        <f t="shared" si="17"/>
        <v>728.5007084417648</v>
      </c>
      <c r="DT55" s="62">
        <f ca="1">AVERAGE(OFFSET($DS$3,0,0,'Données projet'!$E$14+1,1))-AVERAGE(OFFSET($H$3,0,0,'Données projet'!$E$14+1,1))</f>
        <v>547.89540791313675</v>
      </c>
      <c r="DU55" s="62">
        <f t="shared" si="44"/>
        <v>345.19555189302378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7.8</v>
      </c>
      <c r="EJ55" s="13">
        <f>IF('Données projet'!$A$192&gt;35,EJ54+EI55-ER54,IF(A55&lt;'Données projet'!$A$192,$EG$205^A55,IF(A55='Données projet'!$A$192,'Données projet'!$B$192,EJ54+EI55-ER54)))</f>
        <v>213.60000000000002</v>
      </c>
      <c r="EK55" s="18">
        <f>EJ55*VLOOKUP('Données projet'!$B$15,Paramètres!$A$1:$I$89,3,0)*VLOOKUP('Données projet'!$B$15,Paramètres!$A$1:$I$89,5,0)</f>
        <v>223.25472000000005</v>
      </c>
      <c r="EL55" s="14">
        <f t="shared" si="45"/>
        <v>54.821677274695034</v>
      </c>
      <c r="EM55" s="22">
        <f t="shared" si="19"/>
        <v>484.31639192009385</v>
      </c>
      <c r="EN55" s="62">
        <f t="shared" si="20"/>
        <v>721.56468337140723</v>
      </c>
      <c r="EO55" s="62">
        <f ca="1">AVERAGE(OFFSET($EN$3,0,0,'Données projet'!$E$15+1,1))-AVERAGE(OFFSET($H$3,0,0,'Données projet'!$E$15+1,1))</f>
        <v>418.23737352070503</v>
      </c>
      <c r="EP55" s="62">
        <f t="shared" si="46"/>
        <v>496.10742685332968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15.7</v>
      </c>
      <c r="FE55" s="13">
        <f>IF('Données projet'!$A$218&gt;35,FE54+FD55-FM54,IF(A55&lt;'Données projet'!$A$218,$FB$205^A55,IF(A55='Données projet'!$A$218,'Données projet'!$B$218,FE54+FD55-FM54)))</f>
        <v>267.40000000000009</v>
      </c>
      <c r="FF55" s="18">
        <f>FE55*VLOOKUP('Données projet'!$B$16,Paramètres!$A$1:$I$89,3,0)*VLOOKUP('Données projet'!$B$16,Paramètres!$A$1:$I$89,5,0)</f>
        <v>159.90520000000006</v>
      </c>
      <c r="FG55" s="14">
        <f t="shared" si="47"/>
        <v>40.821132264574658</v>
      </c>
      <c r="FH55" s="22">
        <f t="shared" si="22"/>
        <v>349.59836202746766</v>
      </c>
      <c r="FI55" s="62">
        <f t="shared" si="23"/>
        <v>586.84665347878104</v>
      </c>
      <c r="FJ55" s="62">
        <f ca="1">AVERAGE(OFFSET($FI$3,0,0,'Données projet'!$E$16+1,1))-AVERAGE(OFFSET($H$3,0,0,'Données projet'!$E$16+1,1))</f>
        <v>341.70983624543067</v>
      </c>
      <c r="FK55" s="62">
        <f t="shared" si="48"/>
        <v>250.82562837973805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6.0511259050322792E-3</v>
      </c>
      <c r="FT55" s="24">
        <f t="shared" si="24"/>
        <v>6.0511259050322792E-3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14</v>
      </c>
      <c r="FZ55" s="13">
        <f>IF('Données projet'!$A$244&gt;35,FZ54+FY55-GH54,IF(A55&lt;'Données projet'!$A$244,$FW$205^A55,IF(A55='Données projet'!$A$244,'Données projet'!$B$244,FZ54+FY55-GH54)))</f>
        <v>233.99999999999977</v>
      </c>
      <c r="GA55" s="18">
        <f>FZ55*VLOOKUP('Données projet'!$B$17,Paramètres!$A$1:$I$89,3,0)*VLOOKUP('Données projet'!$B$17,Paramètres!$A$1:$I$89,5,0)</f>
        <v>109.51199999999989</v>
      </c>
      <c r="GB55" s="14">
        <f t="shared" si="49"/>
        <v>29.21597823063253</v>
      </c>
      <c r="GC55" s="22">
        <f t="shared" si="25"/>
        <v>241.61789541835142</v>
      </c>
      <c r="GD55" s="62">
        <f t="shared" si="26"/>
        <v>478.86618686966483</v>
      </c>
      <c r="GE55" s="62">
        <f ca="1">AVERAGE(OFFSET($GD$3,0,0,'Données projet'!$E$17+1,1))-AVERAGE(OFFSET($H$3,0,0,'Données projet'!$E$17+1,1))</f>
        <v>368.69628434154333</v>
      </c>
      <c r="GF55" s="62">
        <f t="shared" si="50"/>
        <v>202.28197295839524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6.8</v>
      </c>
      <c r="GU55" s="13">
        <f>IF('Données projet'!$A$270&gt;35,GU54+GT55-HC54,IF(A55&lt;'Données projet'!$A$270,$GR$205^A55,IF(A55='Données projet'!$A$270,'Données projet'!$B$270,GU54+GT55-HC54)))</f>
        <v>194.6</v>
      </c>
      <c r="GV55" s="18">
        <f>GU55*VLOOKUP('Données projet'!$B$18,Paramètres!$A$1:$I$89,3,0)*VLOOKUP('Données projet'!$B$18,Paramètres!$A$1:$I$89,5,0)</f>
        <v>170.00256000000002</v>
      </c>
      <c r="GW55" s="14">
        <f t="shared" si="51"/>
        <v>43.090596939649579</v>
      </c>
      <c r="GX55" s="22">
        <f t="shared" si="28"/>
        <v>371.1372483365563</v>
      </c>
      <c r="GY55" s="62">
        <f t="shared" si="29"/>
        <v>608.38553978786967</v>
      </c>
      <c r="GZ55" s="62">
        <f ca="1">AVERAGE(OFFSET($GY$3,0,0,'Données projet'!$E$18+1,1))-AVERAGE(OFFSET($H$3,0,0,'Données projet'!$E$18+1,1))</f>
        <v>378.51861272969165</v>
      </c>
      <c r="HA55" s="62">
        <f t="shared" si="52"/>
        <v>387.42368617035459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0</v>
      </c>
      <c r="HH55" s="23">
        <f>EXP(-LN(2)/25)*HH54+(1-EXP(-LN(2)/25))/(LN(2)/25)*Calculateur!HC55*Calculateur!HE55*VLOOKUP('Données projet'!$B$18,Paramètres!$A$1:$I$89,3,0)*0.475*44/12</f>
        <v>0</v>
      </c>
      <c r="HI55" s="23">
        <f>EXP(-LN(2)/2)*HI54+(1-EXP(-LN(2)/2))/(LN(2)/2)*HC55*HF55*VLOOKUP('Données projet'!$B$18,Paramètres!$A$1:$I$89,3,0)*0.475*44/12</f>
        <v>0</v>
      </c>
      <c r="HJ55" s="24">
        <f t="shared" si="30"/>
        <v>0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135.66666666666666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8.3000000000000007</v>
      </c>
      <c r="N56" s="14">
        <f>IF('Données projet'!$A$36&gt;35,N55+M56-V55,IF(A56&lt;'Données projet'!$A$36,$K$205^A56,IF(A56='Données projet'!$A$36,'Données projet'!$B$36,N55+M56-V55)))</f>
        <v>320.90000000000015</v>
      </c>
      <c r="O56" s="14">
        <f>N56*VLOOKUP('Données projet'!$B$9,Paramètres!$A$1:$I$89,3,0)*VLOOKUP('Données projet'!$B$9,Paramètres!$A$1:$I$89,5,0)</f>
        <v>191.89820000000009</v>
      </c>
      <c r="P56" s="14">
        <f t="shared" si="33"/>
        <v>47.95937480892843</v>
      </c>
      <c r="Q56" s="22">
        <f t="shared" si="53"/>
        <v>417.75194279221722</v>
      </c>
      <c r="R56" s="62">
        <f t="shared" si="0"/>
        <v>655.97318433281441</v>
      </c>
      <c r="S56" s="62">
        <f ca="1">AVERAGE(OFFSET($R$3,0,0,'Données projet'!$E$9+1,1))-AVERAGE(OFFSET($H$3,0,0,'Données projet'!$E$9+1,1))</f>
        <v>437.94016462147999</v>
      </c>
      <c r="T56" s="62">
        <f t="shared" si="34"/>
        <v>281.88254003380348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2.8271754422428057E-3</v>
      </c>
      <c r="AC56" s="24">
        <f t="shared" si="3"/>
        <v>2.8271754422428057E-3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182.00000000000006</v>
      </c>
      <c r="AJ56" s="14">
        <f>AI56*VLOOKUP('Données projet'!$B$10,Paramètres!$A$1:$I$89,3,0)*VLOOKUP('Données projet'!$B$10,Paramètres!$A$1:$I$89,5,0)</f>
        <v>164.67360000000005</v>
      </c>
      <c r="AK56" s="14">
        <f t="shared" si="35"/>
        <v>41.894886049197019</v>
      </c>
      <c r="AL56" s="22">
        <f t="shared" si="4"/>
        <v>359.77344653568485</v>
      </c>
      <c r="AM56" s="62">
        <f t="shared" si="5"/>
        <v>597.99468807628205</v>
      </c>
      <c r="AN56" s="62">
        <f ca="1">AVERAGE(OFFSET($AM$3,0,0,'Données projet'!$E$10+1,1))-AVERAGE(OFFSET($H$3,0,0,'Données projet'!$E$10+1,1))</f>
        <v>434.56763649859136</v>
      </c>
      <c r="AO56" s="62">
        <f t="shared" si="36"/>
        <v>271.90302066766264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1.1368683772161603E-13</v>
      </c>
      <c r="BE56" s="14">
        <f>BD56*VLOOKUP('Données projet'!$B$11,Paramètres!$A$1:$I$89,3,0)*VLOOKUP('Données projet'!$B$11,Paramètres!$A$1:$I$89,5,0)</f>
        <v>6.7984728957526396E-14</v>
      </c>
      <c r="BF56" s="14">
        <f t="shared" si="37"/>
        <v>1.0682447123141398E-12</v>
      </c>
      <c r="BG56" s="22">
        <f t="shared" si="7"/>
        <v>1.978932943548152E-12</v>
      </c>
      <c r="BH56" s="62">
        <f t="shared" si="8"/>
        <v>238.22124154059915</v>
      </c>
      <c r="BI56" s="62">
        <f ca="1">AVERAGE(OFFSET($BH$3,0,0,'Données projet'!$E$11+1,1))-AVERAGE(OFFSET($H$3,0,0,'Données projet'!$E$11+1,1))</f>
        <v>199.65420589615553</v>
      </c>
      <c r="BJ56" s="62">
        <f t="shared" si="38"/>
        <v>477.85821088970999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33.812225997566706</v>
      </c>
      <c r="BQ56" s="23">
        <f>EXP(-LN(2)/25)*BQ55+(1-EXP(-LN(2)/25))/(LN(2)/25)*Calculateur!BL56*Calculateur!BN56*VLOOKUP('Données projet'!$B$11,Paramètres!$A$1:$I$89,3,0)*0.475*44/12</f>
        <v>23.227345008650943</v>
      </c>
      <c r="BR56" s="23">
        <f>EXP(-LN(2)/2)*BR55+(1-EXP(-LN(2)/2))/(LN(2)/2)*BL56*BO56*VLOOKUP('Données projet'!$B$11,Paramètres!$A$1:$I$89,3,0)*0.475*44/12</f>
        <v>1.5042379506082854E-2</v>
      </c>
      <c r="BS56" s="24">
        <f t="shared" si="9"/>
        <v>57.054613385723734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8.3000000000000007</v>
      </c>
      <c r="BY56" s="13">
        <f>IF('Données projet'!$A$114&gt;35,BY55+BX56-CG55,IF(A56&lt;'Données projet'!$A$114,$BV$205^A56,IF(A56='Données projet'!$A$114,'Données projet'!$B$114,BY55+BX56-CG55)))</f>
        <v>320.90000000000015</v>
      </c>
      <c r="BZ56" s="14">
        <f>BY56*VLOOKUP('Données projet'!$B$12,Paramètres!$A$1:$I$89,3,0)*VLOOKUP('Données projet'!$B$12,Paramètres!$A$1:$I$89,5,0)</f>
        <v>191.89820000000009</v>
      </c>
      <c r="CA56" s="14">
        <f t="shared" si="39"/>
        <v>47.95937480892843</v>
      </c>
      <c r="CB56" s="22">
        <f t="shared" si="10"/>
        <v>417.75194279221722</v>
      </c>
      <c r="CC56" s="62">
        <f t="shared" si="11"/>
        <v>655.97318433281441</v>
      </c>
      <c r="CD56" s="62">
        <f ca="1">AVERAGE(OFFSET($CC$3,0,0,'Données projet'!$E$12+1,1))-AVERAGE(OFFSET($H$3,0,0,'Données projet'!$E$12+1,1))</f>
        <v>437.94016462147999</v>
      </c>
      <c r="CE56" s="62">
        <f t="shared" si="40"/>
        <v>281.88254003380348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2.8271754422428057E-3</v>
      </c>
      <c r="CN56" s="24">
        <f t="shared" si="12"/>
        <v>2.8271754422428057E-3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</v>
      </c>
      <c r="CT56" s="13">
        <f>IF('Données projet'!$A$140&gt;35,CT55+CS56-DB55,IF(A56&lt;'Données projet'!$A$140,$CQ$205^A56,IF(A56='Données projet'!$A$140,'Données projet'!$B$140,CT55+CS56-DB55)))</f>
        <v>182.00000000000006</v>
      </c>
      <c r="CU56" s="18">
        <f>CT56*VLOOKUP('Données projet'!$B$13,Paramètres!$A$1:$I$89,3,0)*VLOOKUP('Données projet'!$B$13,Paramètres!$A$1:$I$89,5,0)</f>
        <v>207.26160000000007</v>
      </c>
      <c r="CV56" s="14">
        <f t="shared" si="41"/>
        <v>51.3367200324452</v>
      </c>
      <c r="CW56" s="22">
        <f t="shared" si="13"/>
        <v>450.39207405650882</v>
      </c>
      <c r="CX56" s="62">
        <f t="shared" si="14"/>
        <v>688.61331559710595</v>
      </c>
      <c r="CY56" s="62">
        <f ca="1">AVERAGE(OFFSET($CX$3,0,0,'Données projet'!$E$13+1,1))-AVERAGE(OFFSET($H$3,0,0,'Données projet'!$E$13+1,1))</f>
        <v>520.23742527061836</v>
      </c>
      <c r="CZ56" s="62">
        <f t="shared" si="42"/>
        <v>321.35925479331274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10.199999999999999</v>
      </c>
      <c r="DO56" s="13">
        <f>IF('Données projet'!$A$166&gt;35,DO55+DN56-DW55,IF(A56&lt;'Données projet'!$A$166,$DL$205^A56,IF(A56='Données projet'!$A$166,'Données projet'!$B$166,DO55+DN56-DW55)))</f>
        <v>233.6</v>
      </c>
      <c r="DP56" s="18">
        <f>DO56*VLOOKUP('Données projet'!$B$14,Paramètres!$A$1:$I$89,3,0)*VLOOKUP('Données projet'!$B$14,Paramètres!$A$1:$I$89,5,0)</f>
        <v>236.87040000000002</v>
      </c>
      <c r="DQ56" s="14">
        <f t="shared" si="43"/>
        <v>57.765668276484661</v>
      </c>
      <c r="DR56" s="22">
        <f t="shared" si="16"/>
        <v>513.15781891487757</v>
      </c>
      <c r="DS56" s="62">
        <f t="shared" si="17"/>
        <v>751.3790604554747</v>
      </c>
      <c r="DT56" s="62">
        <f ca="1">AVERAGE(OFFSET($DS$3,0,0,'Données projet'!$E$14+1,1))-AVERAGE(OFFSET($H$3,0,0,'Données projet'!$E$14+1,1))</f>
        <v>547.89540791313675</v>
      </c>
      <c r="DU56" s="62">
        <f t="shared" si="44"/>
        <v>345.19555189302378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7.8</v>
      </c>
      <c r="EJ56" s="13">
        <f>IF('Données projet'!$A$192&gt;35,EJ55+EI56-ER55,IF(A56&lt;'Données projet'!$A$192,$EG$205^A56,IF(A56='Données projet'!$A$192,'Données projet'!$B$192,EJ55+EI56-ER55)))</f>
        <v>221.40000000000003</v>
      </c>
      <c r="EK56" s="18">
        <f>EJ56*VLOOKUP('Données projet'!$B$15,Paramètres!$A$1:$I$89,3,0)*VLOOKUP('Données projet'!$B$15,Paramètres!$A$1:$I$89,5,0)</f>
        <v>231.40728000000004</v>
      </c>
      <c r="EL56" s="14">
        <f t="shared" si="45"/>
        <v>56.586860257816653</v>
      </c>
      <c r="EM56" s="22">
        <f t="shared" si="19"/>
        <v>501.58979428236398</v>
      </c>
      <c r="EN56" s="62">
        <f t="shared" si="20"/>
        <v>739.81103582296112</v>
      </c>
      <c r="EO56" s="62">
        <f ca="1">AVERAGE(OFFSET($EN$3,0,0,'Données projet'!$E$15+1,1))-AVERAGE(OFFSET($H$3,0,0,'Données projet'!$E$15+1,1))</f>
        <v>418.23737352070503</v>
      </c>
      <c r="EP56" s="62">
        <f t="shared" si="46"/>
        <v>496.10742685332968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15.7</v>
      </c>
      <c r="FE56" s="13">
        <f>IF('Données projet'!$A$218&gt;35,FE55+FD56-FM55,IF(A56&lt;'Données projet'!$A$218,$FB$205^A56,IF(A56='Données projet'!$A$218,'Données projet'!$B$218,FE55+FD56-FM55)))</f>
        <v>283.10000000000008</v>
      </c>
      <c r="FF56" s="18">
        <f>FE56*VLOOKUP('Données projet'!$B$16,Paramètres!$A$1:$I$89,3,0)*VLOOKUP('Données projet'!$B$16,Paramètres!$A$1:$I$89,5,0)</f>
        <v>169.29380000000009</v>
      </c>
      <c r="FG56" s="14">
        <f t="shared" si="47"/>
        <v>42.931819978697277</v>
      </c>
      <c r="FH56" s="22">
        <f t="shared" si="22"/>
        <v>369.6262881295645</v>
      </c>
      <c r="FI56" s="62">
        <f t="shared" si="23"/>
        <v>607.84752967016163</v>
      </c>
      <c r="FJ56" s="62">
        <f ca="1">AVERAGE(OFFSET($FI$3,0,0,'Données projet'!$E$16+1,1))-AVERAGE(OFFSET($H$3,0,0,'Données projet'!$E$16+1,1))</f>
        <v>341.70983624543067</v>
      </c>
      <c r="FK56" s="62">
        <f t="shared" si="48"/>
        <v>250.82562837973805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4.2787921612619092E-3</v>
      </c>
      <c r="FT56" s="24">
        <f t="shared" si="24"/>
        <v>4.2787921612619092E-3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>
        <f>VLOOKUP(A56,'Données projet'!$A$243:$I$263,2,0)</f>
        <v>248</v>
      </c>
      <c r="FX56" s="13">
        <f>VLOOKUP(A56,'Données projet'!$A$243:$I$263,9,0)</f>
        <v>14</v>
      </c>
      <c r="FY56" s="13">
        <f t="array" ref="FY56">INDEX(FX:FX,MIN(IF(ISNUMBER(FX56:FX252),ROW(FX56:FX252),"")))</f>
        <v>14</v>
      </c>
      <c r="FZ56" s="13">
        <f>IF('Données projet'!$A$244&gt;35,FZ55+FY56-GH55,IF(A56&lt;'Données projet'!$A$244,$FW$205^A56,IF(A56='Données projet'!$A$244,'Données projet'!$B$244,FZ55+FY56-GH55)))</f>
        <v>247.99999999999977</v>
      </c>
      <c r="GA56" s="18">
        <f>FZ56*VLOOKUP('Données projet'!$B$17,Paramètres!$A$1:$I$89,3,0)*VLOOKUP('Données projet'!$B$17,Paramètres!$A$1:$I$89,5,0)</f>
        <v>116.06399999999989</v>
      </c>
      <c r="GB56" s="14">
        <f t="shared" si="49"/>
        <v>30.75521772203604</v>
      </c>
      <c r="GC56" s="22">
        <f t="shared" si="25"/>
        <v>255.7101375325459</v>
      </c>
      <c r="GD56" s="62">
        <f t="shared" si="26"/>
        <v>493.93137907314303</v>
      </c>
      <c r="GE56" s="62">
        <f ca="1">AVERAGE(OFFSET($GD$3,0,0,'Données projet'!$E$17+1,1))-AVERAGE(OFFSET($H$3,0,0,'Données projet'!$E$17+1,1))</f>
        <v>368.69628434154333</v>
      </c>
      <c r="GF56" s="62">
        <f t="shared" si="50"/>
        <v>202.28197295839524</v>
      </c>
      <c r="GG56" s="16">
        <f>IF(ISNA(VLOOKUP(A56,'Données projet'!$A$243:$I$263,3,0)),0,VLOOKUP(A56,'Données projet'!$A$243:$I$263,3,0))</f>
        <v>4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6.8</v>
      </c>
      <c r="GU56" s="13">
        <f>IF('Données projet'!$A$270&gt;35,GU55+GT56-HC55,IF(A56&lt;'Données projet'!$A$270,$GR$205^A56,IF(A56='Données projet'!$A$270,'Données projet'!$B$270,GU55+GT56-HC55)))</f>
        <v>201.4</v>
      </c>
      <c r="GV56" s="18">
        <f>GU56*VLOOKUP('Données projet'!$B$18,Paramètres!$A$1:$I$89,3,0)*VLOOKUP('Données projet'!$B$18,Paramètres!$A$1:$I$89,5,0)</f>
        <v>175.94304000000002</v>
      </c>
      <c r="GW56" s="14">
        <f t="shared" si="51"/>
        <v>44.418393276556458</v>
      </c>
      <c r="GX56" s="22">
        <f t="shared" si="28"/>
        <v>383.79616295666915</v>
      </c>
      <c r="GY56" s="62">
        <f t="shared" si="29"/>
        <v>622.01740449726628</v>
      </c>
      <c r="GZ56" s="62">
        <f ca="1">AVERAGE(OFFSET($GY$3,0,0,'Données projet'!$E$18+1,1))-AVERAGE(OFFSET($H$3,0,0,'Données projet'!$E$18+1,1))</f>
        <v>378.51861272969165</v>
      </c>
      <c r="HA56" s="62">
        <f t="shared" si="52"/>
        <v>387.42368617035459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0</v>
      </c>
      <c r="HH56" s="23">
        <f>EXP(-LN(2)/25)*HH55+(1-EXP(-LN(2)/25))/(LN(2)/25)*Calculateur!HC56*Calculateur!HE56*VLOOKUP('Données projet'!$B$18,Paramètres!$A$1:$I$89,3,0)*0.475*44/12</f>
        <v>0</v>
      </c>
      <c r="HI56" s="23">
        <f>EXP(-LN(2)/2)*HI55+(1-EXP(-LN(2)/2))/(LN(2)/2)*HC56*HF56*VLOOKUP('Données projet'!$B$18,Paramètres!$A$1:$I$89,3,0)*0.475*44/12</f>
        <v>0</v>
      </c>
      <c r="HJ56" s="24">
        <f t="shared" si="30"/>
        <v>0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135.66666666666666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8.3000000000000007</v>
      </c>
      <c r="N57" s="14">
        <f>IF('Données projet'!$A$36&gt;35,N56+M57-V56,IF(A57&lt;'Données projet'!$A$36,$K$205^A57,IF(A57='Données projet'!$A$36,'Données projet'!$B$36,N56+M57-V56)))</f>
        <v>329.20000000000016</v>
      </c>
      <c r="O57" s="14">
        <f>N57*VLOOKUP('Données projet'!$B$9,Paramètres!$A$1:$I$89,3,0)*VLOOKUP('Données projet'!$B$9,Paramètres!$A$1:$I$89,5,0)</f>
        <v>196.8616000000001</v>
      </c>
      <c r="P57" s="14">
        <f t="shared" si="33"/>
        <v>49.053808777612403</v>
      </c>
      <c r="Q57" s="22">
        <f t="shared" si="53"/>
        <v>428.30267028767508</v>
      </c>
      <c r="R57" s="62">
        <f t="shared" si="0"/>
        <v>667.47998340869754</v>
      </c>
      <c r="S57" s="62">
        <f ca="1">AVERAGE(OFFSET($R$3,0,0,'Données projet'!$E$9+1,1))-AVERAGE(OFFSET($H$3,0,0,'Données projet'!$E$9+1,1))</f>
        <v>437.94016462147999</v>
      </c>
      <c r="T57" s="62">
        <f t="shared" si="34"/>
        <v>281.88254003380348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1.9991149268139643E-3</v>
      </c>
      <c r="AC57" s="24">
        <f t="shared" si="3"/>
        <v>1.9991149268139643E-3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190.00000000000006</v>
      </c>
      <c r="AJ57" s="14">
        <f>AI57*VLOOKUP('Données projet'!$B$10,Paramètres!$A$1:$I$89,3,0)*VLOOKUP('Données projet'!$B$10,Paramètres!$A$1:$I$89,5,0)</f>
        <v>171.91200000000006</v>
      </c>
      <c r="AK57" s="14">
        <f t="shared" si="35"/>
        <v>43.51796884103733</v>
      </c>
      <c r="AL57" s="22">
        <f t="shared" si="4"/>
        <v>375.2071957314734</v>
      </c>
      <c r="AM57" s="62">
        <f t="shared" si="5"/>
        <v>614.38450885249586</v>
      </c>
      <c r="AN57" s="62">
        <f ca="1">AVERAGE(OFFSET($AM$3,0,0,'Données projet'!$E$10+1,1))-AVERAGE(OFFSET($H$3,0,0,'Données projet'!$E$10+1,1))</f>
        <v>434.56763649859136</v>
      </c>
      <c r="AO57" s="62">
        <f t="shared" si="36"/>
        <v>271.90302066766264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1.1368683772161603E-13</v>
      </c>
      <c r="BE57" s="14">
        <f>BD57*VLOOKUP('Données projet'!$B$11,Paramètres!$A$1:$I$89,3,0)*VLOOKUP('Données projet'!$B$11,Paramètres!$A$1:$I$89,5,0)</f>
        <v>6.7984728957526396E-14</v>
      </c>
      <c r="BF57" s="14">
        <f t="shared" si="37"/>
        <v>1.0682447123141398E-12</v>
      </c>
      <c r="BG57" s="22">
        <f t="shared" si="7"/>
        <v>1.978932943548152E-12</v>
      </c>
      <c r="BH57" s="62">
        <f t="shared" si="8"/>
        <v>239.17731312102438</v>
      </c>
      <c r="BI57" s="62">
        <f ca="1">AVERAGE(OFFSET($BH$3,0,0,'Données projet'!$E$11+1,1))-AVERAGE(OFFSET($H$3,0,0,'Données projet'!$E$11+1,1))</f>
        <v>199.65420589615553</v>
      </c>
      <c r="BJ57" s="62">
        <f t="shared" si="38"/>
        <v>477.85821088970999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33.149188869175887</v>
      </c>
      <c r="BQ57" s="23">
        <f>EXP(-LN(2)/25)*BQ56+(1-EXP(-LN(2)/25))/(LN(2)/25)*Calculateur!BL57*Calculateur!BN57*VLOOKUP('Données projet'!$B$11,Paramètres!$A$1:$I$89,3,0)*0.475*44/12</f>
        <v>22.592192037916394</v>
      </c>
      <c r="BR57" s="23">
        <f>EXP(-LN(2)/2)*BR56+(1-EXP(-LN(2)/2))/(LN(2)/2)*BL57*BO57*VLOOKUP('Données projet'!$B$11,Paramètres!$A$1:$I$89,3,0)*0.475*44/12</f>
        <v>1.0636568553932737E-2</v>
      </c>
      <c r="BS57" s="24">
        <f t="shared" si="9"/>
        <v>55.752017475646213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8.3000000000000007</v>
      </c>
      <c r="BY57" s="13">
        <f>IF('Données projet'!$A$114&gt;35,BY56+BX57-CG56,IF(A57&lt;'Données projet'!$A$114,$BV$205^A57,IF(A57='Données projet'!$A$114,'Données projet'!$B$114,BY56+BX57-CG56)))</f>
        <v>329.20000000000016</v>
      </c>
      <c r="BZ57" s="14">
        <f>BY57*VLOOKUP('Données projet'!$B$12,Paramètres!$A$1:$I$89,3,0)*VLOOKUP('Données projet'!$B$12,Paramètres!$A$1:$I$89,5,0)</f>
        <v>196.8616000000001</v>
      </c>
      <c r="CA57" s="14">
        <f t="shared" si="39"/>
        <v>49.053808777612403</v>
      </c>
      <c r="CB57" s="22">
        <f t="shared" si="10"/>
        <v>428.30267028767508</v>
      </c>
      <c r="CC57" s="62">
        <f t="shared" si="11"/>
        <v>667.47998340869754</v>
      </c>
      <c r="CD57" s="62">
        <f ca="1">AVERAGE(OFFSET($CC$3,0,0,'Données projet'!$E$12+1,1))-AVERAGE(OFFSET($H$3,0,0,'Données projet'!$E$12+1,1))</f>
        <v>437.94016462147999</v>
      </c>
      <c r="CE57" s="62">
        <f t="shared" si="40"/>
        <v>281.88254003380348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1.9991149268139643E-3</v>
      </c>
      <c r="CN57" s="24">
        <f t="shared" si="12"/>
        <v>1.9991149268139643E-3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</v>
      </c>
      <c r="CT57" s="13">
        <f>IF('Données projet'!$A$140&gt;35,CT56+CS57-DB56,IF(A57&lt;'Données projet'!$A$140,$CQ$205^A57,IF(A57='Données projet'!$A$140,'Données projet'!$B$140,CT56+CS57-DB56)))</f>
        <v>190.00000000000006</v>
      </c>
      <c r="CU57" s="18">
        <f>CT57*VLOOKUP('Données projet'!$B$13,Paramètres!$A$1:$I$89,3,0)*VLOOKUP('Données projet'!$B$13,Paramètres!$A$1:$I$89,5,0)</f>
        <v>216.37200000000007</v>
      </c>
      <c r="CV57" s="14">
        <f t="shared" si="41"/>
        <v>53.325596354398634</v>
      </c>
      <c r="CW57" s="22">
        <f t="shared" si="13"/>
        <v>469.72331365057767</v>
      </c>
      <c r="CX57" s="62">
        <f t="shared" si="14"/>
        <v>708.90062677160006</v>
      </c>
      <c r="CY57" s="62">
        <f ca="1">AVERAGE(OFFSET($CX$3,0,0,'Données projet'!$E$13+1,1))-AVERAGE(OFFSET($H$3,0,0,'Données projet'!$E$13+1,1))</f>
        <v>520.23742527061836</v>
      </c>
      <c r="CZ57" s="62">
        <f t="shared" si="42"/>
        <v>321.35925479331274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10.199999999999999</v>
      </c>
      <c r="DO57" s="13">
        <f>IF('Données projet'!$A$166&gt;35,DO56+DN57-DW56,IF(A57&lt;'Données projet'!$A$166,$DL$205^A57,IF(A57='Données projet'!$A$166,'Données projet'!$B$166,DO56+DN57-DW56)))</f>
        <v>243.79999999999998</v>
      </c>
      <c r="DP57" s="18">
        <f>DO57*VLOOKUP('Données projet'!$B$14,Paramètres!$A$1:$I$89,3,0)*VLOOKUP('Données projet'!$B$14,Paramètres!$A$1:$I$89,5,0)</f>
        <v>247.2132</v>
      </c>
      <c r="DQ57" s="14">
        <f t="shared" si="43"/>
        <v>59.988800807398761</v>
      </c>
      <c r="DR57" s="22">
        <f t="shared" si="16"/>
        <v>535.04348473955281</v>
      </c>
      <c r="DS57" s="62">
        <f t="shared" si="17"/>
        <v>774.2207978605752</v>
      </c>
      <c r="DT57" s="62">
        <f ca="1">AVERAGE(OFFSET($DS$3,0,0,'Données projet'!$E$14+1,1))-AVERAGE(OFFSET($H$3,0,0,'Données projet'!$E$14+1,1))</f>
        <v>547.89540791313675</v>
      </c>
      <c r="DU57" s="62">
        <f t="shared" si="44"/>
        <v>345.19555189302378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7.8</v>
      </c>
      <c r="EJ57" s="13">
        <f>IF('Données projet'!$A$192&gt;35,EJ56+EI57-ER56,IF(A57&lt;'Données projet'!$A$192,$EG$205^A57,IF(A57='Données projet'!$A$192,'Données projet'!$B$192,EJ56+EI57-ER56)))</f>
        <v>229.20000000000005</v>
      </c>
      <c r="EK57" s="18">
        <f>EJ57*VLOOKUP('Données projet'!$B$15,Paramètres!$A$1:$I$89,3,0)*VLOOKUP('Données projet'!$B$15,Paramètres!$A$1:$I$89,5,0)</f>
        <v>239.55984000000009</v>
      </c>
      <c r="EL57" s="14">
        <f t="shared" si="45"/>
        <v>58.344817798678484</v>
      </c>
      <c r="EM57" s="22">
        <f t="shared" si="19"/>
        <v>518.85061233269846</v>
      </c>
      <c r="EN57" s="62">
        <f t="shared" si="20"/>
        <v>758.02792545372085</v>
      </c>
      <c r="EO57" s="62">
        <f ca="1">AVERAGE(OFFSET($EN$3,0,0,'Données projet'!$E$15+1,1))-AVERAGE(OFFSET($H$3,0,0,'Données projet'!$E$15+1,1))</f>
        <v>418.23737352070503</v>
      </c>
      <c r="EP57" s="62">
        <f t="shared" si="46"/>
        <v>496.10742685332968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15.7</v>
      </c>
      <c r="FE57" s="13">
        <f>IF('Données projet'!$A$218&gt;35,FE56+FD57-FM56,IF(A57&lt;'Données projet'!$A$218,$FB$205^A57,IF(A57='Données projet'!$A$218,'Données projet'!$B$218,FE56+FD57-FM56)))</f>
        <v>298.80000000000007</v>
      </c>
      <c r="FF57" s="18">
        <f>FE57*VLOOKUP('Données projet'!$B$16,Paramètres!$A$1:$I$89,3,0)*VLOOKUP('Données projet'!$B$16,Paramètres!$A$1:$I$89,5,0)</f>
        <v>178.68240000000006</v>
      </c>
      <c r="FG57" s="14">
        <f t="shared" si="47"/>
        <v>45.028919214980071</v>
      </c>
      <c r="FH57" s="22">
        <f t="shared" si="22"/>
        <v>389.63054763275704</v>
      </c>
      <c r="FI57" s="62">
        <f t="shared" si="23"/>
        <v>628.80786075377944</v>
      </c>
      <c r="FJ57" s="62">
        <f ca="1">AVERAGE(OFFSET($FI$3,0,0,'Données projet'!$E$16+1,1))-AVERAGE(OFFSET($H$3,0,0,'Données projet'!$E$16+1,1))</f>
        <v>341.70983624543067</v>
      </c>
      <c r="FK57" s="62">
        <f t="shared" si="48"/>
        <v>250.82562837973805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3.0255629525161396E-3</v>
      </c>
      <c r="FT57" s="24">
        <f t="shared" si="24"/>
        <v>3.0255629525161396E-3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12.5</v>
      </c>
      <c r="FZ57" s="13">
        <f>IF('Données projet'!$A$244&gt;35,FZ56+FY57-GH56,IF(A57&lt;'Données projet'!$A$244,$FW$205^A57,IF(A57='Données projet'!$A$244,'Données projet'!$B$244,FZ56+FY57-GH56)))</f>
        <v>260.49999999999977</v>
      </c>
      <c r="GA57" s="18">
        <f>FZ57*VLOOKUP('Données projet'!$B$17,Paramètres!$A$1:$I$89,3,0)*VLOOKUP('Données projet'!$B$17,Paramètres!$A$1:$I$89,5,0)</f>
        <v>121.91399999999989</v>
      </c>
      <c r="GB57" s="14">
        <f t="shared" si="49"/>
        <v>32.120996404712088</v>
      </c>
      <c r="GC57" s="22">
        <f t="shared" si="25"/>
        <v>268.27761873820668</v>
      </c>
      <c r="GD57" s="62">
        <f t="shared" si="26"/>
        <v>507.45493185922908</v>
      </c>
      <c r="GE57" s="62">
        <f ca="1">AVERAGE(OFFSET($GD$3,0,0,'Données projet'!$E$17+1,1))-AVERAGE(OFFSET($H$3,0,0,'Données projet'!$E$17+1,1))</f>
        <v>368.69628434154333</v>
      </c>
      <c r="GF57" s="62">
        <f t="shared" si="50"/>
        <v>202.28197295839524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6.8</v>
      </c>
      <c r="GU57" s="13">
        <f>IF('Données projet'!$A$270&gt;35,GU56+GT57-HC56,IF(A57&lt;'Données projet'!$A$270,$GR$205^A57,IF(A57='Données projet'!$A$270,'Données projet'!$B$270,GU56+GT57-HC56)))</f>
        <v>208.20000000000002</v>
      </c>
      <c r="GV57" s="18">
        <f>GU57*VLOOKUP('Données projet'!$B$18,Paramètres!$A$1:$I$89,3,0)*VLOOKUP('Données projet'!$B$18,Paramètres!$A$1:$I$89,5,0)</f>
        <v>181.88352000000006</v>
      </c>
      <c r="GW57" s="14">
        <f t="shared" si="51"/>
        <v>45.74098045051349</v>
      </c>
      <c r="GX57" s="22">
        <f t="shared" si="28"/>
        <v>396.44600495131112</v>
      </c>
      <c r="GY57" s="62">
        <f t="shared" si="29"/>
        <v>635.62331807233352</v>
      </c>
      <c r="GZ57" s="62">
        <f ca="1">AVERAGE(OFFSET($GY$3,0,0,'Données projet'!$E$18+1,1))-AVERAGE(OFFSET($H$3,0,0,'Données projet'!$E$18+1,1))</f>
        <v>378.51861272969165</v>
      </c>
      <c r="HA57" s="62">
        <f t="shared" si="52"/>
        <v>387.42368617035459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0</v>
      </c>
      <c r="HH57" s="23">
        <f>EXP(-LN(2)/25)*HH56+(1-EXP(-LN(2)/25))/(LN(2)/25)*Calculateur!HC57*Calculateur!HE57*VLOOKUP('Données projet'!$B$18,Paramètres!$A$1:$I$89,3,0)*0.475*44/12</f>
        <v>0</v>
      </c>
      <c r="HI57" s="23">
        <f>EXP(-LN(2)/2)*HI56+(1-EXP(-LN(2)/2))/(LN(2)/2)*HC57*HF57*VLOOKUP('Données projet'!$B$18,Paramètres!$A$1:$I$89,3,0)*0.475*44/12</f>
        <v>0</v>
      </c>
      <c r="HJ57" s="24">
        <f t="shared" si="30"/>
        <v>0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135.66666666666666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8.3000000000000007</v>
      </c>
      <c r="N58" s="14">
        <f>IF('Données projet'!$A$36&gt;35,N57+M58-V57,IF(A58&lt;'Données projet'!$A$36,$K$205^A58,IF(A58='Données projet'!$A$36,'Données projet'!$B$36,N57+M58-V57)))</f>
        <v>337.50000000000017</v>
      </c>
      <c r="O58" s="14">
        <f>N58*VLOOKUP('Données projet'!$B$9,Paramètres!$A$1:$I$89,3,0)*VLOOKUP('Données projet'!$B$9,Paramètres!$A$1:$I$89,5,0)</f>
        <v>201.82500000000013</v>
      </c>
      <c r="P58" s="14">
        <f t="shared" si="33"/>
        <v>50.145035204519765</v>
      </c>
      <c r="Q58" s="22">
        <f t="shared" si="53"/>
        <v>438.84781131453877</v>
      </c>
      <c r="R58" s="62">
        <f t="shared" si="0"/>
        <v>678.96461031152194</v>
      </c>
      <c r="S58" s="62">
        <f ca="1">AVERAGE(OFFSET($R$3,0,0,'Données projet'!$E$9+1,1))-AVERAGE(OFFSET($H$3,0,0,'Données projet'!$E$9+1,1))</f>
        <v>437.94016462147999</v>
      </c>
      <c r="T58" s="62">
        <f t="shared" si="34"/>
        <v>281.88254003380348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1.4135877211214028E-3</v>
      </c>
      <c r="AC58" s="24">
        <f t="shared" si="3"/>
        <v>1.4135877211214028E-3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198.00000000000006</v>
      </c>
      <c r="AJ58" s="14">
        <f>AI58*VLOOKUP('Données projet'!$B$10,Paramètres!$A$1:$I$89,3,0)*VLOOKUP('Données projet'!$B$10,Paramètres!$A$1:$I$89,5,0)</f>
        <v>179.15040000000005</v>
      </c>
      <c r="AK58" s="14">
        <f t="shared" si="35"/>
        <v>45.133113803437347</v>
      </c>
      <c r="AL58" s="22">
        <f t="shared" si="4"/>
        <v>390.62711987432004</v>
      </c>
      <c r="AM58" s="62">
        <f t="shared" si="5"/>
        <v>630.74391887130321</v>
      </c>
      <c r="AN58" s="62">
        <f ca="1">AVERAGE(OFFSET($AM$3,0,0,'Données projet'!$E$10+1,1))-AVERAGE(OFFSET($H$3,0,0,'Données projet'!$E$10+1,1))</f>
        <v>434.56763649859136</v>
      </c>
      <c r="AO58" s="62">
        <f t="shared" si="36"/>
        <v>271.90302066766264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1.1368683772161603E-13</v>
      </c>
      <c r="BE58" s="14">
        <f>BD58*VLOOKUP('Données projet'!$B$11,Paramètres!$A$1:$I$89,3,0)*VLOOKUP('Données projet'!$B$11,Paramètres!$A$1:$I$89,5,0)</f>
        <v>6.7984728957526396E-14</v>
      </c>
      <c r="BF58" s="14">
        <f t="shared" si="37"/>
        <v>1.0682447123141398E-12</v>
      </c>
      <c r="BG58" s="22">
        <f t="shared" si="7"/>
        <v>1.978932943548152E-12</v>
      </c>
      <c r="BH58" s="62">
        <f t="shared" si="8"/>
        <v>240.11679899698512</v>
      </c>
      <c r="BI58" s="62">
        <f ca="1">AVERAGE(OFFSET($BH$3,0,0,'Données projet'!$E$11+1,1))-AVERAGE(OFFSET($H$3,0,0,'Données projet'!$E$11+1,1))</f>
        <v>199.65420589615553</v>
      </c>
      <c r="BJ58" s="62">
        <f t="shared" si="38"/>
        <v>477.85821088970999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32.499153494460096</v>
      </c>
      <c r="BQ58" s="23">
        <f>EXP(-LN(2)/25)*BQ57+(1-EXP(-LN(2)/25))/(LN(2)/25)*Calculateur!BL58*Calculateur!BN58*VLOOKUP('Données projet'!$B$11,Paramètres!$A$1:$I$89,3,0)*0.475*44/12</f>
        <v>21.974407358567827</v>
      </c>
      <c r="BR58" s="23">
        <f>EXP(-LN(2)/2)*BR57+(1-EXP(-LN(2)/2))/(LN(2)/2)*BL58*BO58*VLOOKUP('Données projet'!$B$11,Paramètres!$A$1:$I$89,3,0)*0.475*44/12</f>
        <v>7.5211897530414289E-3</v>
      </c>
      <c r="BS58" s="24">
        <f t="shared" si="9"/>
        <v>54.481082042780962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8.3000000000000007</v>
      </c>
      <c r="BY58" s="13">
        <f>IF('Données projet'!$A$114&gt;35,BY57+BX58-CG57,IF(A58&lt;'Données projet'!$A$114,$BV$205^A58,IF(A58='Données projet'!$A$114,'Données projet'!$B$114,BY57+BX58-CG57)))</f>
        <v>337.50000000000017</v>
      </c>
      <c r="BZ58" s="14">
        <f>BY58*VLOOKUP('Données projet'!$B$12,Paramètres!$A$1:$I$89,3,0)*VLOOKUP('Données projet'!$B$12,Paramètres!$A$1:$I$89,5,0)</f>
        <v>201.82500000000013</v>
      </c>
      <c r="CA58" s="14">
        <f t="shared" si="39"/>
        <v>50.145035204519765</v>
      </c>
      <c r="CB58" s="22">
        <f t="shared" si="10"/>
        <v>438.84781131453877</v>
      </c>
      <c r="CC58" s="62">
        <f t="shared" si="11"/>
        <v>678.96461031152194</v>
      </c>
      <c r="CD58" s="62">
        <f ca="1">AVERAGE(OFFSET($CC$3,0,0,'Données projet'!$E$12+1,1))-AVERAGE(OFFSET($H$3,0,0,'Données projet'!$E$12+1,1))</f>
        <v>437.94016462147999</v>
      </c>
      <c r="CE58" s="62">
        <f t="shared" si="40"/>
        <v>281.88254003380348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1.4135877211214028E-3</v>
      </c>
      <c r="CN58" s="24">
        <f t="shared" si="12"/>
        <v>1.4135877211214028E-3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198</v>
      </c>
      <c r="CR58" s="13">
        <f>VLOOKUP(A58,'Données projet'!$A$139:$I$159,9,0)</f>
        <v>8</v>
      </c>
      <c r="CS58" s="13">
        <f t="array" ref="CS58">INDEX(CR:CR,MIN(IF(ISNUMBER(CR58:CR254),ROW(CR58:CR254),"")))</f>
        <v>8</v>
      </c>
      <c r="CT58" s="13">
        <f>IF('Données projet'!$A$140&gt;35,CT57+CS58-DB57,IF(A58&lt;'Données projet'!$A$140,$CQ$205^A58,IF(A58='Données projet'!$A$140,'Données projet'!$B$140,CT57+CS58-DB57)))</f>
        <v>198.00000000000006</v>
      </c>
      <c r="CU58" s="18">
        <f>CT58*VLOOKUP('Données projet'!$B$13,Paramètres!$A$1:$I$89,3,0)*VLOOKUP('Données projet'!$B$13,Paramètres!$A$1:$I$89,5,0)</f>
        <v>225.4824000000001</v>
      </c>
      <c r="CV58" s="14">
        <f t="shared" si="41"/>
        <v>55.304745901414421</v>
      </c>
      <c r="CW58" s="22">
        <f t="shared" si="13"/>
        <v>489.03761244496371</v>
      </c>
      <c r="CX58" s="62">
        <f t="shared" si="14"/>
        <v>729.15441144194688</v>
      </c>
      <c r="CY58" s="62">
        <f ca="1">AVERAGE(OFFSET($CX$3,0,0,'Données projet'!$E$13+1,1))-AVERAGE(OFFSET($H$3,0,0,'Données projet'!$E$13+1,1))</f>
        <v>520.23742527061836</v>
      </c>
      <c r="CZ58" s="62">
        <f t="shared" si="42"/>
        <v>321.35925479331274</v>
      </c>
      <c r="DA58" s="16">
        <f>IF(ISNA(VLOOKUP(A58,'Données projet'!$A$139:$I$159,3,0)),0,VLOOKUP(A58,'Données projet'!$A$139:$I$159,3,0))</f>
        <v>7</v>
      </c>
      <c r="DB58" s="16">
        <f>IF(ISNA(VLOOKUP(A58,'Données projet'!$A$139:$I$159,4,0)),0,VLOOKUP(A58,'Données projet'!$A$139:$I$159,4,0))</f>
        <v>21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254</v>
      </c>
      <c r="DM58" s="13">
        <f>VLOOKUP(A58,'Données projet'!$A$165:$I$185,9,0)</f>
        <v>10.199999999999999</v>
      </c>
      <c r="DN58" s="13">
        <f t="array" ref="DN58">INDEX(DM:DM,MIN(IF(ISNUMBER(DM58:DM254),ROW(DM58:DM254),"")))</f>
        <v>10.199999999999999</v>
      </c>
      <c r="DO58" s="13">
        <f>IF('Données projet'!$A$166&gt;35,DO57+DN58-DW57,IF(A58&lt;'Données projet'!$A$166,$DL$205^A58,IF(A58='Données projet'!$A$166,'Données projet'!$B$166,DO57+DN58-DW57)))</f>
        <v>253.99999999999997</v>
      </c>
      <c r="DP58" s="18">
        <f>DO58*VLOOKUP('Données projet'!$B$14,Paramètres!$A$1:$I$89,3,0)*VLOOKUP('Données projet'!$B$14,Paramètres!$A$1:$I$89,5,0)</f>
        <v>257.55599999999998</v>
      </c>
      <c r="DQ58" s="14">
        <f t="shared" si="43"/>
        <v>62.201129910568184</v>
      </c>
      <c r="DR58" s="22">
        <f t="shared" si="16"/>
        <v>556.91033459423954</v>
      </c>
      <c r="DS58" s="62">
        <f t="shared" si="17"/>
        <v>797.02713359122265</v>
      </c>
      <c r="DT58" s="62">
        <f ca="1">AVERAGE(OFFSET($DS$3,0,0,'Données projet'!$E$14+1,1))-AVERAGE(OFFSET($H$3,0,0,'Données projet'!$E$14+1,1))</f>
        <v>547.89540791313675</v>
      </c>
      <c r="DU58" s="62">
        <f t="shared" si="44"/>
        <v>345.19555189302378</v>
      </c>
      <c r="DV58" s="16">
        <f>IF(ISNA(VLOOKUP(A58,'Données projet'!$A$165:$I$185,3,0)),0,VLOOKUP(A58,'Données projet'!$A$165:$I$185,3,0))</f>
        <v>8</v>
      </c>
      <c r="DW58" s="16">
        <f>IF(ISNA(VLOOKUP(A58,'Données projet'!$A$165:$I$185,4,0)),0,VLOOKUP(A58,'Données projet'!$A$165:$I$185,4,0))</f>
        <v>28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237</v>
      </c>
      <c r="EH58" s="13">
        <f>VLOOKUP(A58,'Données projet'!$A$191:$I$211,9,0)</f>
        <v>7.8</v>
      </c>
      <c r="EI58" s="13">
        <f t="array" ref="EI58">INDEX(EH:EH,MIN(IF(ISNUMBER(EH58:EH254),ROW(EH58:EH254),"")))</f>
        <v>7.8</v>
      </c>
      <c r="EJ58" s="13">
        <f>IF('Données projet'!$A$192&gt;35,EJ57+EI58-ER57,IF(A58&lt;'Données projet'!$A$192,$EG$205^A58,IF(A58='Données projet'!$A$192,'Données projet'!$B$192,EJ57+EI58-ER57)))</f>
        <v>237.00000000000006</v>
      </c>
      <c r="EK58" s="18">
        <f>EJ58*VLOOKUP('Données projet'!$B$15,Paramètres!$A$1:$I$89,3,0)*VLOOKUP('Données projet'!$B$15,Paramètres!$A$1:$I$89,5,0)</f>
        <v>247.71240000000009</v>
      </c>
      <c r="EL58" s="14">
        <f t="shared" si="45"/>
        <v>60.095823975624157</v>
      </c>
      <c r="EM58" s="22">
        <f t="shared" si="19"/>
        <v>536.09932342421223</v>
      </c>
      <c r="EN58" s="62">
        <f t="shared" si="20"/>
        <v>776.21612242119534</v>
      </c>
      <c r="EO58" s="62">
        <f ca="1">AVERAGE(OFFSET($EN$3,0,0,'Données projet'!$E$15+1,1))-AVERAGE(OFFSET($H$3,0,0,'Données projet'!$E$15+1,1))</f>
        <v>418.23737352070503</v>
      </c>
      <c r="EP58" s="62">
        <f t="shared" si="46"/>
        <v>496.10742685332968</v>
      </c>
      <c r="EQ58" s="16">
        <f>IF(ISNA(VLOOKUP(A58,'Données projet'!$A$191:$I$211,3,0)),0,VLOOKUP(A58,'Données projet'!$A$191:$I$211,3,0))</f>
        <v>9</v>
      </c>
      <c r="ER58" s="16">
        <f>IF(ISNA(VLOOKUP(A58,'Données projet'!$A$191:$I$211,4,0)),0,VLOOKUP(A58,'Données projet'!$A$191:$I$211,4,0))</f>
        <v>29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15.7</v>
      </c>
      <c r="FE58" s="13">
        <f>IF('Données projet'!$A$218&gt;35,FE57+FD58-FM57,IF(A58&lt;'Données projet'!$A$218,$FB$205^A58,IF(A58='Données projet'!$A$218,'Données projet'!$B$218,FE57+FD58-FM57)))</f>
        <v>314.50000000000006</v>
      </c>
      <c r="FF58" s="18">
        <f>FE58*VLOOKUP('Données projet'!$B$16,Paramètres!$A$1:$I$89,3,0)*VLOOKUP('Données projet'!$B$16,Paramètres!$A$1:$I$89,5,0)</f>
        <v>188.07100000000005</v>
      </c>
      <c r="FG58" s="14">
        <f t="shared" si="47"/>
        <v>47.113225385753083</v>
      </c>
      <c r="FH58" s="22">
        <f t="shared" si="22"/>
        <v>409.61252588018669</v>
      </c>
      <c r="FI58" s="62">
        <f t="shared" si="23"/>
        <v>649.7293248771698</v>
      </c>
      <c r="FJ58" s="62">
        <f ca="1">AVERAGE(OFFSET($FI$3,0,0,'Données projet'!$E$16+1,1))-AVERAGE(OFFSET($H$3,0,0,'Données projet'!$E$16+1,1))</f>
        <v>341.70983624543067</v>
      </c>
      <c r="FK58" s="62">
        <f t="shared" si="48"/>
        <v>250.82562837973805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2.1393960806309546E-3</v>
      </c>
      <c r="FT58" s="24">
        <f t="shared" si="24"/>
        <v>2.1393960806309546E-3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12.5</v>
      </c>
      <c r="FZ58" s="13">
        <f>IF('Données projet'!$A$244&gt;35,FZ57+FY58-GH57,IF(A58&lt;'Données projet'!$A$244,$FW$205^A58,IF(A58='Données projet'!$A$244,'Données projet'!$B$244,FZ57+FY58-GH57)))</f>
        <v>272.99999999999977</v>
      </c>
      <c r="GA58" s="18">
        <f>FZ58*VLOOKUP('Données projet'!$B$17,Paramètres!$A$1:$I$89,3,0)*VLOOKUP('Données projet'!$B$17,Paramètres!$A$1:$I$89,5,0)</f>
        <v>127.7639999999999</v>
      </c>
      <c r="GB58" s="14">
        <f t="shared" si="49"/>
        <v>33.479164830670015</v>
      </c>
      <c r="GC58" s="22">
        <f t="shared" si="25"/>
        <v>280.83184541341677</v>
      </c>
      <c r="GD58" s="62">
        <f t="shared" si="26"/>
        <v>520.94864441039988</v>
      </c>
      <c r="GE58" s="62">
        <f ca="1">AVERAGE(OFFSET($GD$3,0,0,'Données projet'!$E$17+1,1))-AVERAGE(OFFSET($H$3,0,0,'Données projet'!$E$17+1,1))</f>
        <v>368.69628434154333</v>
      </c>
      <c r="GF58" s="62">
        <f t="shared" si="50"/>
        <v>202.28197295839524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>
        <f>VLOOKUP(A58,'Données projet'!$A$269:$I$289,2,0)</f>
        <v>215</v>
      </c>
      <c r="GS58" s="13">
        <f>VLOOKUP(A58,'Données projet'!$A$269:$I$289,9,0)</f>
        <v>6.8</v>
      </c>
      <c r="GT58" s="13">
        <f t="array" ref="GT58">INDEX(GS:GS,MIN(IF(ISNUMBER(GS58:GS254),ROW(GS58:GS254),"")))</f>
        <v>6.8</v>
      </c>
      <c r="GU58" s="13">
        <f>IF('Données projet'!$A$270&gt;35,GU57+GT58-HC57,IF(A58&lt;'Données projet'!$A$270,$GR$205^A58,IF(A58='Données projet'!$A$270,'Données projet'!$B$270,GU57+GT58-HC57)))</f>
        <v>215.00000000000003</v>
      </c>
      <c r="GV58" s="18">
        <f>GU58*VLOOKUP('Données projet'!$B$18,Paramètres!$A$1:$I$89,3,0)*VLOOKUP('Données projet'!$B$18,Paramètres!$A$1:$I$89,5,0)</f>
        <v>187.82400000000007</v>
      </c>
      <c r="GW58" s="14">
        <f t="shared" si="51"/>
        <v>47.05854810918273</v>
      </c>
      <c r="GX58" s="22">
        <f t="shared" si="28"/>
        <v>409.08710462349336</v>
      </c>
      <c r="GY58" s="62">
        <f t="shared" si="29"/>
        <v>649.20390362047647</v>
      </c>
      <c r="GZ58" s="62">
        <f ca="1">AVERAGE(OFFSET($GY$3,0,0,'Données projet'!$E$18+1,1))-AVERAGE(OFFSET($H$3,0,0,'Données projet'!$E$18+1,1))</f>
        <v>378.51861272969165</v>
      </c>
      <c r="HA58" s="62">
        <f t="shared" si="52"/>
        <v>387.42368617035459</v>
      </c>
      <c r="HB58" s="16">
        <f>IF(ISNA(VLOOKUP(A58,'Données projet'!$A$269:$I$289,3,0)),0,VLOOKUP(A58,'Données projet'!$A$269:$I$289,3,0))</f>
        <v>8</v>
      </c>
      <c r="HC58" s="16">
        <f>IF(ISNA(VLOOKUP(A58,'Données projet'!$A$269:$I$289,4,0)),0,VLOOKUP(A58,'Données projet'!$A$269:$I$289,4,0))</f>
        <v>25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0</v>
      </c>
      <c r="HH58" s="23">
        <f>EXP(-LN(2)/25)*HH57+(1-EXP(-LN(2)/25))/(LN(2)/25)*Calculateur!HC58*Calculateur!HE58*VLOOKUP('Données projet'!$B$18,Paramètres!$A$1:$I$89,3,0)*0.475*44/12</f>
        <v>0</v>
      </c>
      <c r="HI58" s="23">
        <f>EXP(-LN(2)/2)*HI57+(1-EXP(-LN(2)/2))/(LN(2)/2)*HC58*HF58*VLOOKUP('Données projet'!$B$18,Paramètres!$A$1:$I$89,3,0)*0.475*44/12</f>
        <v>0</v>
      </c>
      <c r="HJ58" s="24">
        <f t="shared" si="30"/>
        <v>0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135.66666666666666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8.3000000000000007</v>
      </c>
      <c r="N59" s="14">
        <f>IF('Données projet'!$A$36&gt;35,N58+M59-V58,IF(A59&lt;'Données projet'!$A$36,$K$205^A59,IF(A59='Données projet'!$A$36,'Données projet'!$B$36,N58+M59-V58)))</f>
        <v>345.80000000000018</v>
      </c>
      <c r="O59" s="14">
        <f>N59*VLOOKUP('Données projet'!$B$9,Paramètres!$A$1:$I$89,3,0)*VLOOKUP('Données projet'!$B$9,Paramètres!$A$1:$I$89,5,0)</f>
        <v>206.78840000000014</v>
      </c>
      <c r="P59" s="14">
        <f t="shared" si="33"/>
        <v>51.233142045264508</v>
      </c>
      <c r="Q59" s="22">
        <f t="shared" si="53"/>
        <v>449.38751906216925</v>
      </c>
      <c r="R59" s="62">
        <f t="shared" si="0"/>
        <v>690.42750595554094</v>
      </c>
      <c r="S59" s="62">
        <f ca="1">AVERAGE(OFFSET($R$3,0,0,'Données projet'!$E$9+1,1))-AVERAGE(OFFSET($H$3,0,0,'Données projet'!$E$9+1,1))</f>
        <v>437.94016462147999</v>
      </c>
      <c r="T59" s="62">
        <f t="shared" si="34"/>
        <v>281.88254003380348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9.9955746340698215E-4</v>
      </c>
      <c r="AC59" s="24">
        <f t="shared" si="3"/>
        <v>9.9955746340698215E-4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7.4</v>
      </c>
      <c r="AI59" s="14">
        <f>IF('Données projet'!$A$62&gt;35,AI58+AH59-AQ58,IF(A59&lt;'Données projet'!$A$62,$AF$205^A59,IF(A59='Données projet'!$A$62,'Données projet'!$B$62,AI58+AH59-AQ58)))</f>
        <v>184.40000000000006</v>
      </c>
      <c r="AJ59" s="14">
        <f>AI59*VLOOKUP('Données projet'!$B$10,Paramètres!$A$1:$I$89,3,0)*VLOOKUP('Données projet'!$B$10,Paramètres!$A$1:$I$89,5,0)</f>
        <v>166.84512000000004</v>
      </c>
      <c r="AK59" s="14">
        <f t="shared" si="35"/>
        <v>42.382666918050084</v>
      </c>
      <c r="AL59" s="22">
        <f t="shared" si="4"/>
        <v>364.40506221560395</v>
      </c>
      <c r="AM59" s="62">
        <f t="shared" si="5"/>
        <v>605.44504910897558</v>
      </c>
      <c r="AN59" s="62">
        <f ca="1">AVERAGE(OFFSET($AM$3,0,0,'Données projet'!$E$10+1,1))-AVERAGE(OFFSET($H$3,0,0,'Données projet'!$E$10+1,1))</f>
        <v>434.56763649859136</v>
      </c>
      <c r="AO59" s="62">
        <f t="shared" si="36"/>
        <v>271.90302066766264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1.1368683772161603E-13</v>
      </c>
      <c r="BE59" s="14">
        <f>BD59*VLOOKUP('Données projet'!$B$11,Paramètres!$A$1:$I$89,3,0)*VLOOKUP('Données projet'!$B$11,Paramètres!$A$1:$I$89,5,0)</f>
        <v>6.7984728957526396E-14</v>
      </c>
      <c r="BF59" s="14">
        <f t="shared" si="37"/>
        <v>1.0682447123141398E-12</v>
      </c>
      <c r="BG59" s="22">
        <f t="shared" si="7"/>
        <v>1.978932943548152E-12</v>
      </c>
      <c r="BH59" s="62">
        <f t="shared" si="8"/>
        <v>241.03998689337362</v>
      </c>
      <c r="BI59" s="62">
        <f ca="1">AVERAGE(OFFSET($BH$3,0,0,'Données projet'!$E$11+1,1))-AVERAGE(OFFSET($H$3,0,0,'Données projet'!$E$11+1,1))</f>
        <v>199.65420589615553</v>
      </c>
      <c r="BJ59" s="62">
        <f t="shared" si="38"/>
        <v>477.85821088970999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31.861864916960052</v>
      </c>
      <c r="BQ59" s="23">
        <f>EXP(-LN(2)/25)*BQ58+(1-EXP(-LN(2)/25))/(LN(2)/25)*Calculateur!BL59*Calculateur!BN59*VLOOKUP('Données projet'!$B$11,Paramètres!$A$1:$I$89,3,0)*0.475*44/12</f>
        <v>21.373516033763931</v>
      </c>
      <c r="BR59" s="23">
        <f>EXP(-LN(2)/2)*BR58+(1-EXP(-LN(2)/2))/(LN(2)/2)*BL59*BO59*VLOOKUP('Données projet'!$B$11,Paramètres!$A$1:$I$89,3,0)*0.475*44/12</f>
        <v>5.3182842769663695E-3</v>
      </c>
      <c r="BS59" s="24">
        <f t="shared" si="9"/>
        <v>53.240699235000946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8.3000000000000007</v>
      </c>
      <c r="BY59" s="13">
        <f>IF('Données projet'!$A$114&gt;35,BY58+BX59-CG58,IF(A59&lt;'Données projet'!$A$114,$BV$205^A59,IF(A59='Données projet'!$A$114,'Données projet'!$B$114,BY58+BX59-CG58)))</f>
        <v>345.80000000000018</v>
      </c>
      <c r="BZ59" s="14">
        <f>BY59*VLOOKUP('Données projet'!$B$12,Paramètres!$A$1:$I$89,3,0)*VLOOKUP('Données projet'!$B$12,Paramètres!$A$1:$I$89,5,0)</f>
        <v>206.78840000000014</v>
      </c>
      <c r="CA59" s="14">
        <f t="shared" si="39"/>
        <v>51.233142045264508</v>
      </c>
      <c r="CB59" s="22">
        <f t="shared" si="10"/>
        <v>449.38751906216925</v>
      </c>
      <c r="CC59" s="62">
        <f t="shared" si="11"/>
        <v>690.42750595554094</v>
      </c>
      <c r="CD59" s="62">
        <f ca="1">AVERAGE(OFFSET($CC$3,0,0,'Données projet'!$E$12+1,1))-AVERAGE(OFFSET($H$3,0,0,'Données projet'!$E$12+1,1))</f>
        <v>437.94016462147999</v>
      </c>
      <c r="CE59" s="62">
        <f t="shared" si="40"/>
        <v>281.88254003380348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9.9955746340698215E-4</v>
      </c>
      <c r="CN59" s="24">
        <f t="shared" si="12"/>
        <v>9.9955746340698215E-4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7.4</v>
      </c>
      <c r="CT59" s="13">
        <f>IF('Données projet'!$A$140&gt;35,CT58+CS59-DB58,IF(A59&lt;'Données projet'!$A$140,$CQ$205^A59,IF(A59='Données projet'!$A$140,'Données projet'!$B$140,CT58+CS59-DB58)))</f>
        <v>184.40000000000006</v>
      </c>
      <c r="CU59" s="18">
        <f>CT59*VLOOKUP('Données projet'!$B$13,Paramètres!$A$1:$I$89,3,0)*VLOOKUP('Données projet'!$B$13,Paramètres!$A$1:$I$89,5,0)</f>
        <v>209.99472000000009</v>
      </c>
      <c r="CV59" s="14">
        <f t="shared" si="41"/>
        <v>51.934431883769705</v>
      </c>
      <c r="CW59" s="22">
        <f t="shared" si="13"/>
        <v>456.19327286423237</v>
      </c>
      <c r="CX59" s="62">
        <f t="shared" si="14"/>
        <v>697.23325975760395</v>
      </c>
      <c r="CY59" s="62">
        <f ca="1">AVERAGE(OFFSET($CX$3,0,0,'Données projet'!$E$13+1,1))-AVERAGE(OFFSET($H$3,0,0,'Données projet'!$E$13+1,1))</f>
        <v>520.23742527061836</v>
      </c>
      <c r="CZ59" s="62">
        <f t="shared" si="42"/>
        <v>321.35925479331274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9.4</v>
      </c>
      <c r="DO59" s="13">
        <f>IF('Données projet'!$A$166&gt;35,DO58+DN59-DW58,IF(A59&lt;'Données projet'!$A$166,$DL$205^A59,IF(A59='Données projet'!$A$166,'Données projet'!$B$166,DO58+DN59-DW58)))</f>
        <v>235.39999999999998</v>
      </c>
      <c r="DP59" s="18">
        <f>DO59*VLOOKUP('Données projet'!$B$14,Paramètres!$A$1:$I$89,3,0)*VLOOKUP('Données projet'!$B$14,Paramètres!$A$1:$I$89,5,0)</f>
        <v>238.69559999999998</v>
      </c>
      <c r="DQ59" s="14">
        <f t="shared" si="43"/>
        <v>58.158793514165929</v>
      </c>
      <c r="DR59" s="22">
        <f t="shared" si="16"/>
        <v>517.02140203717238</v>
      </c>
      <c r="DS59" s="62">
        <f t="shared" si="17"/>
        <v>758.06138893054401</v>
      </c>
      <c r="DT59" s="62">
        <f ca="1">AVERAGE(OFFSET($DS$3,0,0,'Données projet'!$E$14+1,1))-AVERAGE(OFFSET($H$3,0,0,'Données projet'!$E$14+1,1))</f>
        <v>547.89540791313675</v>
      </c>
      <c r="DU59" s="62">
        <f t="shared" si="44"/>
        <v>345.19555189302378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6.8</v>
      </c>
      <c r="EJ59" s="13">
        <f>IF('Données projet'!$A$192&gt;35,EJ58+EI59-ER58,IF(A59&lt;'Données projet'!$A$192,$EG$205^A59,IF(A59='Données projet'!$A$192,'Données projet'!$B$192,EJ58+EI59-ER58)))</f>
        <v>214.80000000000007</v>
      </c>
      <c r="EK59" s="18">
        <f>EJ59*VLOOKUP('Données projet'!$B$15,Paramètres!$A$1:$I$89,3,0)*VLOOKUP('Données projet'!$B$15,Paramètres!$A$1:$I$89,5,0)</f>
        <v>224.50896000000009</v>
      </c>
      <c r="EL59" s="14">
        <f t="shared" si="45"/>
        <v>55.093725750341399</v>
      </c>
      <c r="EM59" s="22">
        <f t="shared" si="19"/>
        <v>486.9746776818447</v>
      </c>
      <c r="EN59" s="62">
        <f t="shared" si="20"/>
        <v>728.01466457521633</v>
      </c>
      <c r="EO59" s="62">
        <f ca="1">AVERAGE(OFFSET($EN$3,0,0,'Données projet'!$E$15+1,1))-AVERAGE(OFFSET($H$3,0,0,'Données projet'!$E$15+1,1))</f>
        <v>418.23737352070503</v>
      </c>
      <c r="EP59" s="62">
        <f t="shared" si="46"/>
        <v>496.10742685332968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15.7</v>
      </c>
      <c r="FE59" s="13">
        <f>IF('Données projet'!$A$218&gt;35,FE58+FD59-FM58,IF(A59&lt;'Données projet'!$A$218,$FB$205^A59,IF(A59='Données projet'!$A$218,'Données projet'!$B$218,FE58+FD59-FM58)))</f>
        <v>330.20000000000005</v>
      </c>
      <c r="FF59" s="18">
        <f>FE59*VLOOKUP('Données projet'!$B$16,Paramètres!$A$1:$I$89,3,0)*VLOOKUP('Données projet'!$B$16,Paramètres!$A$1:$I$89,5,0)</f>
        <v>197.45960000000005</v>
      </c>
      <c r="FG59" s="14">
        <f t="shared" si="47"/>
        <v>49.185450002435452</v>
      </c>
      <c r="FH59" s="22">
        <f t="shared" si="22"/>
        <v>429.57346208757514</v>
      </c>
      <c r="FI59" s="62">
        <f t="shared" si="23"/>
        <v>670.61344898094671</v>
      </c>
      <c r="FJ59" s="62">
        <f ca="1">AVERAGE(OFFSET($FI$3,0,0,'Données projet'!$E$16+1,1))-AVERAGE(OFFSET($H$3,0,0,'Données projet'!$E$16+1,1))</f>
        <v>341.70983624543067</v>
      </c>
      <c r="FK59" s="62">
        <f t="shared" si="48"/>
        <v>250.82562837973805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1.5127814762580698E-3</v>
      </c>
      <c r="FT59" s="24">
        <f t="shared" si="24"/>
        <v>1.5127814762580698E-3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12.5</v>
      </c>
      <c r="FZ59" s="13">
        <f>IF('Données projet'!$A$244&gt;35,FZ58+FY59-GH58,IF(A59&lt;'Données projet'!$A$244,$FW$205^A59,IF(A59='Données projet'!$A$244,'Données projet'!$B$244,FZ58+FY59-GH58)))</f>
        <v>285.49999999999977</v>
      </c>
      <c r="GA59" s="18">
        <f>FZ59*VLOOKUP('Données projet'!$B$17,Paramètres!$A$1:$I$89,3,0)*VLOOKUP('Données projet'!$B$17,Paramètres!$A$1:$I$89,5,0)</f>
        <v>133.61399999999989</v>
      </c>
      <c r="GB59" s="14">
        <f t="shared" si="49"/>
        <v>34.830111257493037</v>
      </c>
      <c r="GC59" s="22">
        <f t="shared" si="25"/>
        <v>293.37349377346681</v>
      </c>
      <c r="GD59" s="62">
        <f t="shared" si="26"/>
        <v>534.4134806668385</v>
      </c>
      <c r="GE59" s="62">
        <f ca="1">AVERAGE(OFFSET($GD$3,0,0,'Données projet'!$E$17+1,1))-AVERAGE(OFFSET($H$3,0,0,'Données projet'!$E$17+1,1))</f>
        <v>368.69628434154333</v>
      </c>
      <c r="GF59" s="62">
        <f t="shared" si="50"/>
        <v>202.28197295839524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6</v>
      </c>
      <c r="GU59" s="13">
        <f>IF('Données projet'!$A$270&gt;35,GU58+GT59-HC58,IF(A59&lt;'Données projet'!$A$270,$GR$205^A59,IF(A59='Données projet'!$A$270,'Données projet'!$B$270,GU58+GT59-HC58)))</f>
        <v>196.00000000000003</v>
      </c>
      <c r="GV59" s="18">
        <f>GU59*VLOOKUP('Données projet'!$B$18,Paramètres!$A$1:$I$89,3,0)*VLOOKUP('Données projet'!$B$18,Paramètres!$A$1:$I$89,5,0)</f>
        <v>171.22560000000004</v>
      </c>
      <c r="GW59" s="14">
        <f t="shared" si="51"/>
        <v>43.364402348589557</v>
      </c>
      <c r="GX59" s="22">
        <f t="shared" si="28"/>
        <v>373.74425409046017</v>
      </c>
      <c r="GY59" s="62">
        <f t="shared" si="29"/>
        <v>614.78424098383175</v>
      </c>
      <c r="GZ59" s="62">
        <f ca="1">AVERAGE(OFFSET($GY$3,0,0,'Données projet'!$E$18+1,1))-AVERAGE(OFFSET($H$3,0,0,'Données projet'!$E$18+1,1))</f>
        <v>378.51861272969165</v>
      </c>
      <c r="HA59" s="62">
        <f t="shared" si="52"/>
        <v>387.42368617035459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0</v>
      </c>
      <c r="HH59" s="23">
        <f>EXP(-LN(2)/25)*HH58+(1-EXP(-LN(2)/25))/(LN(2)/25)*Calculateur!HC59*Calculateur!HE59*VLOOKUP('Données projet'!$B$18,Paramètres!$A$1:$I$89,3,0)*0.475*44/12</f>
        <v>0</v>
      </c>
      <c r="HI59" s="23">
        <f>EXP(-LN(2)/2)*HI58+(1-EXP(-LN(2)/2))/(LN(2)/2)*HC59*HF59*VLOOKUP('Données projet'!$B$18,Paramètres!$A$1:$I$89,3,0)*0.475*44/12</f>
        <v>0</v>
      </c>
      <c r="HJ59" s="24">
        <f t="shared" si="30"/>
        <v>0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135.66666666666666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8.3000000000000007</v>
      </c>
      <c r="N60" s="14">
        <f>IF('Données projet'!$A$36&gt;35,N59+M60-V59,IF(A60&lt;'Données projet'!$A$36,$K$205^A60,IF(A60='Données projet'!$A$36,'Données projet'!$B$36,N59+M60-V59)))</f>
        <v>354.10000000000019</v>
      </c>
      <c r="O60" s="14">
        <f>N60*VLOOKUP('Données projet'!$B$9,Paramètres!$A$1:$I$89,3,0)*VLOOKUP('Données projet'!$B$9,Paramètres!$A$1:$I$89,5,0)</f>
        <v>211.75180000000015</v>
      </c>
      <c r="P60" s="14">
        <f t="shared" si="33"/>
        <v>52.318212792392849</v>
      </c>
      <c r="Q60" s="22">
        <f t="shared" si="53"/>
        <v>459.92193894675114</v>
      </c>
      <c r="R60" s="62">
        <f t="shared" si="0"/>
        <v>701.86909849044787</v>
      </c>
      <c r="S60" s="62">
        <f ca="1">AVERAGE(OFFSET($R$3,0,0,'Données projet'!$E$9+1,1))-AVERAGE(OFFSET($H$3,0,0,'Données projet'!$E$9+1,1))</f>
        <v>437.94016462147999</v>
      </c>
      <c r="T60" s="62">
        <f t="shared" si="34"/>
        <v>281.88254003380348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7.0679386056070141E-4</v>
      </c>
      <c r="AC60" s="24">
        <f t="shared" si="3"/>
        <v>7.0679386056070141E-4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7.4</v>
      </c>
      <c r="AI60" s="14">
        <f>IF('Données projet'!$A$62&gt;35,AI59+AH60-AQ59,IF(A60&lt;'Données projet'!$A$62,$AF$205^A60,IF(A60='Données projet'!$A$62,'Données projet'!$B$62,AI59+AH60-AQ59)))</f>
        <v>191.80000000000007</v>
      </c>
      <c r="AJ60" s="14">
        <f>AI60*VLOOKUP('Données projet'!$B$10,Paramètres!$A$1:$I$89,3,0)*VLOOKUP('Données projet'!$B$10,Paramètres!$A$1:$I$89,5,0)</f>
        <v>173.54064000000005</v>
      </c>
      <c r="AK60" s="14">
        <f t="shared" si="35"/>
        <v>43.882055316228445</v>
      </c>
      <c r="AL60" s="22">
        <f t="shared" si="4"/>
        <v>378.67786100909797</v>
      </c>
      <c r="AM60" s="62">
        <f t="shared" si="5"/>
        <v>620.62502055279469</v>
      </c>
      <c r="AN60" s="62">
        <f ca="1">AVERAGE(OFFSET($AM$3,0,0,'Données projet'!$E$10+1,1))-AVERAGE(OFFSET($H$3,0,0,'Données projet'!$E$10+1,1))</f>
        <v>434.56763649859136</v>
      </c>
      <c r="AO60" s="62">
        <f t="shared" si="36"/>
        <v>271.90302066766264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1.1368683772161603E-13</v>
      </c>
      <c r="BE60" s="14">
        <f>BD60*VLOOKUP('Données projet'!$B$11,Paramètres!$A$1:$I$89,3,0)*VLOOKUP('Données projet'!$B$11,Paramètres!$A$1:$I$89,5,0)</f>
        <v>6.7984728957526396E-14</v>
      </c>
      <c r="BF60" s="14">
        <f t="shared" si="37"/>
        <v>1.0682447123141398E-12</v>
      </c>
      <c r="BG60" s="22">
        <f t="shared" si="7"/>
        <v>1.978932943548152E-12</v>
      </c>
      <c r="BH60" s="62">
        <f t="shared" si="8"/>
        <v>241.94715954369877</v>
      </c>
      <c r="BI60" s="62">
        <f ca="1">AVERAGE(OFFSET($BH$3,0,0,'Données projet'!$E$11+1,1))-AVERAGE(OFFSET($H$3,0,0,'Données projet'!$E$11+1,1))</f>
        <v>199.65420589615553</v>
      </c>
      <c r="BJ60" s="62">
        <f t="shared" si="38"/>
        <v>477.85821088970999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31.237073179757132</v>
      </c>
      <c r="BQ60" s="23">
        <f>EXP(-LN(2)/25)*BQ59+(1-EXP(-LN(2)/25))/(LN(2)/25)*Calculateur!BL60*Calculateur!BN60*VLOOKUP('Données projet'!$B$11,Paramètres!$A$1:$I$89,3,0)*0.475*44/12</f>
        <v>20.789056113836299</v>
      </c>
      <c r="BR60" s="23">
        <f>EXP(-LN(2)/2)*BR59+(1-EXP(-LN(2)/2))/(LN(2)/2)*BL60*BO60*VLOOKUP('Données projet'!$B$11,Paramètres!$A$1:$I$89,3,0)*0.475*44/12</f>
        <v>3.7605948765207149E-3</v>
      </c>
      <c r="BS60" s="24">
        <f t="shared" si="9"/>
        <v>52.029889888469945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8.3000000000000007</v>
      </c>
      <c r="BY60" s="13">
        <f>IF('Données projet'!$A$114&gt;35,BY59+BX60-CG59,IF(A60&lt;'Données projet'!$A$114,$BV$205^A60,IF(A60='Données projet'!$A$114,'Données projet'!$B$114,BY59+BX60-CG59)))</f>
        <v>354.10000000000019</v>
      </c>
      <c r="BZ60" s="14">
        <f>BY60*VLOOKUP('Données projet'!$B$12,Paramètres!$A$1:$I$89,3,0)*VLOOKUP('Données projet'!$B$12,Paramètres!$A$1:$I$89,5,0)</f>
        <v>211.75180000000015</v>
      </c>
      <c r="CA60" s="14">
        <f t="shared" si="39"/>
        <v>52.318212792392849</v>
      </c>
      <c r="CB60" s="22">
        <f t="shared" si="10"/>
        <v>459.92193894675114</v>
      </c>
      <c r="CC60" s="62">
        <f t="shared" si="11"/>
        <v>701.86909849044787</v>
      </c>
      <c r="CD60" s="62">
        <f ca="1">AVERAGE(OFFSET($CC$3,0,0,'Données projet'!$E$12+1,1))-AVERAGE(OFFSET($H$3,0,0,'Données projet'!$E$12+1,1))</f>
        <v>437.94016462147999</v>
      </c>
      <c r="CE60" s="62">
        <f t="shared" si="40"/>
        <v>281.88254003380348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7.0679386056070141E-4</v>
      </c>
      <c r="CN60" s="24">
        <f t="shared" si="12"/>
        <v>7.0679386056070141E-4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7.4</v>
      </c>
      <c r="CT60" s="13">
        <f>IF('Données projet'!$A$140&gt;35,CT59+CS60-DB59,IF(A60&lt;'Données projet'!$A$140,$CQ$205^A60,IF(A60='Données projet'!$A$140,'Données projet'!$B$140,CT59+CS60-DB59)))</f>
        <v>191.80000000000007</v>
      </c>
      <c r="CU60" s="18">
        <f>CT60*VLOOKUP('Données projet'!$B$13,Paramètres!$A$1:$I$89,3,0)*VLOOKUP('Données projet'!$B$13,Paramètres!$A$1:$I$89,5,0)</f>
        <v>218.42184000000006</v>
      </c>
      <c r="CV60" s="14">
        <f t="shared" si="41"/>
        <v>53.771736855235361</v>
      </c>
      <c r="CW60" s="22">
        <f t="shared" si="13"/>
        <v>474.07047968953492</v>
      </c>
      <c r="CX60" s="62">
        <f t="shared" si="14"/>
        <v>716.01763923323165</v>
      </c>
      <c r="CY60" s="62">
        <f ca="1">AVERAGE(OFFSET($CX$3,0,0,'Données projet'!$E$13+1,1))-AVERAGE(OFFSET($H$3,0,0,'Données projet'!$E$13+1,1))</f>
        <v>520.23742527061836</v>
      </c>
      <c r="CZ60" s="62">
        <f t="shared" si="42"/>
        <v>321.35925479331274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9.4</v>
      </c>
      <c r="DO60" s="13">
        <f>IF('Données projet'!$A$166&gt;35,DO59+DN60-DW59,IF(A60&lt;'Données projet'!$A$166,$DL$205^A60,IF(A60='Données projet'!$A$166,'Données projet'!$B$166,DO59+DN60-DW59)))</f>
        <v>244.79999999999998</v>
      </c>
      <c r="DP60" s="18">
        <f>DO60*VLOOKUP('Données projet'!$B$14,Paramètres!$A$1:$I$89,3,0)*VLOOKUP('Données projet'!$B$14,Paramètres!$A$1:$I$89,5,0)</f>
        <v>248.22720000000001</v>
      </c>
      <c r="DQ60" s="14">
        <f t="shared" si="43"/>
        <v>60.20616532763993</v>
      </c>
      <c r="DR60" s="22">
        <f t="shared" si="16"/>
        <v>537.18811127897277</v>
      </c>
      <c r="DS60" s="62">
        <f t="shared" si="17"/>
        <v>779.13527082266955</v>
      </c>
      <c r="DT60" s="62">
        <f ca="1">AVERAGE(OFFSET($DS$3,0,0,'Données projet'!$E$14+1,1))-AVERAGE(OFFSET($H$3,0,0,'Données projet'!$E$14+1,1))</f>
        <v>547.89540791313675</v>
      </c>
      <c r="DU60" s="62">
        <f t="shared" si="44"/>
        <v>345.19555189302378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6.8</v>
      </c>
      <c r="EJ60" s="13">
        <f>IF('Données projet'!$A$192&gt;35,EJ59+EI60-ER59,IF(A60&lt;'Données projet'!$A$192,$EG$205^A60,IF(A60='Données projet'!$A$192,'Données projet'!$B$192,EJ59+EI60-ER59)))</f>
        <v>221.60000000000008</v>
      </c>
      <c r="EK60" s="18">
        <f>EJ60*VLOOKUP('Données projet'!$B$15,Paramètres!$A$1:$I$89,3,0)*VLOOKUP('Données projet'!$B$15,Paramètres!$A$1:$I$89,5,0)</f>
        <v>231.61632000000012</v>
      </c>
      <c r="EL60" s="14">
        <f t="shared" si="45"/>
        <v>56.63202513755737</v>
      </c>
      <c r="EM60" s="22">
        <f t="shared" si="19"/>
        <v>502.03253444791261</v>
      </c>
      <c r="EN60" s="62">
        <f t="shared" si="20"/>
        <v>743.97969399160934</v>
      </c>
      <c r="EO60" s="62">
        <f ca="1">AVERAGE(OFFSET($EN$3,0,0,'Données projet'!$E$15+1,1))-AVERAGE(OFFSET($H$3,0,0,'Données projet'!$E$15+1,1))</f>
        <v>418.23737352070503</v>
      </c>
      <c r="EP60" s="62">
        <f t="shared" si="46"/>
        <v>496.10742685332968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15.7</v>
      </c>
      <c r="FE60" s="13">
        <f>IF('Données projet'!$A$218&gt;35,FE59+FD60-FM59,IF(A60&lt;'Données projet'!$A$218,$FB$205^A60,IF(A60='Données projet'!$A$218,'Données projet'!$B$218,FE59+FD60-FM59)))</f>
        <v>345.90000000000003</v>
      </c>
      <c r="FF60" s="18">
        <f>FE60*VLOOKUP('Données projet'!$B$16,Paramètres!$A$1:$I$89,3,0)*VLOOKUP('Données projet'!$B$16,Paramètres!$A$1:$I$89,5,0)</f>
        <v>206.84820000000005</v>
      </c>
      <c r="FG60" s="14">
        <f t="shared" si="47"/>
        <v>51.246233092829954</v>
      </c>
      <c r="FH60" s="22">
        <f t="shared" si="22"/>
        <v>449.51447097001227</v>
      </c>
      <c r="FI60" s="62">
        <f t="shared" si="23"/>
        <v>691.461630513709</v>
      </c>
      <c r="FJ60" s="62">
        <f ca="1">AVERAGE(OFFSET($FI$3,0,0,'Données projet'!$E$16+1,1))-AVERAGE(OFFSET($H$3,0,0,'Données projet'!$E$16+1,1))</f>
        <v>341.70983624543067</v>
      </c>
      <c r="FK60" s="62">
        <f t="shared" si="48"/>
        <v>250.82562837973805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1.0696980403154773E-3</v>
      </c>
      <c r="FT60" s="24">
        <f t="shared" si="24"/>
        <v>1.0696980403154773E-3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12.5</v>
      </c>
      <c r="FZ60" s="13">
        <f>IF('Données projet'!$A$244&gt;35,FZ59+FY60-GH59,IF(A60&lt;'Données projet'!$A$244,$FW$205^A60,IF(A60='Données projet'!$A$244,'Données projet'!$B$244,FZ59+FY60-GH59)))</f>
        <v>297.99999999999977</v>
      </c>
      <c r="GA60" s="18">
        <f>FZ60*VLOOKUP('Données projet'!$B$17,Paramètres!$A$1:$I$89,3,0)*VLOOKUP('Données projet'!$B$17,Paramètres!$A$1:$I$89,5,0)</f>
        <v>139.46399999999988</v>
      </c>
      <c r="GB60" s="14">
        <f t="shared" si="49"/>
        <v>36.174188022271757</v>
      </c>
      <c r="GC60" s="22">
        <f t="shared" si="25"/>
        <v>305.9031774721231</v>
      </c>
      <c r="GD60" s="62">
        <f t="shared" si="26"/>
        <v>547.85033701581983</v>
      </c>
      <c r="GE60" s="62">
        <f ca="1">AVERAGE(OFFSET($GD$3,0,0,'Données projet'!$E$17+1,1))-AVERAGE(OFFSET($H$3,0,0,'Données projet'!$E$17+1,1))</f>
        <v>368.69628434154333</v>
      </c>
      <c r="GF60" s="62">
        <f t="shared" si="50"/>
        <v>202.28197295839524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6</v>
      </c>
      <c r="GU60" s="13">
        <f>IF('Données projet'!$A$270&gt;35,GU59+GT60-HC59,IF(A60&lt;'Données projet'!$A$270,$GR$205^A60,IF(A60='Données projet'!$A$270,'Données projet'!$B$270,GU59+GT60-HC59)))</f>
        <v>202.00000000000003</v>
      </c>
      <c r="GV60" s="18">
        <f>GU60*VLOOKUP('Données projet'!$B$18,Paramètres!$A$1:$I$89,3,0)*VLOOKUP('Données projet'!$B$18,Paramètres!$A$1:$I$89,5,0)</f>
        <v>176.46720000000005</v>
      </c>
      <c r="GW60" s="14">
        <f t="shared" si="51"/>
        <v>44.535298821989393</v>
      </c>
      <c r="GX60" s="22">
        <f t="shared" si="28"/>
        <v>384.91268544829819</v>
      </c>
      <c r="GY60" s="62">
        <f t="shared" si="29"/>
        <v>626.85984499199503</v>
      </c>
      <c r="GZ60" s="62">
        <f ca="1">AVERAGE(OFFSET($GY$3,0,0,'Données projet'!$E$18+1,1))-AVERAGE(OFFSET($H$3,0,0,'Données projet'!$E$18+1,1))</f>
        <v>378.51861272969165</v>
      </c>
      <c r="HA60" s="62">
        <f t="shared" si="52"/>
        <v>387.42368617035459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0</v>
      </c>
      <c r="HH60" s="23">
        <f>EXP(-LN(2)/25)*HH59+(1-EXP(-LN(2)/25))/(LN(2)/25)*Calculateur!HC60*Calculateur!HE60*VLOOKUP('Données projet'!$B$18,Paramètres!$A$1:$I$89,3,0)*0.475*44/12</f>
        <v>0</v>
      </c>
      <c r="HI60" s="23">
        <f>EXP(-LN(2)/2)*HI59+(1-EXP(-LN(2)/2))/(LN(2)/2)*HC60*HF60*VLOOKUP('Données projet'!$B$18,Paramètres!$A$1:$I$89,3,0)*0.475*44/12</f>
        <v>0</v>
      </c>
      <c r="HJ60" s="24">
        <f t="shared" si="30"/>
        <v>0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135.66666666666666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8.3000000000000007</v>
      </c>
      <c r="N61" s="14">
        <f>IF('Données projet'!$A$36&gt;35,N60+M61-V60,IF(A61&lt;'Données projet'!$A$36,$K$205^A61,IF(A61='Données projet'!$A$36,'Données projet'!$B$36,N60+M61-V60)))</f>
        <v>362.4000000000002</v>
      </c>
      <c r="O61" s="14">
        <f>N61*VLOOKUP('Données projet'!$B$9,Paramètres!$A$1:$I$89,3,0)*VLOOKUP('Données projet'!$B$9,Paramètres!$A$1:$I$89,5,0)</f>
        <v>216.71520000000012</v>
      </c>
      <c r="P61" s="14">
        <f t="shared" si="33"/>
        <v>53.400326801074698</v>
      </c>
      <c r="Q61" s="22">
        <f t="shared" si="53"/>
        <v>470.45120917853865</v>
      </c>
      <c r="R61" s="62">
        <f t="shared" si="0"/>
        <v>713.28980395521171</v>
      </c>
      <c r="S61" s="62">
        <f ca="1">AVERAGE(OFFSET($R$3,0,0,'Données projet'!$E$9+1,1))-AVERAGE(OFFSET($H$3,0,0,'Données projet'!$E$9+1,1))</f>
        <v>437.94016462147999</v>
      </c>
      <c r="T61" s="62">
        <f t="shared" si="34"/>
        <v>281.88254003380348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4.9977873170349108E-4</v>
      </c>
      <c r="AC61" s="24">
        <f t="shared" si="3"/>
        <v>4.9977873170349108E-4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7.4</v>
      </c>
      <c r="AI61" s="14">
        <f>IF('Données projet'!$A$62&gt;35,AI60+AH61-AQ60,IF(A61&lt;'Données projet'!$A$62,$AF$205^A61,IF(A61='Données projet'!$A$62,'Données projet'!$B$62,AI60+AH61-AQ60)))</f>
        <v>199.20000000000007</v>
      </c>
      <c r="AJ61" s="14">
        <f>AI61*VLOOKUP('Données projet'!$B$10,Paramètres!$A$1:$I$89,3,0)*VLOOKUP('Données projet'!$B$10,Paramètres!$A$1:$I$89,5,0)</f>
        <v>180.23616000000004</v>
      </c>
      <c r="AK61" s="14">
        <f t="shared" si="35"/>
        <v>45.374723405565959</v>
      </c>
      <c r="AL61" s="22">
        <f t="shared" si="4"/>
        <v>392.93895526469413</v>
      </c>
      <c r="AM61" s="62">
        <f t="shared" si="5"/>
        <v>635.77755004136714</v>
      </c>
      <c r="AN61" s="62">
        <f ca="1">AVERAGE(OFFSET($AM$3,0,0,'Données projet'!$E$10+1,1))-AVERAGE(OFFSET($H$3,0,0,'Données projet'!$E$10+1,1))</f>
        <v>434.56763649859136</v>
      </c>
      <c r="AO61" s="62">
        <f t="shared" si="36"/>
        <v>271.90302066766264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1.1368683772161603E-13</v>
      </c>
      <c r="BE61" s="14">
        <f>BD61*VLOOKUP('Données projet'!$B$11,Paramètres!$A$1:$I$89,3,0)*VLOOKUP('Données projet'!$B$11,Paramètres!$A$1:$I$89,5,0)</f>
        <v>6.7984728957526396E-14</v>
      </c>
      <c r="BF61" s="14">
        <f t="shared" si="37"/>
        <v>1.0682447123141398E-12</v>
      </c>
      <c r="BG61" s="22">
        <f t="shared" si="7"/>
        <v>1.978932943548152E-12</v>
      </c>
      <c r="BH61" s="62">
        <f t="shared" si="8"/>
        <v>242.83859477667502</v>
      </c>
      <c r="BI61" s="62">
        <f ca="1">AVERAGE(OFFSET($BH$3,0,0,'Données projet'!$E$11+1,1))-AVERAGE(OFFSET($H$3,0,0,'Données projet'!$E$11+1,1))</f>
        <v>199.65420589615553</v>
      </c>
      <c r="BJ61" s="62">
        <f t="shared" si="38"/>
        <v>477.85821088970999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30.624533227435432</v>
      </c>
      <c r="BQ61" s="23">
        <f>EXP(-LN(2)/25)*BQ60+(1-EXP(-LN(2)/25))/(LN(2)/25)*Calculateur!BL61*Calculateur!BN61*VLOOKUP('Données projet'!$B$11,Paramètres!$A$1:$I$89,3,0)*0.475*44/12</f>
        <v>20.220578281154499</v>
      </c>
      <c r="BR61" s="23">
        <f>EXP(-LN(2)/2)*BR60+(1-EXP(-LN(2)/2))/(LN(2)/2)*BL61*BO61*VLOOKUP('Données projet'!$B$11,Paramètres!$A$1:$I$89,3,0)*0.475*44/12</f>
        <v>2.6591421384831852E-3</v>
      </c>
      <c r="BS61" s="24">
        <f t="shared" si="9"/>
        <v>50.847770650728414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8.3000000000000007</v>
      </c>
      <c r="BY61" s="13">
        <f>IF('Données projet'!$A$114&gt;35,BY60+BX61-CG60,IF(A61&lt;'Données projet'!$A$114,$BV$205^A61,IF(A61='Données projet'!$A$114,'Données projet'!$B$114,BY60+BX61-CG60)))</f>
        <v>362.4000000000002</v>
      </c>
      <c r="BZ61" s="14">
        <f>BY61*VLOOKUP('Données projet'!$B$12,Paramètres!$A$1:$I$89,3,0)*VLOOKUP('Données projet'!$B$12,Paramètres!$A$1:$I$89,5,0)</f>
        <v>216.71520000000012</v>
      </c>
      <c r="CA61" s="14">
        <f t="shared" si="39"/>
        <v>53.400326801074698</v>
      </c>
      <c r="CB61" s="22">
        <f t="shared" si="10"/>
        <v>470.45120917853865</v>
      </c>
      <c r="CC61" s="62">
        <f t="shared" si="11"/>
        <v>713.28980395521171</v>
      </c>
      <c r="CD61" s="62">
        <f ca="1">AVERAGE(OFFSET($CC$3,0,0,'Données projet'!$E$12+1,1))-AVERAGE(OFFSET($H$3,0,0,'Données projet'!$E$12+1,1))</f>
        <v>437.94016462147999</v>
      </c>
      <c r="CE61" s="62">
        <f t="shared" si="40"/>
        <v>281.88254003380348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4.9977873170349108E-4</v>
      </c>
      <c r="CN61" s="24">
        <f t="shared" si="12"/>
        <v>4.9977873170349108E-4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7.4</v>
      </c>
      <c r="CT61" s="13">
        <f>IF('Données projet'!$A$140&gt;35,CT60+CS61-DB60,IF(A61&lt;'Données projet'!$A$140,$CQ$205^A61,IF(A61='Données projet'!$A$140,'Données projet'!$B$140,CT60+CS61-DB60)))</f>
        <v>199.20000000000007</v>
      </c>
      <c r="CU61" s="18">
        <f>CT61*VLOOKUP('Données projet'!$B$13,Paramètres!$A$1:$I$89,3,0)*VLOOKUP('Données projet'!$B$13,Paramètres!$A$1:$I$89,5,0)</f>
        <v>226.84896000000009</v>
      </c>
      <c r="CV61" s="14">
        <f t="shared" si="41"/>
        <v>55.600806964501203</v>
      </c>
      <c r="CW61" s="22">
        <f t="shared" si="13"/>
        <v>491.93334412983972</v>
      </c>
      <c r="CX61" s="62">
        <f t="shared" si="14"/>
        <v>734.77193890651279</v>
      </c>
      <c r="CY61" s="62">
        <f ca="1">AVERAGE(OFFSET($CX$3,0,0,'Données projet'!$E$13+1,1))-AVERAGE(OFFSET($H$3,0,0,'Données projet'!$E$13+1,1))</f>
        <v>520.23742527061836</v>
      </c>
      <c r="CZ61" s="62">
        <f t="shared" si="42"/>
        <v>321.35925479331274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9.4</v>
      </c>
      <c r="DO61" s="13">
        <f>IF('Données projet'!$A$166&gt;35,DO60+DN61-DW60,IF(A61&lt;'Données projet'!$A$166,$DL$205^A61,IF(A61='Données projet'!$A$166,'Données projet'!$B$166,DO60+DN61-DW60)))</f>
        <v>254.2</v>
      </c>
      <c r="DP61" s="18">
        <f>DO61*VLOOKUP('Données projet'!$B$14,Paramètres!$A$1:$I$89,3,0)*VLOOKUP('Données projet'!$B$14,Paramètres!$A$1:$I$89,5,0)</f>
        <v>257.75880000000001</v>
      </c>
      <c r="DQ61" s="14">
        <f t="shared" si="43"/>
        <v>62.244404241627407</v>
      </c>
      <c r="DR61" s="22">
        <f t="shared" si="16"/>
        <v>557.33891405416773</v>
      </c>
      <c r="DS61" s="62">
        <f t="shared" si="17"/>
        <v>800.17750883084079</v>
      </c>
      <c r="DT61" s="62">
        <f ca="1">AVERAGE(OFFSET($DS$3,0,0,'Données projet'!$E$14+1,1))-AVERAGE(OFFSET($H$3,0,0,'Données projet'!$E$14+1,1))</f>
        <v>547.89540791313675</v>
      </c>
      <c r="DU61" s="62">
        <f t="shared" si="44"/>
        <v>345.19555189302378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6.8</v>
      </c>
      <c r="EJ61" s="13">
        <f>IF('Données projet'!$A$192&gt;35,EJ60+EI61-ER60,IF(A61&lt;'Données projet'!$A$192,$EG$205^A61,IF(A61='Données projet'!$A$192,'Données projet'!$B$192,EJ60+EI61-ER60)))</f>
        <v>228.40000000000009</v>
      </c>
      <c r="EK61" s="18">
        <f>EJ61*VLOOKUP('Données projet'!$B$15,Paramètres!$A$1:$I$89,3,0)*VLOOKUP('Données projet'!$B$15,Paramètres!$A$1:$I$89,5,0)</f>
        <v>238.72368000000012</v>
      </c>
      <c r="EL61" s="14">
        <f t="shared" si="45"/>
        <v>58.164838855295443</v>
      </c>
      <c r="EM61" s="22">
        <f t="shared" si="19"/>
        <v>517.0808370063063</v>
      </c>
      <c r="EN61" s="62">
        <f t="shared" si="20"/>
        <v>759.91943178297936</v>
      </c>
      <c r="EO61" s="62">
        <f ca="1">AVERAGE(OFFSET($EN$3,0,0,'Données projet'!$E$15+1,1))-AVERAGE(OFFSET($H$3,0,0,'Données projet'!$E$15+1,1))</f>
        <v>418.23737352070503</v>
      </c>
      <c r="EP61" s="62">
        <f t="shared" si="46"/>
        <v>496.10742685332968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15.7</v>
      </c>
      <c r="FE61" s="13">
        <f>IF('Données projet'!$A$218&gt;35,FE60+FD61-FM60,IF(A61&lt;'Données projet'!$A$218,$FB$205^A61,IF(A61='Données projet'!$A$218,'Données projet'!$B$218,FE60+FD61-FM60)))</f>
        <v>361.6</v>
      </c>
      <c r="FF61" s="18">
        <f>FE61*VLOOKUP('Données projet'!$B$16,Paramètres!$A$1:$I$89,3,0)*VLOOKUP('Données projet'!$B$16,Paramètres!$A$1:$I$89,5,0)</f>
        <v>216.23680000000002</v>
      </c>
      <c r="FG61" s="14">
        <f t="shared" si="47"/>
        <v>53.296153300267918</v>
      </c>
      <c r="FH61" s="22">
        <f t="shared" si="22"/>
        <v>469.43656033129997</v>
      </c>
      <c r="FI61" s="62">
        <f t="shared" si="23"/>
        <v>712.27515510797298</v>
      </c>
      <c r="FJ61" s="62">
        <f ca="1">AVERAGE(OFFSET($FI$3,0,0,'Données projet'!$E$16+1,1))-AVERAGE(OFFSET($H$3,0,0,'Données projet'!$E$16+1,1))</f>
        <v>341.70983624543067</v>
      </c>
      <c r="FK61" s="62">
        <f t="shared" si="48"/>
        <v>250.82562837973805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7.563907381290349E-4</v>
      </c>
      <c r="FT61" s="24">
        <f t="shared" si="24"/>
        <v>7.563907381290349E-4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12.5</v>
      </c>
      <c r="FZ61" s="13">
        <f>IF('Données projet'!$A$244&gt;35,FZ60+FY61-GH60,IF(A61&lt;'Données projet'!$A$244,$FW$205^A61,IF(A61='Données projet'!$A$244,'Données projet'!$B$244,FZ60+FY61-GH60)))</f>
        <v>310.49999999999977</v>
      </c>
      <c r="GA61" s="18">
        <f>FZ61*VLOOKUP('Données projet'!$B$17,Paramètres!$A$1:$I$89,3,0)*VLOOKUP('Données projet'!$B$17,Paramètres!$A$1:$I$89,5,0)</f>
        <v>145.31399999999991</v>
      </c>
      <c r="GB61" s="14">
        <f t="shared" si="49"/>
        <v>37.511716231443025</v>
      </c>
      <c r="GC61" s="22">
        <f t="shared" si="25"/>
        <v>318.4214557697631</v>
      </c>
      <c r="GD61" s="62">
        <f t="shared" si="26"/>
        <v>561.2600505464361</v>
      </c>
      <c r="GE61" s="62">
        <f ca="1">AVERAGE(OFFSET($GD$3,0,0,'Données projet'!$E$17+1,1))-AVERAGE(OFFSET($H$3,0,0,'Données projet'!$E$17+1,1))</f>
        <v>368.69628434154333</v>
      </c>
      <c r="GF61" s="62">
        <f t="shared" si="50"/>
        <v>202.28197295839524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6</v>
      </c>
      <c r="GU61" s="13">
        <f>IF('Données projet'!$A$270&gt;35,GU60+GT61-HC60,IF(A61&lt;'Données projet'!$A$270,$GR$205^A61,IF(A61='Données projet'!$A$270,'Données projet'!$B$270,GU60+GT61-HC60)))</f>
        <v>208.00000000000003</v>
      </c>
      <c r="GV61" s="18">
        <f>GU61*VLOOKUP('Données projet'!$B$18,Paramètres!$A$1:$I$89,3,0)*VLOOKUP('Données projet'!$B$18,Paramètres!$A$1:$I$89,5,0)</f>
        <v>181.70880000000005</v>
      </c>
      <c r="GW61" s="14">
        <f t="shared" si="51"/>
        <v>45.702153370067812</v>
      </c>
      <c r="GX61" s="22">
        <f t="shared" si="28"/>
        <v>396.07407711953482</v>
      </c>
      <c r="GY61" s="62">
        <f t="shared" si="29"/>
        <v>638.91267189620783</v>
      </c>
      <c r="GZ61" s="62">
        <f ca="1">AVERAGE(OFFSET($GY$3,0,0,'Données projet'!$E$18+1,1))-AVERAGE(OFFSET($H$3,0,0,'Données projet'!$E$18+1,1))</f>
        <v>378.51861272969165</v>
      </c>
      <c r="HA61" s="62">
        <f t="shared" si="52"/>
        <v>387.42368617035459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0</v>
      </c>
      <c r="HH61" s="23">
        <f>EXP(-LN(2)/25)*HH60+(1-EXP(-LN(2)/25))/(LN(2)/25)*Calculateur!HC61*Calculateur!HE61*VLOOKUP('Données projet'!$B$18,Paramètres!$A$1:$I$89,3,0)*0.475*44/12</f>
        <v>0</v>
      </c>
      <c r="HI61" s="23">
        <f>EXP(-LN(2)/2)*HI60+(1-EXP(-LN(2)/2))/(LN(2)/2)*HC61*HF61*VLOOKUP('Données projet'!$B$18,Paramètres!$A$1:$I$89,3,0)*0.475*44/12</f>
        <v>0</v>
      </c>
      <c r="HJ61" s="24">
        <f t="shared" si="30"/>
        <v>0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135.66666666666666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8.3000000000000007</v>
      </c>
      <c r="N62" s="14">
        <f>IF('Données projet'!$A$36&gt;35,N61+M62-V61,IF(A62&lt;'Données projet'!$A$36,$K$205^A62,IF(A62='Données projet'!$A$36,'Données projet'!$B$36,N61+M62-V61)))</f>
        <v>370.70000000000022</v>
      </c>
      <c r="O62" s="14">
        <f>N62*VLOOKUP('Données projet'!$B$9,Paramètres!$A$1:$I$89,3,0)*VLOOKUP('Données projet'!$B$9,Paramètres!$A$1:$I$89,5,0)</f>
        <v>221.67860000000013</v>
      </c>
      <c r="P62" s="14">
        <f t="shared" si="33"/>
        <v>54.479559584117418</v>
      </c>
      <c r="Q62" s="22">
        <f t="shared" si="53"/>
        <v>480.97546127567131</v>
      </c>
      <c r="R62" s="62">
        <f t="shared" si="0"/>
        <v>724.690026876979</v>
      </c>
      <c r="S62" s="62">
        <f ca="1">AVERAGE(OFFSET($R$3,0,0,'Données projet'!$E$9+1,1))-AVERAGE(OFFSET($H$3,0,0,'Données projet'!$E$9+1,1))</f>
        <v>437.94016462147999</v>
      </c>
      <c r="T62" s="62">
        <f t="shared" si="34"/>
        <v>281.88254003380348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3.5339693028035071E-4</v>
      </c>
      <c r="AC62" s="24">
        <f t="shared" si="3"/>
        <v>3.5339693028035071E-4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7.4</v>
      </c>
      <c r="AI62" s="14">
        <f>IF('Données projet'!$A$62&gt;35,AI61+AH62-AQ61,IF(A62&lt;'Données projet'!$A$62,$AF$205^A62,IF(A62='Données projet'!$A$62,'Données projet'!$B$62,AI61+AH62-AQ61)))</f>
        <v>206.60000000000008</v>
      </c>
      <c r="AJ62" s="14">
        <f>AI62*VLOOKUP('Données projet'!$B$10,Paramètres!$A$1:$I$89,3,0)*VLOOKUP('Données projet'!$B$10,Paramètres!$A$1:$I$89,5,0)</f>
        <v>186.93168000000006</v>
      </c>
      <c r="AK62" s="14">
        <f t="shared" si="35"/>
        <v>46.860949423866458</v>
      </c>
      <c r="AL62" s="22">
        <f t="shared" si="4"/>
        <v>407.18882957990081</v>
      </c>
      <c r="AM62" s="62">
        <f t="shared" si="5"/>
        <v>650.90339518120845</v>
      </c>
      <c r="AN62" s="62">
        <f ca="1">AVERAGE(OFFSET($AM$3,0,0,'Données projet'!$E$10+1,1))-AVERAGE(OFFSET($H$3,0,0,'Données projet'!$E$10+1,1))</f>
        <v>434.56763649859136</v>
      </c>
      <c r="AO62" s="62">
        <f t="shared" si="36"/>
        <v>271.90302066766264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1.1368683772161603E-13</v>
      </c>
      <c r="BE62" s="14">
        <f>BD62*VLOOKUP('Données projet'!$B$11,Paramètres!$A$1:$I$89,3,0)*VLOOKUP('Données projet'!$B$11,Paramètres!$A$1:$I$89,5,0)</f>
        <v>6.7984728957526396E-14</v>
      </c>
      <c r="BF62" s="14">
        <f t="shared" si="37"/>
        <v>1.0682447123141398E-12</v>
      </c>
      <c r="BG62" s="22">
        <f t="shared" si="7"/>
        <v>1.978932943548152E-12</v>
      </c>
      <c r="BH62" s="62">
        <f t="shared" si="8"/>
        <v>243.71456560130966</v>
      </c>
      <c r="BI62" s="62">
        <f ca="1">AVERAGE(OFFSET($BH$3,0,0,'Données projet'!$E$11+1,1))-AVERAGE(OFFSET($H$3,0,0,'Données projet'!$E$11+1,1))</f>
        <v>199.65420589615553</v>
      </c>
      <c r="BJ62" s="62">
        <f t="shared" si="38"/>
        <v>477.85821088970999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30.024004809966282</v>
      </c>
      <c r="BQ62" s="23">
        <f>EXP(-LN(2)/25)*BQ61+(1-EXP(-LN(2)/25))/(LN(2)/25)*Calculateur!BL62*Calculateur!BN62*VLOOKUP('Données projet'!$B$11,Paramètres!$A$1:$I$89,3,0)*0.475*44/12</f>
        <v>19.667645504702332</v>
      </c>
      <c r="BR62" s="23">
        <f>EXP(-LN(2)/2)*BR61+(1-EXP(-LN(2)/2))/(LN(2)/2)*BL62*BO62*VLOOKUP('Données projet'!$B$11,Paramètres!$A$1:$I$89,3,0)*0.475*44/12</f>
        <v>1.8802974382603579E-3</v>
      </c>
      <c r="BS62" s="24">
        <f t="shared" si="9"/>
        <v>49.693530612106876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8.3000000000000007</v>
      </c>
      <c r="BY62" s="13">
        <f>IF('Données projet'!$A$114&gt;35,BY61+BX62-CG61,IF(A62&lt;'Données projet'!$A$114,$BV$205^A62,IF(A62='Données projet'!$A$114,'Données projet'!$B$114,BY61+BX62-CG61)))</f>
        <v>370.70000000000022</v>
      </c>
      <c r="BZ62" s="14">
        <f>BY62*VLOOKUP('Données projet'!$B$12,Paramètres!$A$1:$I$89,3,0)*VLOOKUP('Données projet'!$B$12,Paramètres!$A$1:$I$89,5,0)</f>
        <v>221.67860000000013</v>
      </c>
      <c r="CA62" s="14">
        <f t="shared" si="39"/>
        <v>54.479559584117418</v>
      </c>
      <c r="CB62" s="22">
        <f t="shared" si="10"/>
        <v>480.97546127567131</v>
      </c>
      <c r="CC62" s="62">
        <f t="shared" si="11"/>
        <v>724.690026876979</v>
      </c>
      <c r="CD62" s="62">
        <f ca="1">AVERAGE(OFFSET($CC$3,0,0,'Données projet'!$E$12+1,1))-AVERAGE(OFFSET($H$3,0,0,'Données projet'!$E$12+1,1))</f>
        <v>437.94016462147999</v>
      </c>
      <c r="CE62" s="62">
        <f t="shared" si="40"/>
        <v>281.88254003380348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3.5339693028035071E-4</v>
      </c>
      <c r="CN62" s="24">
        <f t="shared" si="12"/>
        <v>3.5339693028035071E-4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7.4</v>
      </c>
      <c r="CT62" s="13">
        <f>IF('Données projet'!$A$140&gt;35,CT61+CS62-DB61,IF(A62&lt;'Données projet'!$A$140,$CQ$205^A62,IF(A62='Données projet'!$A$140,'Données projet'!$B$140,CT61+CS62-DB61)))</f>
        <v>206.60000000000008</v>
      </c>
      <c r="CU62" s="18">
        <f>CT62*VLOOKUP('Données projet'!$B$13,Paramètres!$A$1:$I$89,3,0)*VLOOKUP('Données projet'!$B$13,Paramètres!$A$1:$I$89,5,0)</f>
        <v>235.27608000000006</v>
      </c>
      <c r="CV62" s="14">
        <f t="shared" si="41"/>
        <v>57.421983155715438</v>
      </c>
      <c r="CW62" s="22">
        <f t="shared" si="13"/>
        <v>509.78245999620441</v>
      </c>
      <c r="CX62" s="62">
        <f t="shared" si="14"/>
        <v>753.49702559751211</v>
      </c>
      <c r="CY62" s="62">
        <f ca="1">AVERAGE(OFFSET($CX$3,0,0,'Données projet'!$E$13+1,1))-AVERAGE(OFFSET($H$3,0,0,'Données projet'!$E$13+1,1))</f>
        <v>520.23742527061836</v>
      </c>
      <c r="CZ62" s="62">
        <f t="shared" si="42"/>
        <v>321.35925479331274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9.4</v>
      </c>
      <c r="DO62" s="13">
        <f>IF('Données projet'!$A$166&gt;35,DO61+DN62-DW61,IF(A62&lt;'Données projet'!$A$166,$DL$205^A62,IF(A62='Données projet'!$A$166,'Données projet'!$B$166,DO61+DN62-DW61)))</f>
        <v>263.59999999999997</v>
      </c>
      <c r="DP62" s="18">
        <f>DO62*VLOOKUP('Données projet'!$B$14,Paramètres!$A$1:$I$89,3,0)*VLOOKUP('Données projet'!$B$14,Paramètres!$A$1:$I$89,5,0)</f>
        <v>267.29039999999998</v>
      </c>
      <c r="DQ62" s="14">
        <f t="shared" si="43"/>
        <v>64.273886654661325</v>
      </c>
      <c r="DR62" s="22">
        <f t="shared" si="16"/>
        <v>577.47446592353515</v>
      </c>
      <c r="DS62" s="62">
        <f t="shared" si="17"/>
        <v>821.18903152484279</v>
      </c>
      <c r="DT62" s="62">
        <f ca="1">AVERAGE(OFFSET($DS$3,0,0,'Données projet'!$E$14+1,1))-AVERAGE(OFFSET($H$3,0,0,'Données projet'!$E$14+1,1))</f>
        <v>547.89540791313675</v>
      </c>
      <c r="DU62" s="62">
        <f t="shared" si="44"/>
        <v>345.19555189302378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6.8</v>
      </c>
      <c r="EJ62" s="13">
        <f>IF('Données projet'!$A$192&gt;35,EJ61+EI62-ER61,IF(A62&lt;'Données projet'!$A$192,$EG$205^A62,IF(A62='Données projet'!$A$192,'Données projet'!$B$192,EJ61+EI62-ER61)))</f>
        <v>235.2000000000001</v>
      </c>
      <c r="EK62" s="18">
        <f>EJ62*VLOOKUP('Données projet'!$B$15,Paramètres!$A$1:$I$89,3,0)*VLOOKUP('Données projet'!$B$15,Paramètres!$A$1:$I$89,5,0)</f>
        <v>245.83104000000014</v>
      </c>
      <c r="EL62" s="14">
        <f t="shared" si="45"/>
        <v>59.692348974264561</v>
      </c>
      <c r="EM62" s="22">
        <f t="shared" si="19"/>
        <v>532.11990246351104</v>
      </c>
      <c r="EN62" s="62">
        <f t="shared" si="20"/>
        <v>775.83446806481868</v>
      </c>
      <c r="EO62" s="62">
        <f ca="1">AVERAGE(OFFSET($EN$3,0,0,'Données projet'!$E$15+1,1))-AVERAGE(OFFSET($H$3,0,0,'Données projet'!$E$15+1,1))</f>
        <v>418.23737352070503</v>
      </c>
      <c r="EP62" s="62">
        <f t="shared" si="46"/>
        <v>496.10742685332968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15.7</v>
      </c>
      <c r="FE62" s="13">
        <f>IF('Données projet'!$A$218&gt;35,FE61+FD62-FM61,IF(A62&lt;'Données projet'!$A$218,$FB$205^A62,IF(A62='Données projet'!$A$218,'Données projet'!$B$218,FE61+FD62-FM61)))</f>
        <v>377.3</v>
      </c>
      <c r="FF62" s="18">
        <f>FE62*VLOOKUP('Données projet'!$B$16,Paramètres!$A$1:$I$89,3,0)*VLOOKUP('Données projet'!$B$16,Paramètres!$A$1:$I$89,5,0)</f>
        <v>225.62540000000004</v>
      </c>
      <c r="FG62" s="14">
        <f t="shared" si="47"/>
        <v>55.335736179321074</v>
      </c>
      <c r="FH62" s="22">
        <f t="shared" si="22"/>
        <v>489.34064551231751</v>
      </c>
      <c r="FI62" s="62">
        <f t="shared" si="23"/>
        <v>733.05521111362521</v>
      </c>
      <c r="FJ62" s="62">
        <f ca="1">AVERAGE(OFFSET($FI$3,0,0,'Données projet'!$E$16+1,1))-AVERAGE(OFFSET($H$3,0,0,'Données projet'!$E$16+1,1))</f>
        <v>341.70983624543067</v>
      </c>
      <c r="FK62" s="62">
        <f t="shared" si="48"/>
        <v>250.82562837973805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5.3484902015773865E-4</v>
      </c>
      <c r="FT62" s="24">
        <f t="shared" si="24"/>
        <v>5.3484902015773865E-4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12.5</v>
      </c>
      <c r="FZ62" s="13">
        <f>IF('Données projet'!$A$244&gt;35,FZ61+FY62-GH61,IF(A62&lt;'Données projet'!$A$244,$FW$205^A62,IF(A62='Données projet'!$A$244,'Données projet'!$B$244,FZ61+FY62-GH61)))</f>
        <v>322.99999999999977</v>
      </c>
      <c r="GA62" s="18">
        <f>FZ62*VLOOKUP('Données projet'!$B$17,Paramètres!$A$1:$I$89,3,0)*VLOOKUP('Données projet'!$B$17,Paramètres!$A$1:$I$89,5,0)</f>
        <v>151.1639999999999</v>
      </c>
      <c r="GB62" s="14">
        <f t="shared" si="49"/>
        <v>38.842989674159945</v>
      </c>
      <c r="GC62" s="22">
        <f t="shared" si="25"/>
        <v>330.92884034916176</v>
      </c>
      <c r="GD62" s="62">
        <f t="shared" si="26"/>
        <v>574.6434059504694</v>
      </c>
      <c r="GE62" s="62">
        <f ca="1">AVERAGE(OFFSET($GD$3,0,0,'Données projet'!$E$17+1,1))-AVERAGE(OFFSET($H$3,0,0,'Données projet'!$E$17+1,1))</f>
        <v>368.69628434154333</v>
      </c>
      <c r="GF62" s="62">
        <f t="shared" si="50"/>
        <v>202.28197295839524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6</v>
      </c>
      <c r="GU62" s="13">
        <f>IF('Données projet'!$A$270&gt;35,GU61+GT62-HC61,IF(A62&lt;'Données projet'!$A$270,$GR$205^A62,IF(A62='Données projet'!$A$270,'Données projet'!$B$270,GU61+GT62-HC61)))</f>
        <v>214.00000000000003</v>
      </c>
      <c r="GV62" s="18">
        <f>GU62*VLOOKUP('Données projet'!$B$18,Paramètres!$A$1:$I$89,3,0)*VLOOKUP('Données projet'!$B$18,Paramètres!$A$1:$I$89,5,0)</f>
        <v>186.95040000000006</v>
      </c>
      <c r="GW62" s="14">
        <f t="shared" si="51"/>
        <v>46.865095976617653</v>
      </c>
      <c r="GX62" s="22">
        <f t="shared" si="28"/>
        <v>407.22865549260922</v>
      </c>
      <c r="GY62" s="62">
        <f t="shared" si="29"/>
        <v>650.94322109391692</v>
      </c>
      <c r="GZ62" s="62">
        <f ca="1">AVERAGE(OFFSET($GY$3,0,0,'Données projet'!$E$18+1,1))-AVERAGE(OFFSET($H$3,0,0,'Données projet'!$E$18+1,1))</f>
        <v>378.51861272969165</v>
      </c>
      <c r="HA62" s="62">
        <f t="shared" si="52"/>
        <v>387.42368617035459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0</v>
      </c>
      <c r="HH62" s="23">
        <f>EXP(-LN(2)/25)*HH61+(1-EXP(-LN(2)/25))/(LN(2)/25)*Calculateur!HC62*Calculateur!HE62*VLOOKUP('Données projet'!$B$18,Paramètres!$A$1:$I$89,3,0)*0.475*44/12</f>
        <v>0</v>
      </c>
      <c r="HI62" s="23">
        <f>EXP(-LN(2)/2)*HI61+(1-EXP(-LN(2)/2))/(LN(2)/2)*HC62*HF62*VLOOKUP('Données projet'!$B$18,Paramètres!$A$1:$I$89,3,0)*0.475*44/12</f>
        <v>0</v>
      </c>
      <c r="HJ62" s="24">
        <f t="shared" si="30"/>
        <v>0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135.66666666666666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379</v>
      </c>
      <c r="L63" s="13">
        <f>VLOOKUP(A63,'Données projet'!$A$35:$I$55,9,0)</f>
        <v>8.3000000000000007</v>
      </c>
      <c r="M63" s="13">
        <f t="array" ref="M63">INDEX(L:L,MIN(IF(ISNUMBER(L63:L259),ROW(L63:L259),"")))</f>
        <v>8.3000000000000007</v>
      </c>
      <c r="N63" s="14">
        <f>IF('Données projet'!$A$36&gt;35,N62+M63-V62,IF(A63&lt;'Données projet'!$A$36,$K$205^A63,IF(A63='Données projet'!$A$36,'Données projet'!$B$36,N62+M63-V62)))</f>
        <v>379.00000000000023</v>
      </c>
      <c r="O63" s="14">
        <f>N63*VLOOKUP('Données projet'!$B$9,Paramètres!$A$1:$I$89,3,0)*VLOOKUP('Données projet'!$B$9,Paramètres!$A$1:$I$89,5,0)</f>
        <v>226.64200000000017</v>
      </c>
      <c r="P63" s="14">
        <f t="shared" si="33"/>
        <v>55.555983079812862</v>
      </c>
      <c r="Q63" s="22">
        <f t="shared" si="53"/>
        <v>491.4948205306743</v>
      </c>
      <c r="R63" s="62">
        <f t="shared" si="0"/>
        <v>736.07016082118662</v>
      </c>
      <c r="S63" s="62">
        <f ca="1">AVERAGE(OFFSET($R$3,0,0,'Données projet'!$E$9+1,1))-AVERAGE(OFFSET($H$3,0,0,'Données projet'!$E$9+1,1))</f>
        <v>437.94016462147999</v>
      </c>
      <c r="T63" s="62">
        <f t="shared" si="34"/>
        <v>281.88254003380348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27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2.4988936585174554E-4</v>
      </c>
      <c r="AC63" s="24">
        <f t="shared" si="3"/>
        <v>2.4988936585174554E-4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7.4</v>
      </c>
      <c r="AH63" s="13">
        <f t="array" ref="AH63">INDEX(AG:AG,MIN(IF(ISNUMBER(AG63:AG259),ROW(AG63:AG259),"")))</f>
        <v>7.4</v>
      </c>
      <c r="AI63" s="14">
        <f>IF('Données projet'!$A$62&gt;35,AI62+AH63-AQ62,IF(A63&lt;'Données projet'!$A$62,$AF$205^A63,IF(A63='Données projet'!$A$62,'Données projet'!$B$62,AI62+AH63-AQ62)))</f>
        <v>214.00000000000009</v>
      </c>
      <c r="AJ63" s="14">
        <f>AI63*VLOOKUP('Données projet'!$B$10,Paramètres!$A$1:$I$89,3,0)*VLOOKUP('Données projet'!$B$10,Paramètres!$A$1:$I$89,5,0)</f>
        <v>193.62720000000007</v>
      </c>
      <c r="AK63" s="14">
        <f t="shared" si="35"/>
        <v>48.340990547231236</v>
      </c>
      <c r="AL63" s="22">
        <f t="shared" si="4"/>
        <v>421.42793186976115</v>
      </c>
      <c r="AM63" s="62">
        <f t="shared" si="5"/>
        <v>666.00327216027358</v>
      </c>
      <c r="AN63" s="62">
        <f ca="1">AVERAGE(OFFSET($AM$3,0,0,'Données projet'!$E$10+1,1))-AVERAGE(OFFSET($H$3,0,0,'Données projet'!$E$10+1,1))</f>
        <v>434.56763649859136</v>
      </c>
      <c r="AO63" s="62">
        <f t="shared" si="36"/>
        <v>271.90302066766264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1.1368683772161603E-13</v>
      </c>
      <c r="BE63" s="14">
        <f>BD63*VLOOKUP('Données projet'!$B$11,Paramètres!$A$1:$I$89,3,0)*VLOOKUP('Données projet'!$B$11,Paramètres!$A$1:$I$89,5,0)</f>
        <v>6.7984728957526396E-14</v>
      </c>
      <c r="BF63" s="14">
        <f t="shared" si="37"/>
        <v>1.0682447123141398E-12</v>
      </c>
      <c r="BG63" s="22">
        <f t="shared" si="7"/>
        <v>1.978932943548152E-12</v>
      </c>
      <c r="BH63" s="62">
        <f t="shared" si="8"/>
        <v>244.57534029051436</v>
      </c>
      <c r="BI63" s="62">
        <f ca="1">AVERAGE(OFFSET($BH$3,0,0,'Données projet'!$E$11+1,1))-AVERAGE(OFFSET($H$3,0,0,'Données projet'!$E$11+1,1))</f>
        <v>199.65420589615553</v>
      </c>
      <c r="BJ63" s="62">
        <f t="shared" si="38"/>
        <v>477.85821088970999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29.435252388477537</v>
      </c>
      <c r="BQ63" s="23">
        <f>EXP(-LN(2)/25)*BQ62+(1-EXP(-LN(2)/25))/(LN(2)/25)*Calculateur!BL63*Calculateur!BN63*VLOOKUP('Données projet'!$B$11,Paramètres!$A$1:$I$89,3,0)*0.475*44/12</f>
        <v>19.129832704099719</v>
      </c>
      <c r="BR63" s="23">
        <f>EXP(-LN(2)/2)*BR62+(1-EXP(-LN(2)/2))/(LN(2)/2)*BL63*BO63*VLOOKUP('Données projet'!$B$11,Paramètres!$A$1:$I$89,3,0)*0.475*44/12</f>
        <v>1.3295710692415928E-3</v>
      </c>
      <c r="BS63" s="24">
        <f t="shared" si="9"/>
        <v>48.566414663646498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379</v>
      </c>
      <c r="BW63" s="13">
        <f>VLOOKUP(A63,'Données projet'!$A$113:$I$133,9,0)</f>
        <v>8.3000000000000007</v>
      </c>
      <c r="BX63" s="13">
        <f t="array" ref="BX63">INDEX(BW:BW,MIN(IF(ISNUMBER(BW63:BW259),ROW(BW63:BW259),"")))</f>
        <v>8.3000000000000007</v>
      </c>
      <c r="BY63" s="13">
        <f>IF('Données projet'!$A$114&gt;35,BY62+BX63-CG62,IF(A63&lt;'Données projet'!$A$114,$BV$205^A63,IF(A63='Données projet'!$A$114,'Données projet'!$B$114,BY62+BX63-CG62)))</f>
        <v>379.00000000000023</v>
      </c>
      <c r="BZ63" s="14">
        <f>BY63*VLOOKUP('Données projet'!$B$12,Paramètres!$A$1:$I$89,3,0)*VLOOKUP('Données projet'!$B$12,Paramètres!$A$1:$I$89,5,0)</f>
        <v>226.64200000000017</v>
      </c>
      <c r="CA63" s="14">
        <f t="shared" si="39"/>
        <v>55.555983079812862</v>
      </c>
      <c r="CB63" s="22">
        <f t="shared" si="10"/>
        <v>491.4948205306743</v>
      </c>
      <c r="CC63" s="62">
        <f t="shared" si="11"/>
        <v>736.07016082118662</v>
      </c>
      <c r="CD63" s="62">
        <f ca="1">AVERAGE(OFFSET($CC$3,0,0,'Données projet'!$E$12+1,1))-AVERAGE(OFFSET($H$3,0,0,'Données projet'!$E$12+1,1))</f>
        <v>437.94016462147999</v>
      </c>
      <c r="CE63" s="62">
        <f t="shared" si="40"/>
        <v>281.88254003380348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27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2.4988936585174554E-4</v>
      </c>
      <c r="CN63" s="24">
        <f t="shared" si="12"/>
        <v>2.4988936585174554E-4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214</v>
      </c>
      <c r="CR63" s="13">
        <f>VLOOKUP(A63,'Données projet'!$A$139:$I$159,9,0)</f>
        <v>7.4</v>
      </c>
      <c r="CS63" s="13">
        <f t="array" ref="CS63">INDEX(CR:CR,MIN(IF(ISNUMBER(CR63:CR259),ROW(CR63:CR259),"")))</f>
        <v>7.4</v>
      </c>
      <c r="CT63" s="13">
        <f>IF('Données projet'!$A$140&gt;35,CT62+CS63-DB62,IF(A63&lt;'Données projet'!$A$140,$CQ$205^A63,IF(A63='Données projet'!$A$140,'Données projet'!$B$140,CT62+CS63-DB62)))</f>
        <v>214.00000000000009</v>
      </c>
      <c r="CU63" s="18">
        <f>CT63*VLOOKUP('Données projet'!$B$13,Paramètres!$A$1:$I$89,3,0)*VLOOKUP('Données projet'!$B$13,Paramètres!$A$1:$I$89,5,0)</f>
        <v>243.70320000000009</v>
      </c>
      <c r="CV63" s="14">
        <f t="shared" si="41"/>
        <v>59.235580564655933</v>
      </c>
      <c r="CW63" s="22">
        <f t="shared" si="13"/>
        <v>527.61837615010927</v>
      </c>
      <c r="CX63" s="62">
        <f t="shared" si="14"/>
        <v>772.19371644062164</v>
      </c>
      <c r="CY63" s="62">
        <f ca="1">AVERAGE(OFFSET($CX$3,0,0,'Données projet'!$E$13+1,1))-AVERAGE(OFFSET($H$3,0,0,'Données projet'!$E$13+1,1))</f>
        <v>520.23742527061836</v>
      </c>
      <c r="CZ63" s="62">
        <f t="shared" si="42"/>
        <v>321.35925479331274</v>
      </c>
      <c r="DA63" s="16">
        <f>IF(ISNA(VLOOKUP(A63,'Données projet'!$A$139:$I$159,3,0)),0,VLOOKUP(A63,'Données projet'!$A$139:$I$159,3,0))</f>
        <v>8</v>
      </c>
      <c r="DB63" s="16">
        <f>IF(ISNA(VLOOKUP(A63,'Données projet'!$A$139:$I$159,4,0)),0,VLOOKUP(A63,'Données projet'!$A$139:$I$159,4,0))</f>
        <v>21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273</v>
      </c>
      <c r="DM63" s="13">
        <f>VLOOKUP(A63,'Données projet'!$A$165:$I$185,9,0)</f>
        <v>9.4</v>
      </c>
      <c r="DN63" s="13">
        <f t="array" ref="DN63">INDEX(DM:DM,MIN(IF(ISNUMBER(DM63:DM259),ROW(DM63:DM259),"")))</f>
        <v>9.4</v>
      </c>
      <c r="DO63" s="13">
        <f>IF('Données projet'!$A$166&gt;35,DO62+DN63-DW62,IF(A63&lt;'Données projet'!$A$166,$DL$205^A63,IF(A63='Données projet'!$A$166,'Données projet'!$B$166,DO62+DN63-DW62)))</f>
        <v>272.99999999999994</v>
      </c>
      <c r="DP63" s="18">
        <f>DO63*VLOOKUP('Données projet'!$B$14,Paramètres!$A$1:$I$89,3,0)*VLOOKUP('Données projet'!$B$14,Paramètres!$A$1:$I$89,5,0)</f>
        <v>276.82199999999995</v>
      </c>
      <c r="DQ63" s="14">
        <f t="shared" si="43"/>
        <v>66.29496059864374</v>
      </c>
      <c r="DR63" s="22">
        <f t="shared" si="16"/>
        <v>597.59537304263779</v>
      </c>
      <c r="DS63" s="62">
        <f t="shared" si="17"/>
        <v>842.17071333315016</v>
      </c>
      <c r="DT63" s="62">
        <f ca="1">AVERAGE(OFFSET($DS$3,0,0,'Données projet'!$E$14+1,1))-AVERAGE(OFFSET($H$3,0,0,'Données projet'!$E$14+1,1))</f>
        <v>547.89540791313675</v>
      </c>
      <c r="DU63" s="62">
        <f t="shared" si="44"/>
        <v>345.19555189302378</v>
      </c>
      <c r="DV63" s="16">
        <f>IF(ISNA(VLOOKUP(A63,'Données projet'!$A$165:$I$185,3,0)),0,VLOOKUP(A63,'Données projet'!$A$165:$I$185,3,0))</f>
        <v>9</v>
      </c>
      <c r="DW63" s="16">
        <f>IF(ISNA(VLOOKUP(A63,'Données projet'!$A$165:$I$185,4,0)),0,VLOOKUP(A63,'Données projet'!$A$165:$I$185,4,0))</f>
        <v>28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242</v>
      </c>
      <c r="EH63" s="13">
        <f>VLOOKUP(A63,'Données projet'!$A$191:$I$211,9,0)</f>
        <v>6.8</v>
      </c>
      <c r="EI63" s="13">
        <f t="array" ref="EI63">INDEX(EH:EH,MIN(IF(ISNUMBER(EH63:EH259),ROW(EH63:EH259),"")))</f>
        <v>6.8</v>
      </c>
      <c r="EJ63" s="13">
        <f>IF('Données projet'!$A$192&gt;35,EJ62+EI63-ER62,IF(A63&lt;'Données projet'!$A$192,$EG$205^A63,IF(A63='Données projet'!$A$192,'Données projet'!$B$192,EJ62+EI63-ER62)))</f>
        <v>242.00000000000011</v>
      </c>
      <c r="EK63" s="18">
        <f>EJ63*VLOOKUP('Données projet'!$B$15,Paramètres!$A$1:$I$89,3,0)*VLOOKUP('Données projet'!$B$15,Paramètres!$A$1:$I$89,5,0)</f>
        <v>252.93840000000017</v>
      </c>
      <c r="EL63" s="14">
        <f t="shared" si="45"/>
        <v>61.214726438585089</v>
      </c>
      <c r="EM63" s="22">
        <f t="shared" si="19"/>
        <v>547.15002854720262</v>
      </c>
      <c r="EN63" s="62">
        <f t="shared" si="20"/>
        <v>791.725368837715</v>
      </c>
      <c r="EO63" s="62">
        <f ca="1">AVERAGE(OFFSET($EN$3,0,0,'Données projet'!$E$15+1,1))-AVERAGE(OFFSET($H$3,0,0,'Données projet'!$E$15+1,1))</f>
        <v>418.23737352070503</v>
      </c>
      <c r="EP63" s="62">
        <f t="shared" si="46"/>
        <v>496.10742685332968</v>
      </c>
      <c r="EQ63" s="16">
        <f>IF(ISNA(VLOOKUP(A63,'Données projet'!$A$191:$I$211,3,0)),0,VLOOKUP(A63,'Données projet'!$A$191:$I$211,3,0))</f>
        <v>10</v>
      </c>
      <c r="ER63" s="16">
        <f>IF(ISNA(VLOOKUP(A63,'Données projet'!$A$191:$I$211,4,0)),0,VLOOKUP(A63,'Données projet'!$A$191:$I$211,4,0))</f>
        <v>26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393</v>
      </c>
      <c r="FC63" s="13">
        <f>VLOOKUP(A63,'Données projet'!$A$217:$I$237,9,0)</f>
        <v>15.7</v>
      </c>
      <c r="FD63" s="13">
        <f t="array" ref="FD63">INDEX(FC:FC,MIN(IF(ISNUMBER(FC63:FC259),ROW(FC63:FC259),"")))</f>
        <v>15.7</v>
      </c>
      <c r="FE63" s="13">
        <f>IF('Données projet'!$A$218&gt;35,FE62+FD63-FM62,IF(A63&lt;'Données projet'!$A$218,$FB$205^A63,IF(A63='Données projet'!$A$218,'Données projet'!$B$218,FE62+FD63-FM62)))</f>
        <v>393</v>
      </c>
      <c r="FF63" s="18">
        <f>FE63*VLOOKUP('Données projet'!$B$16,Paramètres!$A$1:$I$89,3,0)*VLOOKUP('Données projet'!$B$16,Paramètres!$A$1:$I$89,5,0)</f>
        <v>235.01400000000001</v>
      </c>
      <c r="FG63" s="14">
        <f t="shared" si="47"/>
        <v>57.365461071820548</v>
      </c>
      <c r="FH63" s="22">
        <f t="shared" si="22"/>
        <v>509.22756136675412</v>
      </c>
      <c r="FI63" s="62">
        <f t="shared" si="23"/>
        <v>753.80290165726649</v>
      </c>
      <c r="FJ63" s="62">
        <f ca="1">AVERAGE(OFFSET($FI$3,0,0,'Données projet'!$E$16+1,1))-AVERAGE(OFFSET($H$3,0,0,'Données projet'!$E$16+1,1))</f>
        <v>341.70983624543067</v>
      </c>
      <c r="FK63" s="62">
        <f t="shared" si="48"/>
        <v>250.82562837973805</v>
      </c>
      <c r="FL63" s="16">
        <f>IF(ISNA(VLOOKUP(A63,'Données projet'!$A$217:$I$237,3,0)),0,VLOOKUP(A63,'Données projet'!$A$217:$I$237,3,0))</f>
        <v>6</v>
      </c>
      <c r="FM63" s="16">
        <f>IF(ISNA(VLOOKUP(A63,'Données projet'!$A$217:$I$237,4,0)),0,VLOOKUP(A63,'Données projet'!$A$217:$I$237,4,0))</f>
        <v>88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3.7819536906451745E-4</v>
      </c>
      <c r="FT63" s="24">
        <f t="shared" si="24"/>
        <v>3.7819536906451745E-4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12.5</v>
      </c>
      <c r="FZ63" s="13">
        <f>IF('Données projet'!$A$244&gt;35,FZ62+FY63-GH62,IF(A63&lt;'Données projet'!$A$244,$FW$205^A63,IF(A63='Données projet'!$A$244,'Données projet'!$B$244,FZ62+FY63-GH62)))</f>
        <v>335.49999999999977</v>
      </c>
      <c r="GA63" s="18">
        <f>FZ63*VLOOKUP('Données projet'!$B$17,Paramètres!$A$1:$I$89,3,0)*VLOOKUP('Données projet'!$B$17,Paramètres!$A$1:$I$89,5,0)</f>
        <v>157.0139999999999</v>
      </c>
      <c r="GB63" s="14">
        <f t="shared" si="49"/>
        <v>40.168278112836148</v>
      </c>
      <c r="GC63" s="22">
        <f t="shared" si="25"/>
        <v>343.42580104652279</v>
      </c>
      <c r="GD63" s="62">
        <f t="shared" si="26"/>
        <v>588.00114133703516</v>
      </c>
      <c r="GE63" s="62">
        <f ca="1">AVERAGE(OFFSET($GD$3,0,0,'Données projet'!$E$17+1,1))-AVERAGE(OFFSET($H$3,0,0,'Données projet'!$E$17+1,1))</f>
        <v>368.69628434154333</v>
      </c>
      <c r="GF63" s="62">
        <f t="shared" si="50"/>
        <v>202.28197295839524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projet'!$A$269:$I$289,2,0)</f>
        <v>220</v>
      </c>
      <c r="GS63" s="13">
        <f>VLOOKUP(A63,'Données projet'!$A$269:$I$289,9,0)</f>
        <v>6</v>
      </c>
      <c r="GT63" s="13">
        <f t="array" ref="GT63">INDEX(GS:GS,MIN(IF(ISNUMBER(GS63:GS259),ROW(GS63:GS259),"")))</f>
        <v>6</v>
      </c>
      <c r="GU63" s="13">
        <f>IF('Données projet'!$A$270&gt;35,GU62+GT63-HC62,IF(A63&lt;'Données projet'!$A$270,$GR$205^A63,IF(A63='Données projet'!$A$270,'Données projet'!$B$270,GU62+GT63-HC62)))</f>
        <v>220.00000000000003</v>
      </c>
      <c r="GV63" s="18">
        <f>GU63*VLOOKUP('Données projet'!$B$18,Paramètres!$A$1:$I$89,3,0)*VLOOKUP('Données projet'!$B$18,Paramètres!$A$1:$I$89,5,0)</f>
        <v>192.19200000000006</v>
      </c>
      <c r="GW63" s="14">
        <f t="shared" si="51"/>
        <v>48.02424892193244</v>
      </c>
      <c r="GX63" s="22">
        <f t="shared" si="28"/>
        <v>418.37663353903241</v>
      </c>
      <c r="GY63" s="62">
        <f t="shared" si="29"/>
        <v>662.95197382954484</v>
      </c>
      <c r="GZ63" s="62">
        <f ca="1">AVERAGE(OFFSET($GY$3,0,0,'Données projet'!$E$18+1,1))-AVERAGE(OFFSET($H$3,0,0,'Données projet'!$E$18+1,1))</f>
        <v>378.51861272969165</v>
      </c>
      <c r="HA63" s="62">
        <f t="shared" si="52"/>
        <v>387.42368617035459</v>
      </c>
      <c r="HB63" s="16">
        <f>IF(ISNA(VLOOKUP(A63,'Données projet'!$A$269:$I$289,3,0)),0,VLOOKUP(A63,'Données projet'!$A$269:$I$289,3,0))</f>
        <v>9</v>
      </c>
      <c r="HC63" s="16">
        <f>IF(ISNA(VLOOKUP(A63,'Données projet'!$A$269:$I$289,4,0)),0,VLOOKUP(A63,'Données projet'!$A$269:$I$289,4,0))</f>
        <v>22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0</v>
      </c>
      <c r="HH63" s="23">
        <f>EXP(-LN(2)/25)*HH62+(1-EXP(-LN(2)/25))/(LN(2)/25)*Calculateur!HC63*Calculateur!HE63*VLOOKUP('Données projet'!$B$18,Paramètres!$A$1:$I$89,3,0)*0.475*44/12</f>
        <v>0</v>
      </c>
      <c r="HI63" s="23">
        <f>EXP(-LN(2)/2)*HI62+(1-EXP(-LN(2)/2))/(LN(2)/2)*HC63*HF63*VLOOKUP('Données projet'!$B$18,Paramètres!$A$1:$I$89,3,0)*0.475*44/12</f>
        <v>0</v>
      </c>
      <c r="HJ63" s="24">
        <f t="shared" si="30"/>
        <v>0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135.66666666666666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</v>
      </c>
      <c r="N64" s="14">
        <f>IF('Données projet'!$A$36&gt;35,N63+M64-V63,IF(A64&lt;'Données projet'!$A$36,$K$205^A64,IF(A64='Données projet'!$A$36,'Données projet'!$B$36,N63+M64-V63)))</f>
        <v>359.00000000000023</v>
      </c>
      <c r="O64" s="14">
        <f>N64*VLOOKUP('Données projet'!$B$9,Paramètres!$A$1:$I$89,3,0)*VLOOKUP('Données projet'!$B$9,Paramètres!$A$1:$I$89,5,0)</f>
        <v>214.68200000000013</v>
      </c>
      <c r="P64" s="14">
        <f t="shared" si="33"/>
        <v>52.957403780225121</v>
      </c>
      <c r="Q64" s="22">
        <f t="shared" si="53"/>
        <v>466.13862825055907</v>
      </c>
      <c r="R64" s="62">
        <f t="shared" si="0"/>
        <v>711.55981071382234</v>
      </c>
      <c r="S64" s="62">
        <f ca="1">AVERAGE(OFFSET($R$3,0,0,'Données projet'!$E$9+1,1))-AVERAGE(OFFSET($H$3,0,0,'Données projet'!$E$9+1,1))</f>
        <v>437.94016462147999</v>
      </c>
      <c r="T64" s="62">
        <f t="shared" si="34"/>
        <v>281.88254003380348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1.7669846514017535E-4</v>
      </c>
      <c r="AC64" s="24">
        <f t="shared" si="3"/>
        <v>1.7669846514017535E-4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200.20000000000007</v>
      </c>
      <c r="AJ64" s="14">
        <f>AI64*VLOOKUP('Données projet'!$B$10,Paramètres!$A$1:$I$89,3,0)*VLOOKUP('Données projet'!$B$10,Paramètres!$A$1:$I$89,5,0)</f>
        <v>181.14096000000006</v>
      </c>
      <c r="AK64" s="14">
        <f t="shared" si="35"/>
        <v>45.575935320610981</v>
      </c>
      <c r="AL64" s="22">
        <f t="shared" si="4"/>
        <v>394.86525935006421</v>
      </c>
      <c r="AM64" s="62">
        <f t="shared" si="5"/>
        <v>640.28644181332743</v>
      </c>
      <c r="AN64" s="62">
        <f ca="1">AVERAGE(OFFSET($AM$3,0,0,'Données projet'!$E$10+1,1))-AVERAGE(OFFSET($H$3,0,0,'Données projet'!$E$10+1,1))</f>
        <v>434.56763649859136</v>
      </c>
      <c r="AO64" s="62">
        <f t="shared" si="36"/>
        <v>271.90302066766264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1.1368683772161603E-13</v>
      </c>
      <c r="BE64" s="14">
        <f>BD64*VLOOKUP('Données projet'!$B$11,Paramètres!$A$1:$I$89,3,0)*VLOOKUP('Données projet'!$B$11,Paramètres!$A$1:$I$89,5,0)</f>
        <v>6.7984728957526396E-14</v>
      </c>
      <c r="BF64" s="14">
        <f t="shared" si="37"/>
        <v>1.0682447123141398E-12</v>
      </c>
      <c r="BG64" s="22">
        <f t="shared" si="7"/>
        <v>1.978932943548152E-12</v>
      </c>
      <c r="BH64" s="62">
        <f t="shared" si="8"/>
        <v>245.42118246326521</v>
      </c>
      <c r="BI64" s="62">
        <f ca="1">AVERAGE(OFFSET($BH$3,0,0,'Données projet'!$E$11+1,1))-AVERAGE(OFFSET($H$3,0,0,'Données projet'!$E$11+1,1))</f>
        <v>199.65420589615553</v>
      </c>
      <c r="BJ64" s="62">
        <f t="shared" si="38"/>
        <v>477.85821088970999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28.858045042870664</v>
      </c>
      <c r="BQ64" s="23">
        <f>EXP(-LN(2)/25)*BQ63+(1-EXP(-LN(2)/25))/(LN(2)/25)*Calculateur!BL64*Calculateur!BN64*VLOOKUP('Données projet'!$B$11,Paramètres!$A$1:$I$89,3,0)*0.475*44/12</f>
        <v>18.606726422811931</v>
      </c>
      <c r="BR64" s="23">
        <f>EXP(-LN(2)/2)*BR63+(1-EXP(-LN(2)/2))/(LN(2)/2)*BL64*BO64*VLOOKUP('Données projet'!$B$11,Paramètres!$A$1:$I$89,3,0)*0.475*44/12</f>
        <v>9.4014871913017904E-4</v>
      </c>
      <c r="BS64" s="24">
        <f t="shared" si="9"/>
        <v>47.465711614401727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</v>
      </c>
      <c r="BY64" s="13">
        <f>IF('Données projet'!$A$114&gt;35,BY63+BX64-CG63,IF(A64&lt;'Données projet'!$A$114,$BV$205^A64,IF(A64='Données projet'!$A$114,'Données projet'!$B$114,BY63+BX64-CG63)))</f>
        <v>359.00000000000023</v>
      </c>
      <c r="BZ64" s="14">
        <f>BY64*VLOOKUP('Données projet'!$B$12,Paramètres!$A$1:$I$89,3,0)*VLOOKUP('Données projet'!$B$12,Paramètres!$A$1:$I$89,5,0)</f>
        <v>214.68200000000013</v>
      </c>
      <c r="CA64" s="14">
        <f t="shared" si="39"/>
        <v>52.957403780225121</v>
      </c>
      <c r="CB64" s="22">
        <f t="shared" si="10"/>
        <v>466.13862825055907</v>
      </c>
      <c r="CC64" s="62">
        <f t="shared" si="11"/>
        <v>711.55981071382234</v>
      </c>
      <c r="CD64" s="62">
        <f ca="1">AVERAGE(OFFSET($CC$3,0,0,'Données projet'!$E$12+1,1))-AVERAGE(OFFSET($H$3,0,0,'Données projet'!$E$12+1,1))</f>
        <v>437.94016462147999</v>
      </c>
      <c r="CE64" s="62">
        <f t="shared" si="40"/>
        <v>281.88254003380348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1.7669846514017535E-4</v>
      </c>
      <c r="CN64" s="24">
        <f t="shared" si="12"/>
        <v>1.7669846514017535E-4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7.2</v>
      </c>
      <c r="CT64" s="13">
        <f>IF('Données projet'!$A$140&gt;35,CT63+CS64-DB63,IF(A64&lt;'Données projet'!$A$140,$CQ$205^A64,IF(A64='Données projet'!$A$140,'Données projet'!$B$140,CT63+CS64-DB63)))</f>
        <v>200.20000000000007</v>
      </c>
      <c r="CU64" s="18">
        <f>CT64*VLOOKUP('Données projet'!$B$13,Paramètres!$A$1:$I$89,3,0)*VLOOKUP('Données projet'!$B$13,Paramètres!$A$1:$I$89,5,0)</f>
        <v>227.98776000000007</v>
      </c>
      <c r="CV64" s="14">
        <f t="shared" si="41"/>
        <v>55.847365929662985</v>
      </c>
      <c r="CW64" s="22">
        <f t="shared" si="13"/>
        <v>494.34617766082982</v>
      </c>
      <c r="CX64" s="62">
        <f t="shared" si="14"/>
        <v>739.7673601240931</v>
      </c>
      <c r="CY64" s="62">
        <f ca="1">AVERAGE(OFFSET($CX$3,0,0,'Données projet'!$E$13+1,1))-AVERAGE(OFFSET($H$3,0,0,'Données projet'!$E$13+1,1))</f>
        <v>520.23742527061836</v>
      </c>
      <c r="CZ64" s="62">
        <f t="shared" si="42"/>
        <v>321.35925479331274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8.8000000000000007</v>
      </c>
      <c r="DO64" s="13">
        <f>IF('Données projet'!$A$166&gt;35,DO63+DN64-DW63,IF(A64&lt;'Données projet'!$A$166,$DL$205^A64,IF(A64='Données projet'!$A$166,'Données projet'!$B$166,DO63+DN64-DW63)))</f>
        <v>253.79999999999995</v>
      </c>
      <c r="DP64" s="18">
        <f>DO64*VLOOKUP('Données projet'!$B$14,Paramètres!$A$1:$I$89,3,0)*VLOOKUP('Données projet'!$B$14,Paramètres!$A$1:$I$89,5,0)</f>
        <v>257.35319999999996</v>
      </c>
      <c r="DQ64" s="14">
        <f t="shared" si="43"/>
        <v>62.157851613080908</v>
      </c>
      <c r="DR64" s="22">
        <f t="shared" si="16"/>
        <v>556.48174822611588</v>
      </c>
      <c r="DS64" s="62">
        <f t="shared" si="17"/>
        <v>801.9029306893791</v>
      </c>
      <c r="DT64" s="62">
        <f ca="1">AVERAGE(OFFSET($DS$3,0,0,'Données projet'!$E$14+1,1))-AVERAGE(OFFSET($H$3,0,0,'Données projet'!$E$14+1,1))</f>
        <v>547.89540791313675</v>
      </c>
      <c r="DU64" s="62">
        <f t="shared" si="44"/>
        <v>345.19555189302378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6</v>
      </c>
      <c r="EJ64" s="13">
        <f>IF('Données projet'!$A$192&gt;35,EJ63+EI64-ER63,IF(A64&lt;'Données projet'!$A$192,$EG$205^A64,IF(A64='Données projet'!$A$192,'Données projet'!$B$192,EJ63+EI64-ER63)))</f>
        <v>222.00000000000011</v>
      </c>
      <c r="EK64" s="18">
        <f>EJ64*VLOOKUP('Données projet'!$B$15,Paramètres!$A$1:$I$89,3,0)*VLOOKUP('Données projet'!$B$15,Paramètres!$A$1:$I$89,5,0)</f>
        <v>232.03440000000015</v>
      </c>
      <c r="EL64" s="14">
        <f t="shared" si="45"/>
        <v>56.722340668285831</v>
      </c>
      <c r="EM64" s="22">
        <f t="shared" si="19"/>
        <v>502.91798999726478</v>
      </c>
      <c r="EN64" s="62">
        <f t="shared" si="20"/>
        <v>748.33917246052806</v>
      </c>
      <c r="EO64" s="62">
        <f ca="1">AVERAGE(OFFSET($EN$3,0,0,'Données projet'!$E$15+1,1))-AVERAGE(OFFSET($H$3,0,0,'Données projet'!$E$15+1,1))</f>
        <v>418.23737352070503</v>
      </c>
      <c r="EP64" s="62">
        <f t="shared" si="46"/>
        <v>496.10742685332968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14.3</v>
      </c>
      <c r="FE64" s="13">
        <f>IF('Données projet'!$A$218&gt;35,FE63+FD64-FM63,IF(A64&lt;'Données projet'!$A$218,$FB$205^A64,IF(A64='Données projet'!$A$218,'Données projet'!$B$218,FE63+FD64-FM63)))</f>
        <v>319.3</v>
      </c>
      <c r="FF64" s="18">
        <f>FE64*VLOOKUP('Données projet'!$B$16,Paramètres!$A$1:$I$89,3,0)*VLOOKUP('Données projet'!$B$16,Paramètres!$A$1:$I$89,5,0)</f>
        <v>190.94140000000002</v>
      </c>
      <c r="FG64" s="14">
        <f t="shared" si="47"/>
        <v>47.748023117802013</v>
      </c>
      <c r="FH64" s="22">
        <f t="shared" si="22"/>
        <v>415.71741193017186</v>
      </c>
      <c r="FI64" s="62">
        <f t="shared" si="23"/>
        <v>661.13859439343514</v>
      </c>
      <c r="FJ64" s="62">
        <f ca="1">AVERAGE(OFFSET($FI$3,0,0,'Données projet'!$E$16+1,1))-AVERAGE(OFFSET($H$3,0,0,'Données projet'!$E$16+1,1))</f>
        <v>341.70983624543067</v>
      </c>
      <c r="FK64" s="62">
        <f t="shared" si="48"/>
        <v>250.82562837973805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2.6742451007886933E-4</v>
      </c>
      <c r="FT64" s="24">
        <f t="shared" si="24"/>
        <v>2.6742451007886933E-4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>
        <f>VLOOKUP(A64,'Données projet'!$A$243:$I$263,2,0)</f>
        <v>348</v>
      </c>
      <c r="FX64" s="13">
        <f>VLOOKUP(A64,'Données projet'!$A$243:$I$263,9,0)</f>
        <v>12.5</v>
      </c>
      <c r="FY64" s="13">
        <f t="array" ref="FY64">INDEX(FX:FX,MIN(IF(ISNUMBER(FX64:FX260),ROW(FX64:FX260),"")))</f>
        <v>12.5</v>
      </c>
      <c r="FZ64" s="13">
        <f>IF('Données projet'!$A$244&gt;35,FZ63+FY64-GH63,IF(A64&lt;'Données projet'!$A$244,$FW$205^A64,IF(A64='Données projet'!$A$244,'Données projet'!$B$244,FZ63+FY64-GH63)))</f>
        <v>347.99999999999977</v>
      </c>
      <c r="GA64" s="18">
        <f>FZ64*VLOOKUP('Données projet'!$B$17,Paramètres!$A$1:$I$89,3,0)*VLOOKUP('Données projet'!$B$17,Paramètres!$A$1:$I$89,5,0)</f>
        <v>162.86399999999989</v>
      </c>
      <c r="GB64" s="14">
        <f t="shared" si="49"/>
        <v>41.48783006950908</v>
      </c>
      <c r="GC64" s="22">
        <f t="shared" si="25"/>
        <v>355.91277070439475</v>
      </c>
      <c r="GD64" s="62">
        <f t="shared" si="26"/>
        <v>601.33395316765791</v>
      </c>
      <c r="GE64" s="62">
        <f ca="1">AVERAGE(OFFSET($GD$3,0,0,'Données projet'!$E$17+1,1))-AVERAGE(OFFSET($H$3,0,0,'Données projet'!$E$17+1,1))</f>
        <v>368.69628434154333</v>
      </c>
      <c r="GF64" s="62">
        <f t="shared" si="50"/>
        <v>202.28197295839524</v>
      </c>
      <c r="GG64" s="16">
        <f>IF(ISNA(VLOOKUP(A64,'Données projet'!$A$243:$I$263,3,0)),0,VLOOKUP(A64,'Données projet'!$A$243:$I$263,3,0))</f>
        <v>5</v>
      </c>
      <c r="GH64" s="16">
        <f>IF(ISNA(VLOOKUP(A64,'Données projet'!$A$243:$I$263,4,0)),0,VLOOKUP(A64,'Données projet'!$A$243:$I$263,4,0))</f>
        <v>100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5.2</v>
      </c>
      <c r="GU64" s="13">
        <f>IF('Données projet'!$A$270&gt;35,GU63+GT64-HC63,IF(A64&lt;'Données projet'!$A$270,$GR$205^A64,IF(A64='Données projet'!$A$270,'Données projet'!$B$270,GU63+GT64-HC63)))</f>
        <v>203.20000000000002</v>
      </c>
      <c r="GV64" s="18">
        <f>GU64*VLOOKUP('Données projet'!$B$18,Paramètres!$A$1:$I$89,3,0)*VLOOKUP('Données projet'!$B$18,Paramètres!$A$1:$I$89,5,0)</f>
        <v>177.51552000000004</v>
      </c>
      <c r="GW64" s="14">
        <f t="shared" si="51"/>
        <v>44.768988809542904</v>
      </c>
      <c r="GX64" s="22">
        <f t="shared" si="28"/>
        <v>387.145519509954</v>
      </c>
      <c r="GY64" s="62">
        <f t="shared" si="29"/>
        <v>632.56670197321728</v>
      </c>
      <c r="GZ64" s="62">
        <f ca="1">AVERAGE(OFFSET($GY$3,0,0,'Données projet'!$E$18+1,1))-AVERAGE(OFFSET($H$3,0,0,'Données projet'!$E$18+1,1))</f>
        <v>378.51861272969165</v>
      </c>
      <c r="HA64" s="62">
        <f t="shared" si="52"/>
        <v>387.42368617035459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0</v>
      </c>
      <c r="HH64" s="23">
        <f>EXP(-LN(2)/25)*HH63+(1-EXP(-LN(2)/25))/(LN(2)/25)*Calculateur!HC64*Calculateur!HE64*VLOOKUP('Données projet'!$B$18,Paramètres!$A$1:$I$89,3,0)*0.475*44/12</f>
        <v>0</v>
      </c>
      <c r="HI64" s="23">
        <f>EXP(-LN(2)/2)*HI63+(1-EXP(-LN(2)/2))/(LN(2)/2)*HC64*HF64*VLOOKUP('Données projet'!$B$18,Paramètres!$A$1:$I$89,3,0)*0.475*44/12</f>
        <v>0</v>
      </c>
      <c r="HJ64" s="24">
        <f t="shared" si="30"/>
        <v>0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135.66666666666666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</v>
      </c>
      <c r="N65" s="14">
        <f>IF('Données projet'!$A$36&gt;35,N64+M65-V64,IF(A65&lt;'Données projet'!$A$36,$K$205^A65,IF(A65='Données projet'!$A$36,'Données projet'!$B$36,N64+M65-V64)))</f>
        <v>366.00000000000023</v>
      </c>
      <c r="O65" s="14">
        <f>N65*VLOOKUP('Données projet'!$B$9,Paramètres!$A$1:$I$89,3,0)*VLOOKUP('Données projet'!$B$9,Paramètres!$A$1:$I$89,5,0)</f>
        <v>218.86800000000014</v>
      </c>
      <c r="P65" s="14">
        <f t="shared" si="33"/>
        <v>53.868777293257544</v>
      </c>
      <c r="Q65" s="22">
        <f t="shared" si="53"/>
        <v>475.01655378575714</v>
      </c>
      <c r="R65" s="62">
        <f t="shared" si="0"/>
        <v>721.26890495109387</v>
      </c>
      <c r="S65" s="62">
        <f ca="1">AVERAGE(OFFSET($R$3,0,0,'Données projet'!$E$9+1,1))-AVERAGE(OFFSET($H$3,0,0,'Données projet'!$E$9+1,1))</f>
        <v>437.94016462147999</v>
      </c>
      <c r="T65" s="62">
        <f t="shared" si="34"/>
        <v>281.88254003380348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1.2494468292587277E-4</v>
      </c>
      <c r="AC65" s="24">
        <f t="shared" si="3"/>
        <v>1.2494468292587277E-4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207.40000000000006</v>
      </c>
      <c r="AJ65" s="14">
        <f>AI65*VLOOKUP('Données projet'!$B$10,Paramètres!$A$1:$I$89,3,0)*VLOOKUP('Données projet'!$B$10,Paramètres!$A$1:$I$89,5,0)</f>
        <v>187.65552000000005</v>
      </c>
      <c r="AK65" s="14">
        <f t="shared" si="35"/>
        <v>47.021247649900147</v>
      </c>
      <c r="AL65" s="22">
        <f t="shared" si="4"/>
        <v>408.72870365690954</v>
      </c>
      <c r="AM65" s="62">
        <f t="shared" si="5"/>
        <v>654.98105482224628</v>
      </c>
      <c r="AN65" s="62">
        <f ca="1">AVERAGE(OFFSET($AM$3,0,0,'Données projet'!$E$10+1,1))-AVERAGE(OFFSET($H$3,0,0,'Données projet'!$E$10+1,1))</f>
        <v>434.56763649859136</v>
      </c>
      <c r="AO65" s="62">
        <f t="shared" si="36"/>
        <v>271.90302066766264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1.1368683772161603E-13</v>
      </c>
      <c r="BE65" s="14">
        <f>BD65*VLOOKUP('Données projet'!$B$11,Paramètres!$A$1:$I$89,3,0)*VLOOKUP('Données projet'!$B$11,Paramètres!$A$1:$I$89,5,0)</f>
        <v>6.7984728957526396E-14</v>
      </c>
      <c r="BF65" s="14">
        <f t="shared" si="37"/>
        <v>1.0682447123141398E-12</v>
      </c>
      <c r="BG65" s="22">
        <f t="shared" si="7"/>
        <v>1.978932943548152E-12</v>
      </c>
      <c r="BH65" s="62">
        <f t="shared" si="8"/>
        <v>246.25235116533867</v>
      </c>
      <c r="BI65" s="62">
        <f ca="1">AVERAGE(OFFSET($BH$3,0,0,'Données projet'!$E$11+1,1))-AVERAGE(OFFSET($H$3,0,0,'Données projet'!$E$11+1,1))</f>
        <v>199.65420589615553</v>
      </c>
      <c r="BJ65" s="62">
        <f t="shared" si="38"/>
        <v>477.85821088970999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28.292156381249427</v>
      </c>
      <c r="BQ65" s="23">
        <f>EXP(-LN(2)/25)*BQ64+(1-EXP(-LN(2)/25))/(LN(2)/25)*Calculateur!BL65*Calculateur!BN65*VLOOKUP('Données projet'!$B$11,Paramètres!$A$1:$I$89,3,0)*0.475*44/12</f>
        <v>18.097924510294924</v>
      </c>
      <c r="BR65" s="23">
        <f>EXP(-LN(2)/2)*BR64+(1-EXP(-LN(2)/2))/(LN(2)/2)*BL65*BO65*VLOOKUP('Données projet'!$B$11,Paramètres!$A$1:$I$89,3,0)*0.475*44/12</f>
        <v>6.6478553462079651E-4</v>
      </c>
      <c r="BS65" s="24">
        <f t="shared" si="9"/>
        <v>46.390745677078968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</v>
      </c>
      <c r="BY65" s="13">
        <f>IF('Données projet'!$A$114&gt;35,BY64+BX65-CG64,IF(A65&lt;'Données projet'!$A$114,$BV$205^A65,IF(A65='Données projet'!$A$114,'Données projet'!$B$114,BY64+BX65-CG64)))</f>
        <v>366.00000000000023</v>
      </c>
      <c r="BZ65" s="14">
        <f>BY65*VLOOKUP('Données projet'!$B$12,Paramètres!$A$1:$I$89,3,0)*VLOOKUP('Données projet'!$B$12,Paramètres!$A$1:$I$89,5,0)</f>
        <v>218.86800000000014</v>
      </c>
      <c r="CA65" s="14">
        <f t="shared" si="39"/>
        <v>53.868777293257544</v>
      </c>
      <c r="CB65" s="22">
        <f t="shared" si="10"/>
        <v>475.01655378575714</v>
      </c>
      <c r="CC65" s="62">
        <f t="shared" si="11"/>
        <v>721.26890495109387</v>
      </c>
      <c r="CD65" s="62">
        <f ca="1">AVERAGE(OFFSET($CC$3,0,0,'Données projet'!$E$12+1,1))-AVERAGE(OFFSET($H$3,0,0,'Données projet'!$E$12+1,1))</f>
        <v>437.94016462147999</v>
      </c>
      <c r="CE65" s="62">
        <f t="shared" si="40"/>
        <v>281.88254003380348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1.2494468292587277E-4</v>
      </c>
      <c r="CN65" s="24">
        <f t="shared" si="12"/>
        <v>1.2494468292587277E-4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7.2</v>
      </c>
      <c r="CT65" s="13">
        <f>IF('Données projet'!$A$140&gt;35,CT64+CS65-DB64,IF(A65&lt;'Données projet'!$A$140,$CQ$205^A65,IF(A65='Données projet'!$A$140,'Données projet'!$B$140,CT64+CS65-DB64)))</f>
        <v>207.40000000000006</v>
      </c>
      <c r="CU65" s="18">
        <f>CT65*VLOOKUP('Données projet'!$B$13,Paramètres!$A$1:$I$89,3,0)*VLOOKUP('Données projet'!$B$13,Paramètres!$A$1:$I$89,5,0)</f>
        <v>236.18712000000008</v>
      </c>
      <c r="CV65" s="14">
        <f t="shared" si="41"/>
        <v>57.61840772987285</v>
      </c>
      <c r="CW65" s="22">
        <f t="shared" si="13"/>
        <v>511.71129412952865</v>
      </c>
      <c r="CX65" s="62">
        <f t="shared" si="14"/>
        <v>757.96364529486527</v>
      </c>
      <c r="CY65" s="62">
        <f ca="1">AVERAGE(OFFSET($CX$3,0,0,'Données projet'!$E$13+1,1))-AVERAGE(OFFSET($H$3,0,0,'Données projet'!$E$13+1,1))</f>
        <v>520.23742527061836</v>
      </c>
      <c r="CZ65" s="62">
        <f t="shared" si="42"/>
        <v>321.35925479331274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8.8000000000000007</v>
      </c>
      <c r="DO65" s="13">
        <f>IF('Données projet'!$A$166&gt;35,DO64+DN65-DW64,IF(A65&lt;'Données projet'!$A$166,$DL$205^A65,IF(A65='Données projet'!$A$166,'Données projet'!$B$166,DO64+DN65-DW64)))</f>
        <v>262.59999999999997</v>
      </c>
      <c r="DP65" s="18">
        <f>DO65*VLOOKUP('Données projet'!$B$14,Paramètres!$A$1:$I$89,3,0)*VLOOKUP('Données projet'!$B$14,Paramètres!$A$1:$I$89,5,0)</f>
        <v>266.27640000000002</v>
      </c>
      <c r="DQ65" s="14">
        <f t="shared" si="43"/>
        <v>64.058389829439747</v>
      </c>
      <c r="DR65" s="22">
        <f t="shared" si="16"/>
        <v>575.33309228627434</v>
      </c>
      <c r="DS65" s="62">
        <f t="shared" si="17"/>
        <v>821.58544345161101</v>
      </c>
      <c r="DT65" s="62">
        <f ca="1">AVERAGE(OFFSET($DS$3,0,0,'Données projet'!$E$14+1,1))-AVERAGE(OFFSET($H$3,0,0,'Données projet'!$E$14+1,1))</f>
        <v>547.89540791313675</v>
      </c>
      <c r="DU65" s="62">
        <f t="shared" si="44"/>
        <v>345.19555189302378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6</v>
      </c>
      <c r="EJ65" s="13">
        <f>IF('Données projet'!$A$192&gt;35,EJ64+EI65-ER64,IF(A65&lt;'Données projet'!$A$192,$EG$205^A65,IF(A65='Données projet'!$A$192,'Données projet'!$B$192,EJ64+EI65-ER64)))</f>
        <v>228.00000000000011</v>
      </c>
      <c r="EK65" s="18">
        <f>EJ65*VLOOKUP('Données projet'!$B$15,Paramètres!$A$1:$I$89,3,0)*VLOOKUP('Données projet'!$B$15,Paramètres!$A$1:$I$89,5,0)</f>
        <v>238.30560000000014</v>
      </c>
      <c r="EL65" s="14">
        <f t="shared" si="45"/>
        <v>58.07482187896715</v>
      </c>
      <c r="EM65" s="22">
        <f t="shared" si="19"/>
        <v>516.19590143920129</v>
      </c>
      <c r="EN65" s="62">
        <f t="shared" si="20"/>
        <v>762.44825260453797</v>
      </c>
      <c r="EO65" s="62">
        <f ca="1">AVERAGE(OFFSET($EN$3,0,0,'Données projet'!$E$15+1,1))-AVERAGE(OFFSET($H$3,0,0,'Données projet'!$E$15+1,1))</f>
        <v>418.23737352070503</v>
      </c>
      <c r="EP65" s="62">
        <f t="shared" si="46"/>
        <v>496.10742685332968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14.3</v>
      </c>
      <c r="FE65" s="13">
        <f>IF('Données projet'!$A$218&gt;35,FE64+FD65-FM64,IF(A65&lt;'Données projet'!$A$218,$FB$205^A65,IF(A65='Données projet'!$A$218,'Données projet'!$B$218,FE64+FD65-FM64)))</f>
        <v>333.6</v>
      </c>
      <c r="FF65" s="18">
        <f>FE65*VLOOKUP('Données projet'!$B$16,Paramètres!$A$1:$I$89,3,0)*VLOOKUP('Données projet'!$B$16,Paramètres!$A$1:$I$89,5,0)</f>
        <v>199.49280000000002</v>
      </c>
      <c r="FG65" s="14">
        <f t="shared" si="47"/>
        <v>49.632684049228061</v>
      </c>
      <c r="FH65" s="22">
        <f t="shared" si="22"/>
        <v>433.89355138573887</v>
      </c>
      <c r="FI65" s="62">
        <f t="shared" si="23"/>
        <v>680.14590255107555</v>
      </c>
      <c r="FJ65" s="62">
        <f ca="1">AVERAGE(OFFSET($FI$3,0,0,'Données projet'!$E$16+1,1))-AVERAGE(OFFSET($H$3,0,0,'Données projet'!$E$16+1,1))</f>
        <v>341.70983624543067</v>
      </c>
      <c r="FK65" s="62">
        <f t="shared" si="48"/>
        <v>250.82562837973805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1.8909768453225873E-4</v>
      </c>
      <c r="FT65" s="24">
        <f t="shared" si="24"/>
        <v>1.8909768453225873E-4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>
        <f>VLOOKUP(A65,'Données projet'!$A$243:$I$263,2,0)</f>
        <v>260</v>
      </c>
      <c r="FX65" s="13">
        <f>VLOOKUP(A65,'Données projet'!$A$243:$I$263,9,0)</f>
        <v>12</v>
      </c>
      <c r="FY65" s="13">
        <f t="array" ref="FY65">INDEX(FX:FX,MIN(IF(ISNUMBER(FX65:FX261),ROW(FX65:FX261),"")))</f>
        <v>12</v>
      </c>
      <c r="FZ65" s="13">
        <f>IF('Données projet'!$A$244&gt;35,FZ64+FY65-GH64,IF(A65&lt;'Données projet'!$A$244,$FW$205^A65,IF(A65='Données projet'!$A$244,'Données projet'!$B$244,FZ64+FY65-GH64)))</f>
        <v>259.99999999999977</v>
      </c>
      <c r="GA65" s="18">
        <f>FZ65*VLOOKUP('Données projet'!$B$17,Paramètres!$A$1:$I$89,3,0)*VLOOKUP('Données projet'!$B$17,Paramètres!$A$1:$I$89,5,0)</f>
        <v>121.67999999999988</v>
      </c>
      <c r="GB65" s="14">
        <f t="shared" si="49"/>
        <v>32.066514091456227</v>
      </c>
      <c r="GC65" s="22">
        <f t="shared" si="25"/>
        <v>267.77517870928608</v>
      </c>
      <c r="GD65" s="62">
        <f t="shared" si="26"/>
        <v>514.02752987462281</v>
      </c>
      <c r="GE65" s="62">
        <f ca="1">AVERAGE(OFFSET($GD$3,0,0,'Données projet'!$E$17+1,1))-AVERAGE(OFFSET($H$3,0,0,'Données projet'!$E$17+1,1))</f>
        <v>368.69628434154333</v>
      </c>
      <c r="GF65" s="62">
        <f t="shared" si="50"/>
        <v>202.28197295839524</v>
      </c>
      <c r="GG65" s="16">
        <f>IF(ISNA(VLOOKUP(A65,'Données projet'!$A$243:$I$263,3,0)),0,VLOOKUP(A65,'Données projet'!$A$243:$I$263,3,0))</f>
        <v>6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5.2</v>
      </c>
      <c r="GU65" s="13">
        <f>IF('Données projet'!$A$270&gt;35,GU64+GT65-HC64,IF(A65&lt;'Données projet'!$A$270,$GR$205^A65,IF(A65='Données projet'!$A$270,'Données projet'!$B$270,GU64+GT65-HC64)))</f>
        <v>208.4</v>
      </c>
      <c r="GV65" s="18">
        <f>GU65*VLOOKUP('Données projet'!$B$18,Paramètres!$A$1:$I$89,3,0)*VLOOKUP('Données projet'!$B$18,Paramètres!$A$1:$I$89,5,0)</f>
        <v>182.05824000000001</v>
      </c>
      <c r="GW65" s="14">
        <f t="shared" si="51"/>
        <v>45.779803189729343</v>
      </c>
      <c r="GX65" s="22">
        <f t="shared" si="28"/>
        <v>396.81792522211191</v>
      </c>
      <c r="GY65" s="62">
        <f t="shared" si="29"/>
        <v>643.07027638744853</v>
      </c>
      <c r="GZ65" s="62">
        <f ca="1">AVERAGE(OFFSET($GY$3,0,0,'Données projet'!$E$18+1,1))-AVERAGE(OFFSET($H$3,0,0,'Données projet'!$E$18+1,1))</f>
        <v>378.51861272969165</v>
      </c>
      <c r="HA65" s="62">
        <f t="shared" si="52"/>
        <v>387.42368617035459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0</v>
      </c>
      <c r="HH65" s="23">
        <f>EXP(-LN(2)/25)*HH64+(1-EXP(-LN(2)/25))/(LN(2)/25)*Calculateur!HC65*Calculateur!HE65*VLOOKUP('Données projet'!$B$18,Paramètres!$A$1:$I$89,3,0)*0.475*44/12</f>
        <v>0</v>
      </c>
      <c r="HI65" s="23">
        <f>EXP(-LN(2)/2)*HI64+(1-EXP(-LN(2)/2))/(LN(2)/2)*HC65*HF65*VLOOKUP('Données projet'!$B$18,Paramètres!$A$1:$I$89,3,0)*0.475*44/12</f>
        <v>0</v>
      </c>
      <c r="HJ65" s="24">
        <f t="shared" si="30"/>
        <v>0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135.66666666666666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</v>
      </c>
      <c r="N66" s="14">
        <f>IF('Données projet'!$A$36&gt;35,N65+M66-V65,IF(A66&lt;'Données projet'!$A$36,$K$205^A66,IF(A66='Données projet'!$A$36,'Données projet'!$B$36,N65+M66-V65)))</f>
        <v>373.00000000000023</v>
      </c>
      <c r="O66" s="14">
        <f>N66*VLOOKUP('Données projet'!$B$9,Paramètres!$A$1:$I$89,3,0)*VLOOKUP('Données projet'!$B$9,Paramètres!$A$1:$I$89,5,0)</f>
        <v>223.05400000000017</v>
      </c>
      <c r="P66" s="14">
        <f t="shared" si="33"/>
        <v>54.778124005813432</v>
      </c>
      <c r="Q66" s="22">
        <f t="shared" si="53"/>
        <v>483.89094931012534</v>
      </c>
      <c r="R66" s="62">
        <f t="shared" si="0"/>
        <v>730.96005025876934</v>
      </c>
      <c r="S66" s="62">
        <f ca="1">AVERAGE(OFFSET($R$3,0,0,'Données projet'!$E$9+1,1))-AVERAGE(OFFSET($H$3,0,0,'Données projet'!$E$9+1,1))</f>
        <v>437.94016462147999</v>
      </c>
      <c r="T66" s="62">
        <f t="shared" si="34"/>
        <v>281.88254003380348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8.8349232570087677E-5</v>
      </c>
      <c r="AC66" s="24">
        <f t="shared" si="3"/>
        <v>8.8349232570087677E-5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214.60000000000005</v>
      </c>
      <c r="AJ66" s="14">
        <f>AI66*VLOOKUP('Données projet'!$B$10,Paramètres!$A$1:$I$89,3,0)*VLOOKUP('Données projet'!$B$10,Paramètres!$A$1:$I$89,5,0)</f>
        <v>194.17008000000004</v>
      </c>
      <c r="AK66" s="14">
        <f t="shared" si="35"/>
        <v>48.460730182351078</v>
      </c>
      <c r="AL66" s="22">
        <f t="shared" si="4"/>
        <v>422.58199440092818</v>
      </c>
      <c r="AM66" s="62">
        <f t="shared" si="5"/>
        <v>669.65109534957219</v>
      </c>
      <c r="AN66" s="62">
        <f ca="1">AVERAGE(OFFSET($AM$3,0,0,'Données projet'!$E$10+1,1))-AVERAGE(OFFSET($H$3,0,0,'Données projet'!$E$10+1,1))</f>
        <v>434.56763649859136</v>
      </c>
      <c r="AO66" s="62">
        <f t="shared" si="36"/>
        <v>271.90302066766264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1.1368683772161603E-13</v>
      </c>
      <c r="BE66" s="14">
        <f>BD66*VLOOKUP('Données projet'!$B$11,Paramètres!$A$1:$I$89,3,0)*VLOOKUP('Données projet'!$B$11,Paramètres!$A$1:$I$89,5,0)</f>
        <v>6.7984728957526396E-14</v>
      </c>
      <c r="BF66" s="14">
        <f t="shared" si="37"/>
        <v>1.0682447123141398E-12</v>
      </c>
      <c r="BG66" s="22">
        <f t="shared" si="7"/>
        <v>1.978932943548152E-12</v>
      </c>
      <c r="BH66" s="62">
        <f t="shared" si="8"/>
        <v>247.06910094864597</v>
      </c>
      <c r="BI66" s="62">
        <f ca="1">AVERAGE(OFFSET($BH$3,0,0,'Données projet'!$E$11+1,1))-AVERAGE(OFFSET($H$3,0,0,'Données projet'!$E$11+1,1))</f>
        <v>199.65420589615553</v>
      </c>
      <c r="BJ66" s="62">
        <f t="shared" si="38"/>
        <v>477.85821088970999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27.737364451124581</v>
      </c>
      <c r="BQ66" s="23">
        <f>EXP(-LN(2)/25)*BQ65+(1-EXP(-LN(2)/25))/(LN(2)/25)*Calculateur!BL66*Calculateur!BN66*VLOOKUP('Données projet'!$B$11,Paramètres!$A$1:$I$89,3,0)*0.475*44/12</f>
        <v>17.603035812832424</v>
      </c>
      <c r="BR66" s="23">
        <f>EXP(-LN(2)/2)*BR65+(1-EXP(-LN(2)/2))/(LN(2)/2)*BL66*BO66*VLOOKUP('Données projet'!$B$11,Paramètres!$A$1:$I$89,3,0)*0.475*44/12</f>
        <v>4.7007435956508963E-4</v>
      </c>
      <c r="BS66" s="24">
        <f t="shared" si="9"/>
        <v>45.34087033831657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</v>
      </c>
      <c r="BY66" s="13">
        <f>IF('Données projet'!$A$114&gt;35,BY65+BX66-CG65,IF(A66&lt;'Données projet'!$A$114,$BV$205^A66,IF(A66='Données projet'!$A$114,'Données projet'!$B$114,BY65+BX66-CG65)))</f>
        <v>373.00000000000023</v>
      </c>
      <c r="BZ66" s="14">
        <f>BY66*VLOOKUP('Données projet'!$B$12,Paramètres!$A$1:$I$89,3,0)*VLOOKUP('Données projet'!$B$12,Paramètres!$A$1:$I$89,5,0)</f>
        <v>223.05400000000017</v>
      </c>
      <c r="CA66" s="14">
        <f t="shared" si="39"/>
        <v>54.778124005813432</v>
      </c>
      <c r="CB66" s="22">
        <f t="shared" si="10"/>
        <v>483.89094931012534</v>
      </c>
      <c r="CC66" s="62">
        <f t="shared" si="11"/>
        <v>730.96005025876934</v>
      </c>
      <c r="CD66" s="62">
        <f ca="1">AVERAGE(OFFSET($CC$3,0,0,'Données projet'!$E$12+1,1))-AVERAGE(OFFSET($H$3,0,0,'Données projet'!$E$12+1,1))</f>
        <v>437.94016462147999</v>
      </c>
      <c r="CE66" s="62">
        <f t="shared" si="40"/>
        <v>281.88254003380348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8.8349232570087677E-5</v>
      </c>
      <c r="CN66" s="24">
        <f t="shared" si="12"/>
        <v>8.8349232570087677E-5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7.2</v>
      </c>
      <c r="CT66" s="13">
        <f>IF('Données projet'!$A$140&gt;35,CT65+CS66-DB65,IF(A66&lt;'Données projet'!$A$140,$CQ$205^A66,IF(A66='Données projet'!$A$140,'Données projet'!$B$140,CT65+CS66-DB65)))</f>
        <v>214.60000000000005</v>
      </c>
      <c r="CU66" s="18">
        <f>CT66*VLOOKUP('Données projet'!$B$13,Paramètres!$A$1:$I$89,3,0)*VLOOKUP('Données projet'!$B$13,Paramètres!$A$1:$I$89,5,0)</f>
        <v>244.38648000000006</v>
      </c>
      <c r="CV66" s="14">
        <f t="shared" si="41"/>
        <v>59.382305874225118</v>
      </c>
      <c r="CW66" s="22">
        <f t="shared" si="13"/>
        <v>529.06396873094207</v>
      </c>
      <c r="CX66" s="62">
        <f t="shared" si="14"/>
        <v>776.13306967958601</v>
      </c>
      <c r="CY66" s="62">
        <f ca="1">AVERAGE(OFFSET($CX$3,0,0,'Données projet'!$E$13+1,1))-AVERAGE(OFFSET($H$3,0,0,'Données projet'!$E$13+1,1))</f>
        <v>520.23742527061836</v>
      </c>
      <c r="CZ66" s="62">
        <f t="shared" si="42"/>
        <v>321.35925479331274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8.8000000000000007</v>
      </c>
      <c r="DO66" s="13">
        <f>IF('Données projet'!$A$166&gt;35,DO65+DN66-DW65,IF(A66&lt;'Données projet'!$A$166,$DL$205^A66,IF(A66='Données projet'!$A$166,'Données projet'!$B$166,DO65+DN66-DW65)))</f>
        <v>271.39999999999998</v>
      </c>
      <c r="DP66" s="18">
        <f>DO66*VLOOKUP('Données projet'!$B$14,Paramètres!$A$1:$I$89,3,0)*VLOOKUP('Données projet'!$B$14,Paramètres!$A$1:$I$89,5,0)</f>
        <v>275.19960000000003</v>
      </c>
      <c r="DQ66" s="14">
        <f t="shared" si="43"/>
        <v>65.951527620662617</v>
      </c>
      <c r="DR66" s="22">
        <f t="shared" si="16"/>
        <v>594.17154727265404</v>
      </c>
      <c r="DS66" s="62">
        <f t="shared" si="17"/>
        <v>841.24064822129799</v>
      </c>
      <c r="DT66" s="62">
        <f ca="1">AVERAGE(OFFSET($DS$3,0,0,'Données projet'!$E$14+1,1))-AVERAGE(OFFSET($H$3,0,0,'Données projet'!$E$14+1,1))</f>
        <v>547.89540791313675</v>
      </c>
      <c r="DU66" s="62">
        <f t="shared" si="44"/>
        <v>345.19555189302378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6</v>
      </c>
      <c r="EJ66" s="13">
        <f>IF('Données projet'!$A$192&gt;35,EJ65+EI66-ER65,IF(A66&lt;'Données projet'!$A$192,$EG$205^A66,IF(A66='Données projet'!$A$192,'Données projet'!$B$192,EJ65+EI66-ER65)))</f>
        <v>234.00000000000011</v>
      </c>
      <c r="EK66" s="18">
        <f>EJ66*VLOOKUP('Données projet'!$B$15,Paramètres!$A$1:$I$89,3,0)*VLOOKUP('Données projet'!$B$15,Paramètres!$A$1:$I$89,5,0)</f>
        <v>244.57680000000013</v>
      </c>
      <c r="EL66" s="14">
        <f t="shared" si="45"/>
        <v>59.423166060201197</v>
      </c>
      <c r="EM66" s="22">
        <f t="shared" si="19"/>
        <v>529.46660755485061</v>
      </c>
      <c r="EN66" s="62">
        <f t="shared" si="20"/>
        <v>776.53570850349456</v>
      </c>
      <c r="EO66" s="62">
        <f ca="1">AVERAGE(OFFSET($EN$3,0,0,'Données projet'!$E$15+1,1))-AVERAGE(OFFSET($H$3,0,0,'Données projet'!$E$15+1,1))</f>
        <v>418.23737352070503</v>
      </c>
      <c r="EP66" s="62">
        <f t="shared" si="46"/>
        <v>496.10742685332968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14.3</v>
      </c>
      <c r="FE66" s="13">
        <f>IF('Données projet'!$A$218&gt;35,FE65+FD66-FM65,IF(A66&lt;'Données projet'!$A$218,$FB$205^A66,IF(A66='Données projet'!$A$218,'Données projet'!$B$218,FE65+FD66-FM65)))</f>
        <v>347.90000000000003</v>
      </c>
      <c r="FF66" s="18">
        <f>FE66*VLOOKUP('Données projet'!$B$16,Paramètres!$A$1:$I$89,3,0)*VLOOKUP('Données projet'!$B$16,Paramètres!$A$1:$I$89,5,0)</f>
        <v>208.04420000000005</v>
      </c>
      <c r="FG66" s="14">
        <f t="shared" si="47"/>
        <v>51.507961722634242</v>
      </c>
      <c r="FH66" s="22">
        <f t="shared" si="22"/>
        <v>452.05334833358802</v>
      </c>
      <c r="FI66" s="62">
        <f t="shared" si="23"/>
        <v>699.12244928223197</v>
      </c>
      <c r="FJ66" s="62">
        <f ca="1">AVERAGE(OFFSET($FI$3,0,0,'Données projet'!$E$16+1,1))-AVERAGE(OFFSET($H$3,0,0,'Données projet'!$E$16+1,1))</f>
        <v>341.70983624543067</v>
      </c>
      <c r="FK66" s="62">
        <f t="shared" si="48"/>
        <v>250.82562837973805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1.3371225503943466E-4</v>
      </c>
      <c r="FT66" s="24">
        <f t="shared" si="24"/>
        <v>1.3371225503943466E-4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11.818181818181818</v>
      </c>
      <c r="FZ66" s="13">
        <f>IF('Données projet'!$A$244&gt;35,FZ65+FY66-GH65,IF(A66&lt;'Données projet'!$A$244,$FW$205^A66,IF(A66='Données projet'!$A$244,'Données projet'!$B$244,FZ65+FY66-GH65)))</f>
        <v>271.81818181818159</v>
      </c>
      <c r="GA66" s="18">
        <f>FZ66*VLOOKUP('Données projet'!$B$17,Paramètres!$A$1:$I$89,3,0)*VLOOKUP('Données projet'!$B$17,Paramètres!$A$1:$I$89,5,0)</f>
        <v>127.21090909090898</v>
      </c>
      <c r="GB66" s="14">
        <f t="shared" si="49"/>
        <v>33.351071084982053</v>
      </c>
      <c r="GC66" s="22">
        <f t="shared" si="25"/>
        <v>279.64544880634361</v>
      </c>
      <c r="GD66" s="62">
        <f t="shared" si="26"/>
        <v>526.71454975498762</v>
      </c>
      <c r="GE66" s="62">
        <f ca="1">AVERAGE(OFFSET($GD$3,0,0,'Données projet'!$E$17+1,1))-AVERAGE(OFFSET($H$3,0,0,'Données projet'!$E$17+1,1))</f>
        <v>368.69628434154333</v>
      </c>
      <c r="GF66" s="62">
        <f t="shared" si="50"/>
        <v>202.28197295839524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5.2</v>
      </c>
      <c r="GU66" s="13">
        <f>IF('Données projet'!$A$270&gt;35,GU65+GT66-HC65,IF(A66&lt;'Données projet'!$A$270,$GR$205^A66,IF(A66='Données projet'!$A$270,'Données projet'!$B$270,GU65+GT66-HC65)))</f>
        <v>213.6</v>
      </c>
      <c r="GV66" s="18">
        <f>GU66*VLOOKUP('Données projet'!$B$18,Paramètres!$A$1:$I$89,3,0)*VLOOKUP('Données projet'!$B$18,Paramètres!$A$1:$I$89,5,0)</f>
        <v>186.60096000000001</v>
      </c>
      <c r="GW66" s="14">
        <f t="shared" si="51"/>
        <v>46.787685683664144</v>
      </c>
      <c r="GX66" s="22">
        <f t="shared" si="28"/>
        <v>406.48522456571504</v>
      </c>
      <c r="GY66" s="62">
        <f t="shared" si="29"/>
        <v>653.55432551435899</v>
      </c>
      <c r="GZ66" s="62">
        <f ca="1">AVERAGE(OFFSET($GY$3,0,0,'Données projet'!$E$18+1,1))-AVERAGE(OFFSET($H$3,0,0,'Données projet'!$E$18+1,1))</f>
        <v>378.51861272969165</v>
      </c>
      <c r="HA66" s="62">
        <f t="shared" si="52"/>
        <v>387.42368617035459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0</v>
      </c>
      <c r="HH66" s="23">
        <f>EXP(-LN(2)/25)*HH65+(1-EXP(-LN(2)/25))/(LN(2)/25)*Calculateur!HC66*Calculateur!HE66*VLOOKUP('Données projet'!$B$18,Paramètres!$A$1:$I$89,3,0)*0.475*44/12</f>
        <v>0</v>
      </c>
      <c r="HI66" s="23">
        <f>EXP(-LN(2)/2)*HI65+(1-EXP(-LN(2)/2))/(LN(2)/2)*HC66*HF66*VLOOKUP('Données projet'!$B$18,Paramètres!$A$1:$I$89,3,0)*0.475*44/12</f>
        <v>0</v>
      </c>
      <c r="HJ66" s="24">
        <f t="shared" si="30"/>
        <v>0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135.66666666666666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</v>
      </c>
      <c r="N67" s="14">
        <f>IF('Données projet'!$A$36&gt;35,N66+M67-V66,IF(A67&lt;'Données projet'!$A$36,$K$205^A67,IF(A67='Données projet'!$A$36,'Données projet'!$B$36,N66+M67-V66)))</f>
        <v>380.00000000000023</v>
      </c>
      <c r="O67" s="14">
        <f>N67*VLOOKUP('Données projet'!$B$9,Paramètres!$A$1:$I$89,3,0)*VLOOKUP('Données projet'!$B$9,Paramètres!$A$1:$I$89,5,0)</f>
        <v>227.24000000000018</v>
      </c>
      <c r="P67" s="14">
        <f t="shared" si="33"/>
        <v>55.685486340484253</v>
      </c>
      <c r="Q67" s="22">
        <f t="shared" ref="Q67:Q98" si="54">(O67+P67)*0.475*44/12</f>
        <v>492.76188870967707</v>
      </c>
      <c r="R67" s="62">
        <f t="shared" ref="R67:R130" si="55">Q67+(I67+J67)*44/12</f>
        <v>740.63357065886692</v>
      </c>
      <c r="S67" s="62">
        <f ca="1">AVERAGE(OFFSET($R$3,0,0,'Données projet'!$E$9+1,1))-AVERAGE(OFFSET($H$3,0,0,'Données projet'!$E$9+1,1))</f>
        <v>437.94016462147999</v>
      </c>
      <c r="T67" s="62">
        <f t="shared" si="34"/>
        <v>281.88254003380348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6.2472341462936384E-5</v>
      </c>
      <c r="AC67" s="24">
        <f t="shared" si="3"/>
        <v>6.2472341462936384E-5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221.80000000000004</v>
      </c>
      <c r="AJ67" s="14">
        <f>AI67*VLOOKUP('Données projet'!$B$10,Paramètres!$A$1:$I$89,3,0)*VLOOKUP('Données projet'!$B$10,Paramètres!$A$1:$I$89,5,0)</f>
        <v>200.68464</v>
      </c>
      <c r="AK67" s="14">
        <f t="shared" si="35"/>
        <v>49.894600936700193</v>
      </c>
      <c r="AL67" s="22">
        <f t="shared" si="4"/>
        <v>436.42551129808612</v>
      </c>
      <c r="AM67" s="62">
        <f t="shared" si="5"/>
        <v>684.29719324727591</v>
      </c>
      <c r="AN67" s="62">
        <f ca="1">AVERAGE(OFFSET($AM$3,0,0,'Données projet'!$E$10+1,1))-AVERAGE(OFFSET($H$3,0,0,'Données projet'!$E$10+1,1))</f>
        <v>434.56763649859136</v>
      </c>
      <c r="AO67" s="62">
        <f t="shared" si="36"/>
        <v>271.90302066766264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1.1368683772161603E-13</v>
      </c>
      <c r="BE67" s="14">
        <f>BD67*VLOOKUP('Données projet'!$B$11,Paramètres!$A$1:$I$89,3,0)*VLOOKUP('Données projet'!$B$11,Paramètres!$A$1:$I$89,5,0)</f>
        <v>6.7984728957526396E-14</v>
      </c>
      <c r="BF67" s="14">
        <f t="shared" si="37"/>
        <v>1.0682447123141398E-12</v>
      </c>
      <c r="BG67" s="22">
        <f t="shared" si="7"/>
        <v>1.978932943548152E-12</v>
      </c>
      <c r="BH67" s="62">
        <f t="shared" si="8"/>
        <v>247.87168194919181</v>
      </c>
      <c r="BI67" s="62">
        <f ca="1">AVERAGE(OFFSET($BH$3,0,0,'Données projet'!$E$11+1,1))-AVERAGE(OFFSET($H$3,0,0,'Données projet'!$E$11+1,1))</f>
        <v>199.65420589615553</v>
      </c>
      <c r="BJ67" s="62">
        <f t="shared" si="38"/>
        <v>477.85821088970999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27.193451652359816</v>
      </c>
      <c r="BQ67" s="23">
        <f>EXP(-LN(2)/25)*BQ66+(1-EXP(-LN(2)/25))/(LN(2)/25)*Calculateur!BL67*Calculateur!BN67*VLOOKUP('Données projet'!$B$11,Paramètres!$A$1:$I$89,3,0)*0.475*44/12</f>
        <v>17.121679872827102</v>
      </c>
      <c r="BR67" s="23">
        <f>EXP(-LN(2)/2)*BR66+(1-EXP(-LN(2)/2))/(LN(2)/2)*BL67*BO67*VLOOKUP('Données projet'!$B$11,Paramètres!$A$1:$I$89,3,0)*0.475*44/12</f>
        <v>3.3239276731039831E-4</v>
      </c>
      <c r="BS67" s="24">
        <f t="shared" si="9"/>
        <v>44.315463917954226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</v>
      </c>
      <c r="BY67" s="13">
        <f>IF('Données projet'!$A$114&gt;35,BY66+BX67-CG66,IF(A67&lt;'Données projet'!$A$114,$BV$205^A67,IF(A67='Données projet'!$A$114,'Données projet'!$B$114,BY66+BX67-CG66)))</f>
        <v>380.00000000000023</v>
      </c>
      <c r="BZ67" s="14">
        <f>BY67*VLOOKUP('Données projet'!$B$12,Paramètres!$A$1:$I$89,3,0)*VLOOKUP('Données projet'!$B$12,Paramètres!$A$1:$I$89,5,0)</f>
        <v>227.24000000000018</v>
      </c>
      <c r="CA67" s="14">
        <f t="shared" si="39"/>
        <v>55.685486340484253</v>
      </c>
      <c r="CB67" s="22">
        <f t="shared" si="10"/>
        <v>492.76188870967707</v>
      </c>
      <c r="CC67" s="62">
        <f t="shared" si="11"/>
        <v>740.63357065886692</v>
      </c>
      <c r="CD67" s="62">
        <f ca="1">AVERAGE(OFFSET($CC$3,0,0,'Données projet'!$E$12+1,1))-AVERAGE(OFFSET($H$3,0,0,'Données projet'!$E$12+1,1))</f>
        <v>437.94016462147999</v>
      </c>
      <c r="CE67" s="62">
        <f t="shared" si="40"/>
        <v>281.88254003380348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6.2472341462936384E-5</v>
      </c>
      <c r="CN67" s="24">
        <f t="shared" si="12"/>
        <v>6.2472341462936384E-5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7.2</v>
      </c>
      <c r="CT67" s="13">
        <f>IF('Données projet'!$A$140&gt;35,CT66+CS67-DB66,IF(A67&lt;'Données projet'!$A$140,$CQ$205^A67,IF(A67='Données projet'!$A$140,'Données projet'!$B$140,CT66+CS67-DB66)))</f>
        <v>221.80000000000004</v>
      </c>
      <c r="CU67" s="18">
        <f>CT67*VLOOKUP('Données projet'!$B$13,Paramètres!$A$1:$I$89,3,0)*VLOOKUP('Données projet'!$B$13,Paramètres!$A$1:$I$89,5,0)</f>
        <v>252.58584000000005</v>
      </c>
      <c r="CV67" s="14">
        <f t="shared" si="41"/>
        <v>61.139327516253068</v>
      </c>
      <c r="CW67" s="22">
        <f t="shared" si="13"/>
        <v>546.40466675747416</v>
      </c>
      <c r="CX67" s="62">
        <f t="shared" si="14"/>
        <v>794.27634870666395</v>
      </c>
      <c r="CY67" s="62">
        <f ca="1">AVERAGE(OFFSET($CX$3,0,0,'Données projet'!$E$13+1,1))-AVERAGE(OFFSET($H$3,0,0,'Données projet'!$E$13+1,1))</f>
        <v>520.23742527061836</v>
      </c>
      <c r="CZ67" s="62">
        <f t="shared" si="42"/>
        <v>321.35925479331274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8.8000000000000007</v>
      </c>
      <c r="DO67" s="13">
        <f>IF('Données projet'!$A$166&gt;35,DO66+DN67-DW66,IF(A67&lt;'Données projet'!$A$166,$DL$205^A67,IF(A67='Données projet'!$A$166,'Données projet'!$B$166,DO66+DN67-DW66)))</f>
        <v>280.2</v>
      </c>
      <c r="DP67" s="18">
        <f>DO67*VLOOKUP('Données projet'!$B$14,Paramètres!$A$1:$I$89,3,0)*VLOOKUP('Données projet'!$B$14,Paramètres!$A$1:$I$89,5,0)</f>
        <v>284.12279999999998</v>
      </c>
      <c r="DQ67" s="14">
        <f t="shared" si="43"/>
        <v>67.837532462585557</v>
      </c>
      <c r="DR67" s="22">
        <f t="shared" si="16"/>
        <v>612.99757903900309</v>
      </c>
      <c r="DS67" s="62">
        <f t="shared" si="17"/>
        <v>860.86926098819288</v>
      </c>
      <c r="DT67" s="62">
        <f ca="1">AVERAGE(OFFSET($DS$3,0,0,'Données projet'!$E$14+1,1))-AVERAGE(OFFSET($H$3,0,0,'Données projet'!$E$14+1,1))</f>
        <v>547.89540791313675</v>
      </c>
      <c r="DU67" s="62">
        <f t="shared" si="44"/>
        <v>345.19555189302378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6</v>
      </c>
      <c r="EJ67" s="13">
        <f>IF('Données projet'!$A$192&gt;35,EJ66+EI67-ER66,IF(A67&lt;'Données projet'!$A$192,$EG$205^A67,IF(A67='Données projet'!$A$192,'Données projet'!$B$192,EJ66+EI67-ER66)))</f>
        <v>240.00000000000011</v>
      </c>
      <c r="EK67" s="18">
        <f>EJ67*VLOOKUP('Données projet'!$B$15,Paramètres!$A$1:$I$89,3,0)*VLOOKUP('Données projet'!$B$15,Paramètres!$A$1:$I$89,5,0)</f>
        <v>250.84800000000016</v>
      </c>
      <c r="EL67" s="14">
        <f t="shared" si="45"/>
        <v>60.767491486783598</v>
      </c>
      <c r="EM67" s="22">
        <f t="shared" si="19"/>
        <v>542.73031433948165</v>
      </c>
      <c r="EN67" s="62">
        <f t="shared" si="20"/>
        <v>790.60199628867144</v>
      </c>
      <c r="EO67" s="62">
        <f ca="1">AVERAGE(OFFSET($EN$3,0,0,'Données projet'!$E$15+1,1))-AVERAGE(OFFSET($H$3,0,0,'Données projet'!$E$15+1,1))</f>
        <v>418.23737352070503</v>
      </c>
      <c r="EP67" s="62">
        <f t="shared" si="46"/>
        <v>496.10742685332968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14.3</v>
      </c>
      <c r="FE67" s="13">
        <f>IF('Données projet'!$A$218&gt;35,FE66+FD67-FM66,IF(A67&lt;'Données projet'!$A$218,$FB$205^A67,IF(A67='Données projet'!$A$218,'Données projet'!$B$218,FE66+FD67-FM66)))</f>
        <v>362.20000000000005</v>
      </c>
      <c r="FF67" s="18">
        <f>FE67*VLOOKUP('Données projet'!$B$16,Paramètres!$A$1:$I$89,3,0)*VLOOKUP('Données projet'!$B$16,Paramètres!$A$1:$I$89,5,0)</f>
        <v>216.59560000000005</v>
      </c>
      <c r="FG67" s="14">
        <f t="shared" si="47"/>
        <v>53.374285937607603</v>
      </c>
      <c r="FH67" s="22">
        <f t="shared" si="22"/>
        <v>470.19755134133334</v>
      </c>
      <c r="FI67" s="62">
        <f t="shared" si="23"/>
        <v>718.06923329052313</v>
      </c>
      <c r="FJ67" s="62">
        <f ca="1">AVERAGE(OFFSET($FI$3,0,0,'Données projet'!$E$16+1,1))-AVERAGE(OFFSET($H$3,0,0,'Données projet'!$E$16+1,1))</f>
        <v>341.70983624543067</v>
      </c>
      <c r="FK67" s="62">
        <f t="shared" si="48"/>
        <v>250.82562837973805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9.4548842266129363E-5</v>
      </c>
      <c r="FT67" s="24">
        <f t="shared" si="24"/>
        <v>9.4548842266129363E-5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11.818181818181818</v>
      </c>
      <c r="FZ67" s="13">
        <f>IF('Données projet'!$A$244&gt;35,FZ66+FY67-GH66,IF(A67&lt;'Données projet'!$A$244,$FW$205^A67,IF(A67='Données projet'!$A$244,'Données projet'!$B$244,FZ66+FY67-GH66)))</f>
        <v>283.6363636363634</v>
      </c>
      <c r="GA67" s="18">
        <f>FZ67*VLOOKUP('Données projet'!$B$17,Paramètres!$A$1:$I$89,3,0)*VLOOKUP('Données projet'!$B$17,Paramètres!$A$1:$I$89,5,0)</f>
        <v>132.74181818181808</v>
      </c>
      <c r="GB67" s="14">
        <f t="shared" si="49"/>
        <v>34.629141367525726</v>
      </c>
      <c r="GC67" s="22">
        <f t="shared" si="25"/>
        <v>291.50442121510713</v>
      </c>
      <c r="GD67" s="62">
        <f t="shared" si="26"/>
        <v>539.37610316429698</v>
      </c>
      <c r="GE67" s="62">
        <f ca="1">AVERAGE(OFFSET($GD$3,0,0,'Données projet'!$E$17+1,1))-AVERAGE(OFFSET($H$3,0,0,'Données projet'!$E$17+1,1))</f>
        <v>368.69628434154333</v>
      </c>
      <c r="GF67" s="62">
        <f t="shared" si="50"/>
        <v>202.28197295839524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5.2</v>
      </c>
      <c r="GU67" s="13">
        <f>IF('Données projet'!$A$270&gt;35,GU66+GT67-HC66,IF(A67&lt;'Données projet'!$A$270,$GR$205^A67,IF(A67='Données projet'!$A$270,'Données projet'!$B$270,GU66+GT67-HC66)))</f>
        <v>218.79999999999998</v>
      </c>
      <c r="GV67" s="18">
        <f>GU67*VLOOKUP('Données projet'!$B$18,Paramètres!$A$1:$I$89,3,0)*VLOOKUP('Données projet'!$B$18,Paramètres!$A$1:$I$89,5,0)</f>
        <v>191.14368000000002</v>
      </c>
      <c r="GW67" s="14">
        <f t="shared" si="51"/>
        <v>47.792715878069586</v>
      </c>
      <c r="GX67" s="22">
        <f t="shared" si="28"/>
        <v>416.14755615430454</v>
      </c>
      <c r="GY67" s="62">
        <f t="shared" si="29"/>
        <v>664.01923810349433</v>
      </c>
      <c r="GZ67" s="62">
        <f ca="1">AVERAGE(OFFSET($GY$3,0,0,'Données projet'!$E$18+1,1))-AVERAGE(OFFSET($H$3,0,0,'Données projet'!$E$18+1,1))</f>
        <v>378.51861272969165</v>
      </c>
      <c r="HA67" s="62">
        <f t="shared" si="52"/>
        <v>387.42368617035459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0</v>
      </c>
      <c r="HH67" s="23">
        <f>EXP(-LN(2)/25)*HH66+(1-EXP(-LN(2)/25))/(LN(2)/25)*Calculateur!HC67*Calculateur!HE67*VLOOKUP('Données projet'!$B$18,Paramètres!$A$1:$I$89,3,0)*0.475*44/12</f>
        <v>0</v>
      </c>
      <c r="HI67" s="23">
        <f>EXP(-LN(2)/2)*HI66+(1-EXP(-LN(2)/2))/(LN(2)/2)*HC67*HF67*VLOOKUP('Données projet'!$B$18,Paramètres!$A$1:$I$89,3,0)*0.475*44/12</f>
        <v>0</v>
      </c>
      <c r="HJ67" s="24">
        <f t="shared" si="30"/>
        <v>0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135.66666666666666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7</v>
      </c>
      <c r="N68" s="14">
        <f>IF('Données projet'!$A$36&gt;35,N67+M68-V67,IF(A68&lt;'Données projet'!$A$36,$K$205^A68,IF(A68='Données projet'!$A$36,'Données projet'!$B$36,N67+M68-V67)))</f>
        <v>387.00000000000023</v>
      </c>
      <c r="O68" s="14">
        <f>N68*VLOOKUP('Données projet'!$B$9,Paramètres!$A$1:$I$89,3,0)*VLOOKUP('Données projet'!$B$9,Paramètres!$A$1:$I$89,5,0)</f>
        <v>231.42600000000016</v>
      </c>
      <c r="P68" s="14">
        <f t="shared" si="33"/>
        <v>56.590905067453271</v>
      </c>
      <c r="Q68" s="22">
        <f t="shared" si="54"/>
        <v>501.62944299248142</v>
      </c>
      <c r="R68" s="62">
        <f t="shared" si="55"/>
        <v>750.28978295616002</v>
      </c>
      <c r="S68" s="62">
        <f ca="1">AVERAGE(OFFSET($R$3,0,0,'Données projet'!$E$9+1,1))-AVERAGE(OFFSET($H$3,0,0,'Données projet'!$E$9+1,1))</f>
        <v>437.94016462147999</v>
      </c>
      <c r="T68" s="62">
        <f t="shared" si="34"/>
        <v>281.88254003380348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4.4174616285043838E-5</v>
      </c>
      <c r="AC68" s="24">
        <f t="shared" ref="AC68:AC131" si="57">SUM(Z68:AB68)</f>
        <v>4.4174616285043838E-5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229.00000000000003</v>
      </c>
      <c r="AJ68" s="14">
        <f>AI68*VLOOKUP('Données projet'!$B$10,Paramètres!$A$1:$I$89,3,0)*VLOOKUP('Données projet'!$B$10,Paramètres!$A$1:$I$89,5,0)</f>
        <v>207.19919999999999</v>
      </c>
      <c r="AK68" s="14">
        <f t="shared" si="35"/>
        <v>51.32306297366555</v>
      </c>
      <c r="AL68" s="22">
        <f t="shared" ref="AL68:AL131" si="58">(AJ68+AK68)*0.475*44/12</f>
        <v>450.25960801246742</v>
      </c>
      <c r="AM68" s="62">
        <f t="shared" ref="AM68:AM131" si="59">AL68+(AD68+AE68)*44/12</f>
        <v>698.91994797614598</v>
      </c>
      <c r="AN68" s="62">
        <f ca="1">AVERAGE(OFFSET($AM$3,0,0,'Données projet'!$E$10+1,1))-AVERAGE(OFFSET($H$3,0,0,'Données projet'!$E$10+1,1))</f>
        <v>434.56763649859136</v>
      </c>
      <c r="AO68" s="62">
        <f t="shared" si="36"/>
        <v>271.90302066766264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1.1368683772161603E-13</v>
      </c>
      <c r="BE68" s="14">
        <f>BD68*VLOOKUP('Données projet'!$B$11,Paramètres!$A$1:$I$89,3,0)*VLOOKUP('Données projet'!$B$11,Paramètres!$A$1:$I$89,5,0)</f>
        <v>6.7984728957526396E-14</v>
      </c>
      <c r="BF68" s="14">
        <f t="shared" si="37"/>
        <v>1.0682447123141398E-12</v>
      </c>
      <c r="BG68" s="22">
        <f t="shared" ref="BG68:BG131" si="61">(BE68+BF68)*0.475*44/12</f>
        <v>1.978932943548152E-12</v>
      </c>
      <c r="BH68" s="62">
        <f t="shared" ref="BH68:BH131" si="62">BG68+(AY68+AZ68)*44/12</f>
        <v>248.66033996368054</v>
      </c>
      <c r="BI68" s="62">
        <f ca="1">AVERAGE(OFFSET($BH$3,0,0,'Données projet'!$E$11+1,1))-AVERAGE(OFFSET($H$3,0,0,'Données projet'!$E$11+1,1))</f>
        <v>199.65420589615553</v>
      </c>
      <c r="BJ68" s="62">
        <f t="shared" si="38"/>
        <v>477.85821088970999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26.660204651824781</v>
      </c>
      <c r="BQ68" s="23">
        <f>EXP(-LN(2)/25)*BQ67+(1-EXP(-LN(2)/25))/(LN(2)/25)*Calculateur!BL68*Calculateur!BN68*VLOOKUP('Données projet'!$B$11,Paramètres!$A$1:$I$89,3,0)*0.475*44/12</f>
        <v>16.653486636314632</v>
      </c>
      <c r="BR68" s="23">
        <f>EXP(-LN(2)/2)*BR67+(1-EXP(-LN(2)/2))/(LN(2)/2)*BL68*BO68*VLOOKUP('Données projet'!$B$11,Paramètres!$A$1:$I$89,3,0)*0.475*44/12</f>
        <v>2.3503717978254484E-4</v>
      </c>
      <c r="BS68" s="24">
        <f t="shared" ref="BS68:BS131" si="63">SUM(BP68:BR68)</f>
        <v>43.313926325319194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7</v>
      </c>
      <c r="BY68" s="13">
        <f>IF('Données projet'!$A$114&gt;35,BY67+BX68-CG67,IF(A68&lt;'Données projet'!$A$114,$BV$205^A68,IF(A68='Données projet'!$A$114,'Données projet'!$B$114,BY67+BX68-CG67)))</f>
        <v>387.00000000000023</v>
      </c>
      <c r="BZ68" s="14">
        <f>BY68*VLOOKUP('Données projet'!$B$12,Paramètres!$A$1:$I$89,3,0)*VLOOKUP('Données projet'!$B$12,Paramètres!$A$1:$I$89,5,0)</f>
        <v>231.42600000000016</v>
      </c>
      <c r="CA68" s="14">
        <f t="shared" si="39"/>
        <v>56.590905067453271</v>
      </c>
      <c r="CB68" s="22">
        <f t="shared" ref="CB68:CB131" si="64">(BZ68+CA68)*0.475*44/12</f>
        <v>501.62944299248142</v>
      </c>
      <c r="CC68" s="62">
        <f t="shared" ref="CC68:CC131" si="65">CB68+(BT68+BU68)*44/12</f>
        <v>750.28978295616002</v>
      </c>
      <c r="CD68" s="62">
        <f ca="1">AVERAGE(OFFSET($CC$3,0,0,'Données projet'!$E$12+1,1))-AVERAGE(OFFSET($H$3,0,0,'Données projet'!$E$12+1,1))</f>
        <v>437.94016462147999</v>
      </c>
      <c r="CE68" s="62">
        <f t="shared" si="40"/>
        <v>281.88254003380348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4.4174616285043838E-5</v>
      </c>
      <c r="CN68" s="24">
        <f t="shared" ref="CN68:CN131" si="66">SUM(CK68:CM68)</f>
        <v>4.4174616285043838E-5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229</v>
      </c>
      <c r="CR68" s="13">
        <f>VLOOKUP(A68,'Données projet'!$A$139:$I$159,9,0)</f>
        <v>7.2</v>
      </c>
      <c r="CS68" s="13">
        <f t="array" ref="CS68">INDEX(CR:CR,MIN(IF(ISNUMBER(CR68:CR264),ROW(CR68:CR264),"")))</f>
        <v>7.2</v>
      </c>
      <c r="CT68" s="13">
        <f>IF('Données projet'!$A$140&gt;35,CT67+CS68-DB67,IF(A68&lt;'Données projet'!$A$140,$CQ$205^A68,IF(A68='Données projet'!$A$140,'Données projet'!$B$140,CT67+CS68-DB67)))</f>
        <v>229.00000000000003</v>
      </c>
      <c r="CU68" s="18">
        <f>CT68*VLOOKUP('Données projet'!$B$13,Paramètres!$A$1:$I$89,3,0)*VLOOKUP('Données projet'!$B$13,Paramètres!$A$1:$I$89,5,0)</f>
        <v>260.78520000000003</v>
      </c>
      <c r="CV68" s="14">
        <f t="shared" si="41"/>
        <v>62.889721480388701</v>
      </c>
      <c r="CW68" s="22">
        <f t="shared" ref="CW68:CW131" si="67">(CU68+CV68)*0.475*44/12</f>
        <v>563.73382157834374</v>
      </c>
      <c r="CX68" s="62">
        <f t="shared" ref="CX68:CX131" si="68">CW68+(CO68+CP68)*44/12</f>
        <v>812.39416154202229</v>
      </c>
      <c r="CY68" s="62">
        <f ca="1">AVERAGE(OFFSET($CX$3,0,0,'Données projet'!$E$13+1,1))-AVERAGE(OFFSET($H$3,0,0,'Données projet'!$E$13+1,1))</f>
        <v>520.23742527061836</v>
      </c>
      <c r="CZ68" s="62">
        <f t="shared" si="42"/>
        <v>321.35925479331274</v>
      </c>
      <c r="DA68" s="16">
        <f>IF(ISNA(VLOOKUP(A68,'Données projet'!$A$139:$I$159,3,0)),0,VLOOKUP(A68,'Données projet'!$A$139:$I$159,3,0))</f>
        <v>9</v>
      </c>
      <c r="DB68" s="16">
        <f>IF(ISNA(VLOOKUP(A68,'Données projet'!$A$139:$I$159,4,0)),0,VLOOKUP(A68,'Données projet'!$A$139:$I$159,4,0))</f>
        <v>21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289</v>
      </c>
      <c r="DM68" s="13">
        <f>VLOOKUP(A68,'Données projet'!$A$165:$I$185,9,0)</f>
        <v>8.8000000000000007</v>
      </c>
      <c r="DN68" s="13">
        <f t="array" ref="DN68">INDEX(DM:DM,MIN(IF(ISNUMBER(DM68:DM264),ROW(DM68:DM264),"")))</f>
        <v>8.8000000000000007</v>
      </c>
      <c r="DO68" s="13">
        <f>IF('Données projet'!$A$166&gt;35,DO67+DN68-DW67,IF(A68&lt;'Données projet'!$A$166,$DL$205^A68,IF(A68='Données projet'!$A$166,'Données projet'!$B$166,DO67+DN68-DW67)))</f>
        <v>289</v>
      </c>
      <c r="DP68" s="18">
        <f>DO68*VLOOKUP('Données projet'!$B$14,Paramètres!$A$1:$I$89,3,0)*VLOOKUP('Données projet'!$B$14,Paramètres!$A$1:$I$89,5,0)</f>
        <v>293.04599999999999</v>
      </c>
      <c r="DQ68" s="14">
        <f t="shared" si="43"/>
        <v>69.716654076072615</v>
      </c>
      <c r="DR68" s="22">
        <f t="shared" ref="DR68:DR131" si="70">(DP68+DQ68)*0.475*44/12</f>
        <v>631.81162251582646</v>
      </c>
      <c r="DS68" s="62">
        <f t="shared" ref="DS68:DS131" si="71">DR68+(DJ68+DK68)*44/12</f>
        <v>880.47196247950501</v>
      </c>
      <c r="DT68" s="62">
        <f ca="1">AVERAGE(OFFSET($DS$3,0,0,'Données projet'!$E$14+1,1))-AVERAGE(OFFSET($H$3,0,0,'Données projet'!$E$14+1,1))</f>
        <v>547.89540791313675</v>
      </c>
      <c r="DU68" s="62">
        <f t="shared" si="44"/>
        <v>345.19555189302378</v>
      </c>
      <c r="DV68" s="16">
        <f>IF(ISNA(VLOOKUP(A68,'Données projet'!$A$165:$I$185,3,0)),0,VLOOKUP(A68,'Données projet'!$A$165:$I$185,3,0))</f>
        <v>10</v>
      </c>
      <c r="DW68" s="16">
        <f>IF(ISNA(VLOOKUP(A68,'Données projet'!$A$165:$I$185,4,0)),0,VLOOKUP(A68,'Données projet'!$A$165:$I$185,4,0))</f>
        <v>28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246</v>
      </c>
      <c r="EH68" s="13">
        <f>VLOOKUP(A68,'Données projet'!$A$191:$I$211,9,0)</f>
        <v>6</v>
      </c>
      <c r="EI68" s="13">
        <f t="array" ref="EI68">INDEX(EH:EH,MIN(IF(ISNUMBER(EH68:EH264),ROW(EH68:EH264),"")))</f>
        <v>6</v>
      </c>
      <c r="EJ68" s="13">
        <f>IF('Données projet'!$A$192&gt;35,EJ67+EI68-ER67,IF(A68&lt;'Données projet'!$A$192,$EG$205^A68,IF(A68='Données projet'!$A$192,'Données projet'!$B$192,EJ67+EI68-ER67)))</f>
        <v>246.00000000000011</v>
      </c>
      <c r="EK68" s="18">
        <f>EJ68*VLOOKUP('Données projet'!$B$15,Paramètres!$A$1:$I$89,3,0)*VLOOKUP('Données projet'!$B$15,Paramètres!$A$1:$I$89,5,0)</f>
        <v>257.11920000000015</v>
      </c>
      <c r="EL68" s="14">
        <f t="shared" si="45"/>
        <v>62.107910182723955</v>
      </c>
      <c r="EM68" s="22">
        <f t="shared" ref="EM68:EM131" si="73">(EK68+EL68)*0.475*44/12</f>
        <v>555.98721690157777</v>
      </c>
      <c r="EN68" s="62">
        <f t="shared" ref="EN68:EN131" si="74">EM68+(EE68+EF68)*44/12</f>
        <v>804.64755686525632</v>
      </c>
      <c r="EO68" s="62">
        <f ca="1">AVERAGE(OFFSET($EN$3,0,0,'Données projet'!$E$15+1,1))-AVERAGE(OFFSET($H$3,0,0,'Données projet'!$E$15+1,1))</f>
        <v>418.23737352070503</v>
      </c>
      <c r="EP68" s="62">
        <f t="shared" si="46"/>
        <v>496.10742685332968</v>
      </c>
      <c r="EQ68" s="16">
        <f>IF(ISNA(VLOOKUP(A68,'Données projet'!$A$191:$I$211,3,0)),0,VLOOKUP(A68,'Données projet'!$A$191:$I$211,3,0))</f>
        <v>11</v>
      </c>
      <c r="ER68" s="16">
        <f>IF(ISNA(VLOOKUP(A68,'Données projet'!$A$191:$I$211,4,0)),0,VLOOKUP(A68,'Données projet'!$A$191:$I$211,4,0))</f>
        <v>23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14.3</v>
      </c>
      <c r="FE68" s="13">
        <f>IF('Données projet'!$A$218&gt;35,FE67+FD68-FM67,IF(A68&lt;'Données projet'!$A$218,$FB$205^A68,IF(A68='Données projet'!$A$218,'Données projet'!$B$218,FE67+FD68-FM67)))</f>
        <v>376.50000000000006</v>
      </c>
      <c r="FF68" s="18">
        <f>FE68*VLOOKUP('Données projet'!$B$16,Paramètres!$A$1:$I$89,3,0)*VLOOKUP('Données projet'!$B$16,Paramètres!$A$1:$I$89,5,0)</f>
        <v>225.14700000000005</v>
      </c>
      <c r="FG68" s="14">
        <f t="shared" si="47"/>
        <v>55.232050634645063</v>
      </c>
      <c r="FH68" s="22">
        <f t="shared" ref="FH68:FH131" si="76">(FF68+FG68)*0.475*44/12</f>
        <v>488.32684652200686</v>
      </c>
      <c r="FI68" s="62">
        <f t="shared" ref="FI68:FI131" si="77">FH68+(EZ68+FA68)*44/12</f>
        <v>736.98718648568547</v>
      </c>
      <c r="FJ68" s="62">
        <f ca="1">AVERAGE(OFFSET($FI$3,0,0,'Données projet'!$E$16+1,1))-AVERAGE(OFFSET($H$3,0,0,'Données projet'!$E$16+1,1))</f>
        <v>341.70983624543067</v>
      </c>
      <c r="FK68" s="62">
        <f t="shared" si="48"/>
        <v>250.82562837973805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6.6856127519717332E-5</v>
      </c>
      <c r="FT68" s="24">
        <f t="shared" ref="FT68:FT131" si="78">SUM(FQ68:FS68)</f>
        <v>6.6856127519717332E-5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11.818181818181818</v>
      </c>
      <c r="FZ68" s="13">
        <f>IF('Données projet'!$A$244&gt;35,FZ67+FY68-GH67,IF(A68&lt;'Données projet'!$A$244,$FW$205^A68,IF(A68='Données projet'!$A$244,'Données projet'!$B$244,FZ67+FY68-GH67)))</f>
        <v>295.45454545454521</v>
      </c>
      <c r="GA68" s="18">
        <f>FZ68*VLOOKUP('Données projet'!$B$17,Paramètres!$A$1:$I$89,3,0)*VLOOKUP('Données projet'!$B$17,Paramètres!$A$1:$I$89,5,0)</f>
        <v>138.27272727272717</v>
      </c>
      <c r="GB68" s="14">
        <f t="shared" si="49"/>
        <v>35.901026126466157</v>
      </c>
      <c r="GC68" s="22">
        <f t="shared" ref="GC68:GC131" si="79">(GA68+GB68)*0.475*44/12</f>
        <v>303.35262050359501</v>
      </c>
      <c r="GD68" s="62">
        <f t="shared" ref="GD68:GD131" si="80">GC68+(FU68+FV68)*44/12</f>
        <v>552.01296046727361</v>
      </c>
      <c r="GE68" s="62">
        <f ca="1">AVERAGE(OFFSET($GD$3,0,0,'Données projet'!$E$17+1,1))-AVERAGE(OFFSET($H$3,0,0,'Données projet'!$E$17+1,1))</f>
        <v>368.69628434154333</v>
      </c>
      <c r="GF68" s="62">
        <f t="shared" si="50"/>
        <v>202.28197295839524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>
        <f>VLOOKUP(A68,'Données projet'!$A$269:$I$289,2,0)</f>
        <v>224</v>
      </c>
      <c r="GS68" s="13">
        <f>VLOOKUP(A68,'Données projet'!$A$269:$I$289,9,0)</f>
        <v>5.2</v>
      </c>
      <c r="GT68" s="13">
        <f t="array" ref="GT68">INDEX(GS:GS,MIN(IF(ISNUMBER(GS68:GS264),ROW(GS68:GS264),"")))</f>
        <v>5.2</v>
      </c>
      <c r="GU68" s="13">
        <f>IF('Données projet'!$A$270&gt;35,GU67+GT68-HC67,IF(A68&lt;'Données projet'!$A$270,$GR$205^A68,IF(A68='Données projet'!$A$270,'Données projet'!$B$270,GU67+GT68-HC67)))</f>
        <v>223.99999999999997</v>
      </c>
      <c r="GV68" s="18">
        <f>GU68*VLOOKUP('Données projet'!$B$18,Paramètres!$A$1:$I$89,3,0)*VLOOKUP('Données projet'!$B$18,Paramètres!$A$1:$I$89,5,0)</f>
        <v>195.68639999999999</v>
      </c>
      <c r="GW68" s="14">
        <f t="shared" si="51"/>
        <v>48.794969360985156</v>
      </c>
      <c r="GX68" s="22">
        <f t="shared" ref="GX68:GX131" si="82">(GV68+GW68)*0.475*44/12</f>
        <v>425.80505163704908</v>
      </c>
      <c r="GY68" s="62">
        <f t="shared" ref="GY68:GY131" si="83">GX68+(GP68+GQ68)*44/12</f>
        <v>674.46539160072757</v>
      </c>
      <c r="GZ68" s="62">
        <f ca="1">AVERAGE(OFFSET($GY$3,0,0,'Données projet'!$E$18+1,1))-AVERAGE(OFFSET($H$3,0,0,'Données projet'!$E$18+1,1))</f>
        <v>378.51861272969165</v>
      </c>
      <c r="HA68" s="62">
        <f t="shared" si="52"/>
        <v>387.42368617035459</v>
      </c>
      <c r="HB68" s="16">
        <f>IF(ISNA(VLOOKUP(A68,'Données projet'!$A$269:$I$289,3,0)),0,VLOOKUP(A68,'Données projet'!$A$269:$I$289,3,0))</f>
        <v>10</v>
      </c>
      <c r="HC68" s="16">
        <f>IF(ISNA(VLOOKUP(A68,'Données projet'!$A$269:$I$289,4,0)),0,VLOOKUP(A68,'Données projet'!$A$269:$I$289,4,0))</f>
        <v>20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0</v>
      </c>
      <c r="HH68" s="23">
        <f>EXP(-LN(2)/25)*HH67+(1-EXP(-LN(2)/25))/(LN(2)/25)*Calculateur!HC68*Calculateur!HE68*VLOOKUP('Données projet'!$B$18,Paramètres!$A$1:$I$89,3,0)*0.475*44/12</f>
        <v>0</v>
      </c>
      <c r="HI68" s="23">
        <f>EXP(-LN(2)/2)*HI67+(1-EXP(-LN(2)/2))/(LN(2)/2)*HC68*HF68*VLOOKUP('Données projet'!$B$18,Paramètres!$A$1:$I$89,3,0)*0.475*44/12</f>
        <v>0</v>
      </c>
      <c r="HJ68" s="24">
        <f t="shared" ref="HJ68:HJ131" si="84">SUM(HG68:HI68)</f>
        <v>0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135.66666666666666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7</v>
      </c>
      <c r="N69" s="14">
        <f>IF('Données projet'!$A$36&gt;35,N68+M69-V68,IF(A69&lt;'Données projet'!$A$36,$K$205^A69,IF(A69='Données projet'!$A$36,'Données projet'!$B$36,N68+M69-V68)))</f>
        <v>394.00000000000023</v>
      </c>
      <c r="O69" s="14">
        <f>N69*VLOOKUP('Données projet'!$B$9,Paramètres!$A$1:$I$89,3,0)*VLOOKUP('Données projet'!$B$9,Paramètres!$A$1:$I$89,5,0)</f>
        <v>235.61200000000017</v>
      </c>
      <c r="P69" s="14">
        <f t="shared" ref="P69:P132" si="87">EXP(-1.0587+0.8836*LN(O69)+0.284)</f>
        <v>57.494419397561742</v>
      </c>
      <c r="Q69" s="22">
        <f t="shared" si="54"/>
        <v>510.49368045075363</v>
      </c>
      <c r="R69" s="62">
        <f t="shared" si="55"/>
        <v>759.92899697554481</v>
      </c>
      <c r="S69" s="62">
        <f ca="1">AVERAGE(OFFSET($R$3,0,0,'Données projet'!$E$9+1,1))-AVERAGE(OFFSET($H$3,0,0,'Données projet'!$E$9+1,1))</f>
        <v>437.94016462147999</v>
      </c>
      <c r="T69" s="62">
        <f t="shared" ref="T69:T132" si="88">$T$3</f>
        <v>281.88254003380348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3.1236170731468192E-5</v>
      </c>
      <c r="AC69" s="24">
        <f t="shared" si="57"/>
        <v>3.1236170731468192E-5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214.80000000000004</v>
      </c>
      <c r="AJ69" s="14">
        <f>AI69*VLOOKUP('Données projet'!$B$10,Paramètres!$A$1:$I$89,3,0)*VLOOKUP('Données projet'!$B$10,Paramètres!$A$1:$I$89,5,0)</f>
        <v>194.35104000000004</v>
      </c>
      <c r="AK69" s="14">
        <f t="shared" ref="AK69:AK132" si="89">EXP(-1.0587+0.8836*LN(AJ69)+0.284)</f>
        <v>48.500634729810159</v>
      </c>
      <c r="AL69" s="22">
        <f t="shared" si="58"/>
        <v>422.96666682108616</v>
      </c>
      <c r="AM69" s="62">
        <f t="shared" si="59"/>
        <v>672.40198334587728</v>
      </c>
      <c r="AN69" s="62">
        <f ca="1">AVERAGE(OFFSET($AM$3,0,0,'Données projet'!$E$10+1,1))-AVERAGE(OFFSET($H$3,0,0,'Données projet'!$E$10+1,1))</f>
        <v>434.56763649859136</v>
      </c>
      <c r="AO69" s="62">
        <f t="shared" ref="AO69:AO132" si="90">$AO$3</f>
        <v>271.90302066766264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1.1368683772161603E-13</v>
      </c>
      <c r="BE69" s="14">
        <f>BD69*VLOOKUP('Données projet'!$B$11,Paramètres!$A$1:$I$89,3,0)*VLOOKUP('Données projet'!$B$11,Paramètres!$A$1:$I$89,5,0)</f>
        <v>6.7984728957526396E-14</v>
      </c>
      <c r="BF69" s="14">
        <f t="shared" ref="BF69:BF132" si="91">EXP(-1.0587+0.8836*LN(BE69)+0.284)</f>
        <v>1.0682447123141398E-12</v>
      </c>
      <c r="BG69" s="22">
        <f t="shared" si="61"/>
        <v>1.978932943548152E-12</v>
      </c>
      <c r="BH69" s="62">
        <f t="shared" si="62"/>
        <v>249.43531652479311</v>
      </c>
      <c r="BI69" s="62">
        <f ca="1">AVERAGE(OFFSET($BH$3,0,0,'Données projet'!$E$11+1,1))-AVERAGE(OFFSET($H$3,0,0,'Données projet'!$E$11+1,1))</f>
        <v>199.65420589615553</v>
      </c>
      <c r="BJ69" s="62">
        <f t="shared" ref="BJ69:BJ132" si="92">$BJ$3</f>
        <v>477.85821088970999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26.137414299721684</v>
      </c>
      <c r="BQ69" s="23">
        <f>EXP(-LN(2)/25)*BQ68+(1-EXP(-LN(2)/25))/(LN(2)/25)*Calculateur!BL69*Calculateur!BN69*VLOOKUP('Données projet'!$B$11,Paramètres!$A$1:$I$89,3,0)*0.475*44/12</f>
        <v>16.198096168475807</v>
      </c>
      <c r="BR69" s="23">
        <f>EXP(-LN(2)/2)*BR68+(1-EXP(-LN(2)/2))/(LN(2)/2)*BL69*BO69*VLOOKUP('Données projet'!$B$11,Paramètres!$A$1:$I$89,3,0)*0.475*44/12</f>
        <v>1.6619638365519918E-4</v>
      </c>
      <c r="BS69" s="24">
        <f t="shared" si="63"/>
        <v>42.335676664581143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7</v>
      </c>
      <c r="BY69" s="13">
        <f>IF('Données projet'!$A$114&gt;35,BY68+BX69-CG68,IF(A69&lt;'Données projet'!$A$114,$BV$205^A69,IF(A69='Données projet'!$A$114,'Données projet'!$B$114,BY68+BX69-CG68)))</f>
        <v>394.00000000000023</v>
      </c>
      <c r="BZ69" s="14">
        <f>BY69*VLOOKUP('Données projet'!$B$12,Paramètres!$A$1:$I$89,3,0)*VLOOKUP('Données projet'!$B$12,Paramètres!$A$1:$I$89,5,0)</f>
        <v>235.61200000000017</v>
      </c>
      <c r="CA69" s="14">
        <f t="shared" ref="CA69:CA132" si="93">EXP(-1.0587+0.8836*LN(BZ69)+0.284)</f>
        <v>57.494419397561742</v>
      </c>
      <c r="CB69" s="22">
        <f t="shared" si="64"/>
        <v>510.49368045075363</v>
      </c>
      <c r="CC69" s="62">
        <f t="shared" si="65"/>
        <v>759.92899697554481</v>
      </c>
      <c r="CD69" s="62">
        <f ca="1">AVERAGE(OFFSET($CC$3,0,0,'Données projet'!$E$12+1,1))-AVERAGE(OFFSET($H$3,0,0,'Données projet'!$E$12+1,1))</f>
        <v>437.94016462147999</v>
      </c>
      <c r="CE69" s="62">
        <f t="shared" ref="CE69:CE132" si="94">$CE$3</f>
        <v>281.88254003380348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3.1236170731468192E-5</v>
      </c>
      <c r="CN69" s="24">
        <f t="shared" si="66"/>
        <v>3.1236170731468192E-5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6.8</v>
      </c>
      <c r="CT69" s="13">
        <f>IF('Données projet'!$A$140&gt;35,CT68+CS69-DB68,IF(A69&lt;'Données projet'!$A$140,$CQ$205^A69,IF(A69='Données projet'!$A$140,'Données projet'!$B$140,CT68+CS69-DB68)))</f>
        <v>214.80000000000004</v>
      </c>
      <c r="CU69" s="18">
        <f>CT69*VLOOKUP('Données projet'!$B$13,Paramètres!$A$1:$I$89,3,0)*VLOOKUP('Données projet'!$B$13,Paramètres!$A$1:$I$89,5,0)</f>
        <v>244.61424000000005</v>
      </c>
      <c r="CV69" s="14">
        <f t="shared" ref="CV69:CV132" si="95">EXP(-1.0587+0.8836*LN(CU69)+0.284)</f>
        <v>59.431203693842654</v>
      </c>
      <c r="CW69" s="22">
        <f t="shared" si="67"/>
        <v>529.54581443344262</v>
      </c>
      <c r="CX69" s="62">
        <f t="shared" si="68"/>
        <v>778.98113095823373</v>
      </c>
      <c r="CY69" s="62">
        <f ca="1">AVERAGE(OFFSET($CX$3,0,0,'Données projet'!$E$13+1,1))-AVERAGE(OFFSET($H$3,0,0,'Données projet'!$E$13+1,1))</f>
        <v>520.23742527061836</v>
      </c>
      <c r="CZ69" s="62">
        <f t="shared" ref="CZ69:CZ132" si="96">$CZ$3</f>
        <v>321.35925479331274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8.1999999999999993</v>
      </c>
      <c r="DO69" s="13">
        <f>IF('Données projet'!$A$166&gt;35,DO68+DN69-DW68,IF(A69&lt;'Données projet'!$A$166,$DL$205^A69,IF(A69='Données projet'!$A$166,'Données projet'!$B$166,DO68+DN69-DW68)))</f>
        <v>269.2</v>
      </c>
      <c r="DP69" s="18">
        <f>DO69*VLOOKUP('Données projet'!$B$14,Paramètres!$A$1:$I$89,3,0)*VLOOKUP('Données projet'!$B$14,Paramètres!$A$1:$I$89,5,0)</f>
        <v>272.96879999999999</v>
      </c>
      <c r="DQ69" s="14">
        <f t="shared" ref="DQ69:DQ132" si="97">EXP(-1.0587+0.8836*LN(DP69)+0.284)</f>
        <v>65.478922017818945</v>
      </c>
      <c r="DR69" s="22">
        <f t="shared" si="70"/>
        <v>589.46311584770126</v>
      </c>
      <c r="DS69" s="62">
        <f t="shared" si="71"/>
        <v>838.89843237249238</v>
      </c>
      <c r="DT69" s="62">
        <f ca="1">AVERAGE(OFFSET($DS$3,0,0,'Données projet'!$E$14+1,1))-AVERAGE(OFFSET($H$3,0,0,'Données projet'!$E$14+1,1))</f>
        <v>547.89540791313675</v>
      </c>
      <c r="DU69" s="62">
        <f t="shared" ref="DU69:DU132" si="98">$DU$3</f>
        <v>345.19555189302378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5.2</v>
      </c>
      <c r="EJ69" s="13">
        <f>IF('Données projet'!$A$192&gt;35,EJ68+EI69-ER68,IF(A69&lt;'Données projet'!$A$192,$EG$205^A69,IF(A69='Données projet'!$A$192,'Données projet'!$B$192,EJ68+EI69-ER68)))</f>
        <v>228.2000000000001</v>
      </c>
      <c r="EK69" s="18">
        <f>EJ69*VLOOKUP('Données projet'!$B$15,Paramètres!$A$1:$I$89,3,0)*VLOOKUP('Données projet'!$B$15,Paramètres!$A$1:$I$89,5,0)</f>
        <v>238.51464000000016</v>
      </c>
      <c r="EL69" s="14">
        <f t="shared" ref="EL69:EL132" si="99">EXP(-1.0587+0.8836*LN(EK69)+0.284)</f>
        <v>58.119832662919471</v>
      </c>
      <c r="EM69" s="22">
        <f t="shared" si="73"/>
        <v>516.63837322125164</v>
      </c>
      <c r="EN69" s="62">
        <f t="shared" si="74"/>
        <v>766.07368974604276</v>
      </c>
      <c r="EO69" s="62">
        <f ca="1">AVERAGE(OFFSET($EN$3,0,0,'Données projet'!$E$15+1,1))-AVERAGE(OFFSET($H$3,0,0,'Données projet'!$E$15+1,1))</f>
        <v>418.23737352070503</v>
      </c>
      <c r="EP69" s="62">
        <f t="shared" ref="EP69:EP132" si="100">$EP$3</f>
        <v>496.10742685332968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14.3</v>
      </c>
      <c r="FE69" s="13">
        <f>IF('Données projet'!$A$218&gt;35,FE68+FD69-FM68,IF(A69&lt;'Données projet'!$A$218,$FB$205^A69,IF(A69='Données projet'!$A$218,'Données projet'!$B$218,FE68+FD69-FM68)))</f>
        <v>390.80000000000007</v>
      </c>
      <c r="FF69" s="18">
        <f>FE69*VLOOKUP('Données projet'!$B$16,Paramètres!$A$1:$I$89,3,0)*VLOOKUP('Données projet'!$B$16,Paramètres!$A$1:$I$89,5,0)</f>
        <v>233.69840000000005</v>
      </c>
      <c r="FG69" s="14">
        <f t="shared" ref="FG69:FG132" si="101">EXP(-1.0587+0.8836*LN(FF69)+0.284)</f>
        <v>57.081618134454175</v>
      </c>
      <c r="FH69" s="22">
        <f t="shared" si="76"/>
        <v>506.44186491750776</v>
      </c>
      <c r="FI69" s="62">
        <f t="shared" si="77"/>
        <v>755.87718144229893</v>
      </c>
      <c r="FJ69" s="62">
        <f ca="1">AVERAGE(OFFSET($FI$3,0,0,'Données projet'!$E$16+1,1))-AVERAGE(OFFSET($H$3,0,0,'Données projet'!$E$16+1,1))</f>
        <v>341.70983624543067</v>
      </c>
      <c r="FK69" s="62">
        <f t="shared" ref="FK69:FK132" si="102">$FK$3</f>
        <v>250.82562837973805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4.7274421133064682E-5</v>
      </c>
      <c r="FT69" s="24">
        <f t="shared" si="78"/>
        <v>4.7274421133064682E-5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11.818181818181818</v>
      </c>
      <c r="FZ69" s="13">
        <f>IF('Données projet'!$A$244&gt;35,FZ68+FY69-GH68,IF(A69&lt;'Données projet'!$A$244,$FW$205^A69,IF(A69='Données projet'!$A$244,'Données projet'!$B$244,FZ68+FY69-GH68)))</f>
        <v>307.27272727272702</v>
      </c>
      <c r="GA69" s="18">
        <f>FZ69*VLOOKUP('Données projet'!$B$17,Paramètres!$A$1:$I$89,3,0)*VLOOKUP('Données projet'!$B$17,Paramètres!$A$1:$I$89,5,0)</f>
        <v>143.80363636363626</v>
      </c>
      <c r="GB69" s="14">
        <f t="shared" ref="GB69:GB132" si="103">EXP(-1.0587+0.8836*LN(GA69)+0.284)</f>
        <v>37.167001090338495</v>
      </c>
      <c r="GC69" s="22">
        <f t="shared" si="79"/>
        <v>315.19052689900604</v>
      </c>
      <c r="GD69" s="62">
        <f t="shared" si="80"/>
        <v>564.62584342379716</v>
      </c>
      <c r="GE69" s="62">
        <f ca="1">AVERAGE(OFFSET($GD$3,0,0,'Données projet'!$E$17+1,1))-AVERAGE(OFFSET($H$3,0,0,'Données projet'!$E$17+1,1))</f>
        <v>368.69628434154333</v>
      </c>
      <c r="GF69" s="62">
        <f t="shared" ref="GF69:GF132" si="104">$GF$3</f>
        <v>202.28197295839524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4.5999999999999996</v>
      </c>
      <c r="GU69" s="13">
        <f>IF('Données projet'!$A$270&gt;35,GU68+GT69-HC68,IF(A69&lt;'Données projet'!$A$270,$GR$205^A69,IF(A69='Données projet'!$A$270,'Données projet'!$B$270,GU68+GT69-HC68)))</f>
        <v>208.59999999999997</v>
      </c>
      <c r="GV69" s="18">
        <f>GU69*VLOOKUP('Données projet'!$B$18,Paramètres!$A$1:$I$89,3,0)*VLOOKUP('Données projet'!$B$18,Paramètres!$A$1:$I$89,5,0)</f>
        <v>182.23295999999999</v>
      </c>
      <c r="GW69" s="14">
        <f t="shared" ref="GW69:GW132" si="105">EXP(-1.0587+0.8836*LN(GV69)+0.284)</f>
        <v>45.818621592366291</v>
      </c>
      <c r="GX69" s="22">
        <f t="shared" si="82"/>
        <v>397.18983794003793</v>
      </c>
      <c r="GY69" s="62">
        <f t="shared" si="83"/>
        <v>646.62515446482905</v>
      </c>
      <c r="GZ69" s="62">
        <f ca="1">AVERAGE(OFFSET($GY$3,0,0,'Données projet'!$E$18+1,1))-AVERAGE(OFFSET($H$3,0,0,'Données projet'!$E$18+1,1))</f>
        <v>378.51861272969165</v>
      </c>
      <c r="HA69" s="62">
        <f t="shared" ref="HA69:HA132" si="106">$HA$3</f>
        <v>387.42368617035459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0</v>
      </c>
      <c r="HH69" s="23">
        <f>EXP(-LN(2)/25)*HH68+(1-EXP(-LN(2)/25))/(LN(2)/25)*Calculateur!HC69*Calculateur!HE69*VLOOKUP('Données projet'!$B$18,Paramètres!$A$1:$I$89,3,0)*0.475*44/12</f>
        <v>0</v>
      </c>
      <c r="HI69" s="23">
        <f>EXP(-LN(2)/2)*HI68+(1-EXP(-LN(2)/2))/(LN(2)/2)*HC69*HF69*VLOOKUP('Données projet'!$B$18,Paramètres!$A$1:$I$89,3,0)*0.475*44/12</f>
        <v>0</v>
      </c>
      <c r="HJ69" s="24">
        <f t="shared" si="84"/>
        <v>0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135.66666666666666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7</v>
      </c>
      <c r="N70" s="14">
        <f>IF('Données projet'!$A$36&gt;35,N69+M70-V69,IF(A70&lt;'Données projet'!$A$36,$K$205^A70,IF(A70='Données projet'!$A$36,'Données projet'!$B$36,N69+M70-V69)))</f>
        <v>401.00000000000023</v>
      </c>
      <c r="O70" s="14">
        <f>N70*VLOOKUP('Données projet'!$B$9,Paramètres!$A$1:$I$89,3,0)*VLOOKUP('Données projet'!$B$9,Paramètres!$A$1:$I$89,5,0)</f>
        <v>239.79800000000017</v>
      </c>
      <c r="P70" s="14">
        <f t="shared" si="87"/>
        <v>58.396067068575292</v>
      </c>
      <c r="Q70" s="22">
        <f t="shared" si="54"/>
        <v>519.35466681110222</v>
      </c>
      <c r="R70" s="62">
        <f t="shared" si="55"/>
        <v>769.55151578625862</v>
      </c>
      <c r="S70" s="62">
        <f ca="1">AVERAGE(OFFSET($R$3,0,0,'Données projet'!$E$9+1,1))-AVERAGE(OFFSET($H$3,0,0,'Données projet'!$E$9+1,1))</f>
        <v>437.94016462147999</v>
      </c>
      <c r="T70" s="62">
        <f t="shared" si="88"/>
        <v>281.88254003380348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2.2087308142521919E-5</v>
      </c>
      <c r="AC70" s="24">
        <f t="shared" si="57"/>
        <v>2.2087308142521919E-5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221.60000000000005</v>
      </c>
      <c r="AJ70" s="14">
        <f>AI70*VLOOKUP('Données projet'!$B$10,Paramètres!$A$1:$I$89,3,0)*VLOOKUP('Données projet'!$B$10,Paramètres!$A$1:$I$89,5,0)</f>
        <v>200.50368000000003</v>
      </c>
      <c r="AK70" s="14">
        <f t="shared" si="89"/>
        <v>49.854845135229887</v>
      </c>
      <c r="AL70" s="22">
        <f t="shared" si="58"/>
        <v>436.04109794385869</v>
      </c>
      <c r="AM70" s="62">
        <f t="shared" si="59"/>
        <v>686.23794691901503</v>
      </c>
      <c r="AN70" s="62">
        <f ca="1">AVERAGE(OFFSET($AM$3,0,0,'Données projet'!$E$10+1,1))-AVERAGE(OFFSET($H$3,0,0,'Données projet'!$E$10+1,1))</f>
        <v>434.56763649859136</v>
      </c>
      <c r="AO70" s="62">
        <f t="shared" si="90"/>
        <v>271.90302066766264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1.1368683772161603E-13</v>
      </c>
      <c r="BE70" s="14">
        <f>BD70*VLOOKUP('Données projet'!$B$11,Paramètres!$A$1:$I$89,3,0)*VLOOKUP('Données projet'!$B$11,Paramètres!$A$1:$I$89,5,0)</f>
        <v>6.7984728957526396E-14</v>
      </c>
      <c r="BF70" s="14">
        <f t="shared" si="91"/>
        <v>1.0682447123141398E-12</v>
      </c>
      <c r="BG70" s="22">
        <f t="shared" si="61"/>
        <v>1.978932943548152E-12</v>
      </c>
      <c r="BH70" s="62">
        <f t="shared" si="62"/>
        <v>250.19684897515836</v>
      </c>
      <c r="BI70" s="62">
        <f ca="1">AVERAGE(OFFSET($BH$3,0,0,'Données projet'!$E$11+1,1))-AVERAGE(OFFSET($H$3,0,0,'Données projet'!$E$11+1,1))</f>
        <v>199.65420589615553</v>
      </c>
      <c r="BJ70" s="62">
        <f t="shared" si="92"/>
        <v>477.85821088970999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25.624875547552698</v>
      </c>
      <c r="BQ70" s="23">
        <f>EXP(-LN(2)/25)*BQ69+(1-EXP(-LN(2)/25))/(LN(2)/25)*Calculateur!BL70*Calculateur!BN70*VLOOKUP('Données projet'!$B$11,Paramètres!$A$1:$I$89,3,0)*0.475*44/12</f>
        <v>15.75515837692798</v>
      </c>
      <c r="BR70" s="23">
        <f>EXP(-LN(2)/2)*BR69+(1-EXP(-LN(2)/2))/(LN(2)/2)*BL70*BO70*VLOOKUP('Données projet'!$B$11,Paramètres!$A$1:$I$89,3,0)*0.475*44/12</f>
        <v>1.1751858989127243E-4</v>
      </c>
      <c r="BS70" s="24">
        <f t="shared" si="63"/>
        <v>41.380151443070567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7</v>
      </c>
      <c r="BY70" s="13">
        <f>IF('Données projet'!$A$114&gt;35,BY69+BX70-CG69,IF(A70&lt;'Données projet'!$A$114,$BV$205^A70,IF(A70='Données projet'!$A$114,'Données projet'!$B$114,BY69+BX70-CG69)))</f>
        <v>401.00000000000023</v>
      </c>
      <c r="BZ70" s="14">
        <f>BY70*VLOOKUP('Données projet'!$B$12,Paramètres!$A$1:$I$89,3,0)*VLOOKUP('Données projet'!$B$12,Paramètres!$A$1:$I$89,5,0)</f>
        <v>239.79800000000017</v>
      </c>
      <c r="CA70" s="14">
        <f t="shared" si="93"/>
        <v>58.396067068575292</v>
      </c>
      <c r="CB70" s="22">
        <f t="shared" si="64"/>
        <v>519.35466681110222</v>
      </c>
      <c r="CC70" s="62">
        <f t="shared" si="65"/>
        <v>769.55151578625862</v>
      </c>
      <c r="CD70" s="62">
        <f ca="1">AVERAGE(OFFSET($CC$3,0,0,'Données projet'!$E$12+1,1))-AVERAGE(OFFSET($H$3,0,0,'Données projet'!$E$12+1,1))</f>
        <v>437.94016462147999</v>
      </c>
      <c r="CE70" s="62">
        <f t="shared" si="94"/>
        <v>281.88254003380348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2.2087308142521919E-5</v>
      </c>
      <c r="CN70" s="24">
        <f t="shared" si="66"/>
        <v>2.2087308142521919E-5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6.8</v>
      </c>
      <c r="CT70" s="13">
        <f>IF('Données projet'!$A$140&gt;35,CT69+CS70-DB69,IF(A70&lt;'Données projet'!$A$140,$CQ$205^A70,IF(A70='Données projet'!$A$140,'Données projet'!$B$140,CT69+CS70-DB69)))</f>
        <v>221.60000000000005</v>
      </c>
      <c r="CU70" s="18">
        <f>CT70*VLOOKUP('Données projet'!$B$13,Paramètres!$A$1:$I$89,3,0)*VLOOKUP('Données projet'!$B$13,Paramètres!$A$1:$I$89,5,0)</f>
        <v>252.35808000000006</v>
      </c>
      <c r="CV70" s="14">
        <f t="shared" si="95"/>
        <v>61.09061196544927</v>
      </c>
      <c r="CW70" s="22">
        <f t="shared" si="67"/>
        <v>545.92313850649077</v>
      </c>
      <c r="CX70" s="62">
        <f t="shared" si="68"/>
        <v>796.11998748164717</v>
      </c>
      <c r="CY70" s="62">
        <f ca="1">AVERAGE(OFFSET($CX$3,0,0,'Données projet'!$E$13+1,1))-AVERAGE(OFFSET($H$3,0,0,'Données projet'!$E$13+1,1))</f>
        <v>520.23742527061836</v>
      </c>
      <c r="CZ70" s="62">
        <f t="shared" si="96"/>
        <v>321.35925479331274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8.1999999999999993</v>
      </c>
      <c r="DO70" s="13">
        <f>IF('Données projet'!$A$166&gt;35,DO69+DN70-DW69,IF(A70&lt;'Données projet'!$A$166,$DL$205^A70,IF(A70='Données projet'!$A$166,'Données projet'!$B$166,DO69+DN70-DW69)))</f>
        <v>277.39999999999998</v>
      </c>
      <c r="DP70" s="18">
        <f>DO70*VLOOKUP('Données projet'!$B$14,Paramètres!$A$1:$I$89,3,0)*VLOOKUP('Données projet'!$B$14,Paramètres!$A$1:$I$89,5,0)</f>
        <v>281.28360000000004</v>
      </c>
      <c r="DQ70" s="14">
        <f t="shared" si="97"/>
        <v>67.238198209347928</v>
      </c>
      <c r="DR70" s="22">
        <f t="shared" si="70"/>
        <v>607.00879854794766</v>
      </c>
      <c r="DS70" s="62">
        <f t="shared" si="71"/>
        <v>857.20564752310406</v>
      </c>
      <c r="DT70" s="62">
        <f ca="1">AVERAGE(OFFSET($DS$3,0,0,'Données projet'!$E$14+1,1))-AVERAGE(OFFSET($H$3,0,0,'Données projet'!$E$14+1,1))</f>
        <v>547.89540791313675</v>
      </c>
      <c r="DU70" s="62">
        <f t="shared" si="98"/>
        <v>345.19555189302378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5.2</v>
      </c>
      <c r="EJ70" s="13">
        <f>IF('Données projet'!$A$192&gt;35,EJ69+EI70-ER69,IF(A70&lt;'Données projet'!$A$192,$EG$205^A70,IF(A70='Données projet'!$A$192,'Données projet'!$B$192,EJ69+EI70-ER69)))</f>
        <v>233.40000000000009</v>
      </c>
      <c r="EK70" s="18">
        <f>EJ70*VLOOKUP('Données projet'!$B$15,Paramètres!$A$1:$I$89,3,0)*VLOOKUP('Données projet'!$B$15,Paramètres!$A$1:$I$89,5,0)</f>
        <v>243.94968000000011</v>
      </c>
      <c r="EL70" s="14">
        <f t="shared" si="99"/>
        <v>59.288514386933173</v>
      </c>
      <c r="EM70" s="22">
        <f t="shared" si="73"/>
        <v>528.13985522390874</v>
      </c>
      <c r="EN70" s="62">
        <f t="shared" si="74"/>
        <v>778.33670419906514</v>
      </c>
      <c r="EO70" s="62">
        <f ca="1">AVERAGE(OFFSET($EN$3,0,0,'Données projet'!$E$15+1,1))-AVERAGE(OFFSET($H$3,0,0,'Données projet'!$E$15+1,1))</f>
        <v>418.23737352070503</v>
      </c>
      <c r="EP70" s="62">
        <f t="shared" si="100"/>
        <v>496.10742685332968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14.3</v>
      </c>
      <c r="FE70" s="13">
        <f>IF('Données projet'!$A$218&gt;35,FE69+FD70-FM69,IF(A70&lt;'Données projet'!$A$218,$FB$205^A70,IF(A70='Données projet'!$A$218,'Données projet'!$B$218,FE69+FD70-FM69)))</f>
        <v>405.10000000000008</v>
      </c>
      <c r="FF70" s="18">
        <f>FE70*VLOOKUP('Données projet'!$B$16,Paramètres!$A$1:$I$89,3,0)*VLOOKUP('Données projet'!$B$16,Paramètres!$A$1:$I$89,5,0)</f>
        <v>242.24980000000005</v>
      </c>
      <c r="FG70" s="14">
        <f t="shared" si="101"/>
        <v>58.923322739321947</v>
      </c>
      <c r="FH70" s="22">
        <f t="shared" si="76"/>
        <v>524.54318877098581</v>
      </c>
      <c r="FI70" s="62">
        <f t="shared" si="77"/>
        <v>774.74003774614221</v>
      </c>
      <c r="FJ70" s="62">
        <f ca="1">AVERAGE(OFFSET($FI$3,0,0,'Données projet'!$E$16+1,1))-AVERAGE(OFFSET($H$3,0,0,'Données projet'!$E$16+1,1))</f>
        <v>341.70983624543067</v>
      </c>
      <c r="FK70" s="62">
        <f t="shared" si="102"/>
        <v>250.82562837973805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3.3428063759858666E-5</v>
      </c>
      <c r="FT70" s="24">
        <f t="shared" si="78"/>
        <v>3.3428063759858666E-5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11.818181818181818</v>
      </c>
      <c r="FZ70" s="13">
        <f>IF('Données projet'!$A$244&gt;35,FZ69+FY70-GH69,IF(A70&lt;'Données projet'!$A$244,$FW$205^A70,IF(A70='Données projet'!$A$244,'Données projet'!$B$244,FZ69+FY70-GH69)))</f>
        <v>319.09090909090884</v>
      </c>
      <c r="GA70" s="18">
        <f>FZ70*VLOOKUP('Données projet'!$B$17,Paramètres!$A$1:$I$89,3,0)*VLOOKUP('Données projet'!$B$17,Paramètres!$A$1:$I$89,5,0)</f>
        <v>149.33454545454532</v>
      </c>
      <c r="GB70" s="14">
        <f t="shared" si="103"/>
        <v>38.427319576647847</v>
      </c>
      <c r="GC70" s="22">
        <f t="shared" si="79"/>
        <v>327.01858159599476</v>
      </c>
      <c r="GD70" s="62">
        <f t="shared" si="80"/>
        <v>577.21543057115116</v>
      </c>
      <c r="GE70" s="62">
        <f ca="1">AVERAGE(OFFSET($GD$3,0,0,'Données projet'!$E$17+1,1))-AVERAGE(OFFSET($H$3,0,0,'Données projet'!$E$17+1,1))</f>
        <v>368.69628434154333</v>
      </c>
      <c r="GF70" s="62">
        <f t="shared" si="104"/>
        <v>202.28197295839524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4.5999999999999996</v>
      </c>
      <c r="GU70" s="13">
        <f>IF('Données projet'!$A$270&gt;35,GU69+GT70-HC69,IF(A70&lt;'Données projet'!$A$270,$GR$205^A70,IF(A70='Données projet'!$A$270,'Données projet'!$B$270,GU69+GT70-HC69)))</f>
        <v>213.19999999999996</v>
      </c>
      <c r="GV70" s="18">
        <f>GU70*VLOOKUP('Données projet'!$B$18,Paramètres!$A$1:$I$89,3,0)*VLOOKUP('Données projet'!$B$18,Paramètres!$A$1:$I$89,5,0)</f>
        <v>186.25152</v>
      </c>
      <c r="GW70" s="14">
        <f t="shared" si="105"/>
        <v>46.71025851515671</v>
      </c>
      <c r="GX70" s="22">
        <f t="shared" si="82"/>
        <v>405.74176424723129</v>
      </c>
      <c r="GY70" s="62">
        <f t="shared" si="83"/>
        <v>655.93861322238763</v>
      </c>
      <c r="GZ70" s="62">
        <f ca="1">AVERAGE(OFFSET($GY$3,0,0,'Données projet'!$E$18+1,1))-AVERAGE(OFFSET($H$3,0,0,'Données projet'!$E$18+1,1))</f>
        <v>378.51861272969165</v>
      </c>
      <c r="HA70" s="62">
        <f t="shared" si="106"/>
        <v>387.42368617035459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0</v>
      </c>
      <c r="HH70" s="23">
        <f>EXP(-LN(2)/25)*HH69+(1-EXP(-LN(2)/25))/(LN(2)/25)*Calculateur!HC70*Calculateur!HE70*VLOOKUP('Données projet'!$B$18,Paramètres!$A$1:$I$89,3,0)*0.475*44/12</f>
        <v>0</v>
      </c>
      <c r="HI70" s="23">
        <f>EXP(-LN(2)/2)*HI69+(1-EXP(-LN(2)/2))/(LN(2)/2)*HC70*HF70*VLOOKUP('Données projet'!$B$18,Paramètres!$A$1:$I$89,3,0)*0.475*44/12</f>
        <v>0</v>
      </c>
      <c r="HJ70" s="24">
        <f t="shared" si="84"/>
        <v>0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135.66666666666666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7</v>
      </c>
      <c r="N71" s="14">
        <f>IF('Données projet'!$A$36&gt;35,N70+M71-V70,IF(A71&lt;'Données projet'!$A$36,$K$205^A71,IF(A71='Données projet'!$A$36,'Données projet'!$B$36,N70+M71-V70)))</f>
        <v>408.00000000000023</v>
      </c>
      <c r="O71" s="14">
        <f>N71*VLOOKUP('Données projet'!$B$9,Paramètres!$A$1:$I$89,3,0)*VLOOKUP('Données projet'!$B$9,Paramètres!$A$1:$I$89,5,0)</f>
        <v>243.98400000000015</v>
      </c>
      <c r="P71" s="14">
        <f t="shared" si="87"/>
        <v>59.295884425255011</v>
      </c>
      <c r="Q71" s="22">
        <f t="shared" si="54"/>
        <v>528.21246537398599</v>
      </c>
      <c r="R71" s="62">
        <f t="shared" si="55"/>
        <v>779.15763591402515</v>
      </c>
      <c r="S71" s="62">
        <f ca="1">AVERAGE(OFFSET($R$3,0,0,'Données projet'!$E$9+1,1))-AVERAGE(OFFSET($H$3,0,0,'Données projet'!$E$9+1,1))</f>
        <v>437.94016462147999</v>
      </c>
      <c r="T71" s="62">
        <f t="shared" si="88"/>
        <v>281.88254003380348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1.5618085365734096E-5</v>
      </c>
      <c r="AC71" s="24">
        <f t="shared" si="57"/>
        <v>1.5618085365734096E-5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228.40000000000006</v>
      </c>
      <c r="AJ71" s="14">
        <f>AI71*VLOOKUP('Données projet'!$B$10,Paramètres!$A$1:$I$89,3,0)*VLOOKUP('Données projet'!$B$10,Paramètres!$A$1:$I$89,5,0)</f>
        <v>206.65632000000005</v>
      </c>
      <c r="AK71" s="14">
        <f t="shared" si="89"/>
        <v>51.20422634371338</v>
      </c>
      <c r="AL71" s="22">
        <f t="shared" si="58"/>
        <v>449.10711821530089</v>
      </c>
      <c r="AM71" s="62">
        <f t="shared" si="59"/>
        <v>700.0522887553401</v>
      </c>
      <c r="AN71" s="62">
        <f ca="1">AVERAGE(OFFSET($AM$3,0,0,'Données projet'!$E$10+1,1))-AVERAGE(OFFSET($H$3,0,0,'Données projet'!$E$10+1,1))</f>
        <v>434.56763649859136</v>
      </c>
      <c r="AO71" s="62">
        <f t="shared" si="90"/>
        <v>271.90302066766264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1.1368683772161603E-13</v>
      </c>
      <c r="BE71" s="14">
        <f>BD71*VLOOKUP('Données projet'!$B$11,Paramètres!$A$1:$I$89,3,0)*VLOOKUP('Données projet'!$B$11,Paramètres!$A$1:$I$89,5,0)</f>
        <v>6.7984728957526396E-14</v>
      </c>
      <c r="BF71" s="14">
        <f t="shared" si="91"/>
        <v>1.0682447123141398E-12</v>
      </c>
      <c r="BG71" s="22">
        <f t="shared" si="61"/>
        <v>1.978932943548152E-12</v>
      </c>
      <c r="BH71" s="62">
        <f t="shared" si="62"/>
        <v>250.94517054004118</v>
      </c>
      <c r="BI71" s="62">
        <f ca="1">AVERAGE(OFFSET($BH$3,0,0,'Données projet'!$E$11+1,1))-AVERAGE(OFFSET($H$3,0,0,'Données projet'!$E$11+1,1))</f>
        <v>199.65420589615553</v>
      </c>
      <c r="BJ71" s="62">
        <f t="shared" si="92"/>
        <v>477.85821088970999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25.122387367695975</v>
      </c>
      <c r="BQ71" s="23">
        <f>EXP(-LN(2)/25)*BQ70+(1-EXP(-LN(2)/25))/(LN(2)/25)*Calculateur!BL71*Calculateur!BN71*VLOOKUP('Données projet'!$B$11,Paramètres!$A$1:$I$89,3,0)*0.475*44/12</f>
        <v>15.324332742583115</v>
      </c>
      <c r="BR71" s="23">
        <f>EXP(-LN(2)/2)*BR70+(1-EXP(-LN(2)/2))/(LN(2)/2)*BL71*BO71*VLOOKUP('Données projet'!$B$11,Paramètres!$A$1:$I$89,3,0)*0.475*44/12</f>
        <v>8.3098191827599605E-5</v>
      </c>
      <c r="BS71" s="24">
        <f t="shared" si="63"/>
        <v>40.446803208470918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7</v>
      </c>
      <c r="BY71" s="13">
        <f>IF('Données projet'!$A$114&gt;35,BY70+BX71-CG70,IF(A71&lt;'Données projet'!$A$114,$BV$205^A71,IF(A71='Données projet'!$A$114,'Données projet'!$B$114,BY70+BX71-CG70)))</f>
        <v>408.00000000000023</v>
      </c>
      <c r="BZ71" s="14">
        <f>BY71*VLOOKUP('Données projet'!$B$12,Paramètres!$A$1:$I$89,3,0)*VLOOKUP('Données projet'!$B$12,Paramètres!$A$1:$I$89,5,0)</f>
        <v>243.98400000000015</v>
      </c>
      <c r="CA71" s="14">
        <f t="shared" si="93"/>
        <v>59.295884425255011</v>
      </c>
      <c r="CB71" s="22">
        <f t="shared" si="64"/>
        <v>528.21246537398599</v>
      </c>
      <c r="CC71" s="62">
        <f t="shared" si="65"/>
        <v>779.15763591402515</v>
      </c>
      <c r="CD71" s="62">
        <f ca="1">AVERAGE(OFFSET($CC$3,0,0,'Données projet'!$E$12+1,1))-AVERAGE(OFFSET($H$3,0,0,'Données projet'!$E$12+1,1))</f>
        <v>437.94016462147999</v>
      </c>
      <c r="CE71" s="62">
        <f t="shared" si="94"/>
        <v>281.88254003380348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1.5618085365734096E-5</v>
      </c>
      <c r="CN71" s="24">
        <f t="shared" si="66"/>
        <v>1.5618085365734096E-5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6.8</v>
      </c>
      <c r="CT71" s="13">
        <f>IF('Données projet'!$A$140&gt;35,CT70+CS71-DB70,IF(A71&lt;'Données projet'!$A$140,$CQ$205^A71,IF(A71='Données projet'!$A$140,'Données projet'!$B$140,CT70+CS71-DB70)))</f>
        <v>228.40000000000006</v>
      </c>
      <c r="CU71" s="18">
        <f>CT71*VLOOKUP('Données projet'!$B$13,Paramètres!$A$1:$I$89,3,0)*VLOOKUP('Données projet'!$B$13,Paramètres!$A$1:$I$89,5,0)</f>
        <v>260.10192000000006</v>
      </c>
      <c r="CV71" s="14">
        <f t="shared" si="95"/>
        <v>62.74410268590654</v>
      </c>
      <c r="CW71" s="22">
        <f t="shared" si="67"/>
        <v>562.29015617795403</v>
      </c>
      <c r="CX71" s="62">
        <f t="shared" si="68"/>
        <v>813.23532671799319</v>
      </c>
      <c r="CY71" s="62">
        <f ca="1">AVERAGE(OFFSET($CX$3,0,0,'Données projet'!$E$13+1,1))-AVERAGE(OFFSET($H$3,0,0,'Données projet'!$E$13+1,1))</f>
        <v>520.23742527061836</v>
      </c>
      <c r="CZ71" s="62">
        <f t="shared" si="96"/>
        <v>321.35925479331274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8.1999999999999993</v>
      </c>
      <c r="DO71" s="13">
        <f>IF('Données projet'!$A$166&gt;35,DO70+DN71-DW70,IF(A71&lt;'Données projet'!$A$166,$DL$205^A71,IF(A71='Données projet'!$A$166,'Données projet'!$B$166,DO70+DN71-DW70)))</f>
        <v>285.59999999999997</v>
      </c>
      <c r="DP71" s="18">
        <f>DO71*VLOOKUP('Données projet'!$B$14,Paramètres!$A$1:$I$89,3,0)*VLOOKUP('Données projet'!$B$14,Paramètres!$A$1:$I$89,5,0)</f>
        <v>289.59839999999997</v>
      </c>
      <c r="DQ71" s="14">
        <f t="shared" si="97"/>
        <v>68.991430542388798</v>
      </c>
      <c r="DR71" s="22">
        <f t="shared" si="70"/>
        <v>624.54395486132705</v>
      </c>
      <c r="DS71" s="62">
        <f t="shared" si="71"/>
        <v>875.48912540136621</v>
      </c>
      <c r="DT71" s="62">
        <f ca="1">AVERAGE(OFFSET($DS$3,0,0,'Données projet'!$E$14+1,1))-AVERAGE(OFFSET($H$3,0,0,'Données projet'!$E$14+1,1))</f>
        <v>547.89540791313675</v>
      </c>
      <c r="DU71" s="62">
        <f t="shared" si="98"/>
        <v>345.19555189302378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5.2</v>
      </c>
      <c r="EJ71" s="13">
        <f>IF('Données projet'!$A$192&gt;35,EJ70+EI71-ER70,IF(A71&lt;'Données projet'!$A$192,$EG$205^A71,IF(A71='Données projet'!$A$192,'Données projet'!$B$192,EJ70+EI71-ER70)))</f>
        <v>238.60000000000008</v>
      </c>
      <c r="EK71" s="18">
        <f>EJ71*VLOOKUP('Données projet'!$B$15,Paramètres!$A$1:$I$89,3,0)*VLOOKUP('Données projet'!$B$15,Paramètres!$A$1:$I$89,5,0)</f>
        <v>249.3847200000001</v>
      </c>
      <c r="EL71" s="14">
        <f t="shared" si="99"/>
        <v>60.454169011481184</v>
      </c>
      <c r="EM71" s="22">
        <f t="shared" si="73"/>
        <v>539.63606502832988</v>
      </c>
      <c r="EN71" s="62">
        <f t="shared" si="74"/>
        <v>790.58123556836904</v>
      </c>
      <c r="EO71" s="62">
        <f ca="1">AVERAGE(OFFSET($EN$3,0,0,'Données projet'!$E$15+1,1))-AVERAGE(OFFSET($H$3,0,0,'Données projet'!$E$15+1,1))</f>
        <v>418.23737352070503</v>
      </c>
      <c r="EP71" s="62">
        <f t="shared" si="100"/>
        <v>496.10742685332968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14.3</v>
      </c>
      <c r="FE71" s="13">
        <f>IF('Données projet'!$A$218&gt;35,FE70+FD71-FM70,IF(A71&lt;'Données projet'!$A$218,$FB$205^A71,IF(A71='Données projet'!$A$218,'Données projet'!$B$218,FE70+FD71-FM70)))</f>
        <v>419.40000000000009</v>
      </c>
      <c r="FF71" s="18">
        <f>FE71*VLOOKUP('Données projet'!$B$16,Paramètres!$A$1:$I$89,3,0)*VLOOKUP('Données projet'!$B$16,Paramètres!$A$1:$I$89,5,0)</f>
        <v>250.80120000000008</v>
      </c>
      <c r="FG71" s="14">
        <f t="shared" si="101"/>
        <v>60.757473811682686</v>
      </c>
      <c r="FH71" s="22">
        <f t="shared" si="76"/>
        <v>542.63135688868078</v>
      </c>
      <c r="FI71" s="62">
        <f t="shared" si="77"/>
        <v>793.57652742871994</v>
      </c>
      <c r="FJ71" s="62">
        <f ca="1">AVERAGE(OFFSET($FI$3,0,0,'Données projet'!$E$16+1,1))-AVERAGE(OFFSET($H$3,0,0,'Données projet'!$E$16+1,1))</f>
        <v>341.70983624543067</v>
      </c>
      <c r="FK71" s="62">
        <f t="shared" si="102"/>
        <v>250.82562837973805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2.3637210566532341E-5</v>
      </c>
      <c r="FT71" s="24">
        <f t="shared" si="78"/>
        <v>2.3637210566532341E-5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11.818181818181818</v>
      </c>
      <c r="FZ71" s="13">
        <f>IF('Données projet'!$A$244&gt;35,FZ70+FY71-GH70,IF(A71&lt;'Données projet'!$A$244,$FW$205^A71,IF(A71='Données projet'!$A$244,'Données projet'!$B$244,FZ70+FY71-GH70)))</f>
        <v>330.90909090909065</v>
      </c>
      <c r="GA71" s="18">
        <f>FZ71*VLOOKUP('Données projet'!$B$17,Paramètres!$A$1:$I$89,3,0)*VLOOKUP('Données projet'!$B$17,Paramètres!$A$1:$I$89,5,0)</f>
        <v>154.86545454545441</v>
      </c>
      <c r="GB71" s="14">
        <f t="shared" si="103"/>
        <v>39.68221507546172</v>
      </c>
      <c r="GC71" s="22">
        <f t="shared" si="79"/>
        <v>338.83719125642892</v>
      </c>
      <c r="GD71" s="62">
        <f t="shared" si="80"/>
        <v>589.78236179646808</v>
      </c>
      <c r="GE71" s="62">
        <f ca="1">AVERAGE(OFFSET($GD$3,0,0,'Données projet'!$E$17+1,1))-AVERAGE(OFFSET($H$3,0,0,'Données projet'!$E$17+1,1))</f>
        <v>368.69628434154333</v>
      </c>
      <c r="GF71" s="62">
        <f t="shared" si="104"/>
        <v>202.28197295839524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4.5999999999999996</v>
      </c>
      <c r="GU71" s="13">
        <f>IF('Données projet'!$A$270&gt;35,GU70+GT71-HC70,IF(A71&lt;'Données projet'!$A$270,$GR$205^A71,IF(A71='Données projet'!$A$270,'Données projet'!$B$270,GU70+GT71-HC70)))</f>
        <v>217.79999999999995</v>
      </c>
      <c r="GV71" s="18">
        <f>GU71*VLOOKUP('Données projet'!$B$18,Paramètres!$A$1:$I$89,3,0)*VLOOKUP('Données projet'!$B$18,Paramètres!$A$1:$I$89,5,0)</f>
        <v>190.27007999999998</v>
      </c>
      <c r="GW71" s="14">
        <f t="shared" si="105"/>
        <v>47.599658767320413</v>
      </c>
      <c r="GX71" s="22">
        <f t="shared" si="82"/>
        <v>414.28979501974965</v>
      </c>
      <c r="GY71" s="62">
        <f t="shared" si="83"/>
        <v>665.23496555978886</v>
      </c>
      <c r="GZ71" s="62">
        <f ca="1">AVERAGE(OFFSET($GY$3,0,0,'Données projet'!$E$18+1,1))-AVERAGE(OFFSET($H$3,0,0,'Données projet'!$E$18+1,1))</f>
        <v>378.51861272969165</v>
      </c>
      <c r="HA71" s="62">
        <f t="shared" si="106"/>
        <v>387.42368617035459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0</v>
      </c>
      <c r="HH71" s="23">
        <f>EXP(-LN(2)/25)*HH70+(1-EXP(-LN(2)/25))/(LN(2)/25)*Calculateur!HC71*Calculateur!HE71*VLOOKUP('Données projet'!$B$18,Paramètres!$A$1:$I$89,3,0)*0.475*44/12</f>
        <v>0</v>
      </c>
      <c r="HI71" s="23">
        <f>EXP(-LN(2)/2)*HI70+(1-EXP(-LN(2)/2))/(LN(2)/2)*HC71*HF71*VLOOKUP('Données projet'!$B$18,Paramètres!$A$1:$I$89,3,0)*0.475*44/12</f>
        <v>0</v>
      </c>
      <c r="HJ71" s="24">
        <f t="shared" si="84"/>
        <v>0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135.66666666666666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7</v>
      </c>
      <c r="N72" s="14">
        <f>IF('Données projet'!$A$36&gt;35,N71+M72-V71,IF(A72&lt;'Données projet'!$A$36,$K$205^A72,IF(A72='Données projet'!$A$36,'Données projet'!$B$36,N71+M72-V71)))</f>
        <v>415.00000000000023</v>
      </c>
      <c r="O72" s="14">
        <f>N72*VLOOKUP('Données projet'!$B$9,Paramètres!$A$1:$I$89,3,0)*VLOOKUP('Données projet'!$B$9,Paramètres!$A$1:$I$89,5,0)</f>
        <v>248.17000000000016</v>
      </c>
      <c r="P72" s="14">
        <f t="shared" si="87"/>
        <v>60.193906493778854</v>
      </c>
      <c r="Q72" s="22">
        <f t="shared" si="54"/>
        <v>537.06713714333182</v>
      </c>
      <c r="R72" s="62">
        <f t="shared" si="55"/>
        <v>788.74764754209968</v>
      </c>
      <c r="S72" s="62">
        <f ca="1">AVERAGE(OFFSET($R$3,0,0,'Données projet'!$E$9+1,1))-AVERAGE(OFFSET($H$3,0,0,'Données projet'!$E$9+1,1))</f>
        <v>437.94016462147999</v>
      </c>
      <c r="T72" s="62">
        <f t="shared" si="88"/>
        <v>281.88254003380348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1.104365407126096E-5</v>
      </c>
      <c r="AC72" s="24">
        <f t="shared" si="57"/>
        <v>1.104365407126096E-5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235.20000000000007</v>
      </c>
      <c r="AJ72" s="14">
        <f>AI72*VLOOKUP('Données projet'!$B$10,Paramètres!$A$1:$I$89,3,0)*VLOOKUP('Données projet'!$B$10,Paramètres!$A$1:$I$89,5,0)</f>
        <v>212.80896000000004</v>
      </c>
      <c r="AK72" s="14">
        <f t="shared" si="89"/>
        <v>52.54893863748589</v>
      </c>
      <c r="AL72" s="22">
        <f t="shared" si="58"/>
        <v>462.16500679362139</v>
      </c>
      <c r="AM72" s="62">
        <f t="shared" si="59"/>
        <v>713.84551719238925</v>
      </c>
      <c r="AN72" s="62">
        <f ca="1">AVERAGE(OFFSET($AM$3,0,0,'Données projet'!$E$10+1,1))-AVERAGE(OFFSET($H$3,0,0,'Données projet'!$E$10+1,1))</f>
        <v>434.56763649859136</v>
      </c>
      <c r="AO72" s="62">
        <f t="shared" si="90"/>
        <v>271.90302066766264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1.1368683772161603E-13</v>
      </c>
      <c r="BE72" s="14">
        <f>BD72*VLOOKUP('Données projet'!$B$11,Paramètres!$A$1:$I$89,3,0)*VLOOKUP('Données projet'!$B$11,Paramètres!$A$1:$I$89,5,0)</f>
        <v>6.7984728957526396E-14</v>
      </c>
      <c r="BF72" s="14">
        <f t="shared" si="91"/>
        <v>1.0682447123141398E-12</v>
      </c>
      <c r="BG72" s="22">
        <f t="shared" si="61"/>
        <v>1.978932943548152E-12</v>
      </c>
      <c r="BH72" s="62">
        <f t="shared" si="62"/>
        <v>251.68051039876983</v>
      </c>
      <c r="BI72" s="62">
        <f ca="1">AVERAGE(OFFSET($BH$3,0,0,'Données projet'!$E$11+1,1))-AVERAGE(OFFSET($H$3,0,0,'Données projet'!$E$11+1,1))</f>
        <v>199.65420589615553</v>
      </c>
      <c r="BJ72" s="62">
        <f t="shared" si="92"/>
        <v>477.85821088970999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24.629752674558716</v>
      </c>
      <c r="BQ72" s="23">
        <f>EXP(-LN(2)/25)*BQ71+(1-EXP(-LN(2)/25))/(LN(2)/25)*Calculateur!BL72*Calculateur!BN72*VLOOKUP('Données projet'!$B$11,Paramètres!$A$1:$I$89,3,0)*0.475*44/12</f>
        <v>14.905288057865546</v>
      </c>
      <c r="BR72" s="23">
        <f>EXP(-LN(2)/2)*BR71+(1-EXP(-LN(2)/2))/(LN(2)/2)*BL72*BO72*VLOOKUP('Données projet'!$B$11,Paramètres!$A$1:$I$89,3,0)*0.475*44/12</f>
        <v>5.8759294945636231E-5</v>
      </c>
      <c r="BS72" s="24">
        <f t="shared" si="63"/>
        <v>39.535099491719208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7</v>
      </c>
      <c r="BY72" s="13">
        <f>IF('Données projet'!$A$114&gt;35,BY71+BX72-CG71,IF(A72&lt;'Données projet'!$A$114,$BV$205^A72,IF(A72='Données projet'!$A$114,'Données projet'!$B$114,BY71+BX72-CG71)))</f>
        <v>415.00000000000023</v>
      </c>
      <c r="BZ72" s="14">
        <f>BY72*VLOOKUP('Données projet'!$B$12,Paramètres!$A$1:$I$89,3,0)*VLOOKUP('Données projet'!$B$12,Paramètres!$A$1:$I$89,5,0)</f>
        <v>248.17000000000016</v>
      </c>
      <c r="CA72" s="14">
        <f t="shared" si="93"/>
        <v>60.193906493778854</v>
      </c>
      <c r="CB72" s="22">
        <f t="shared" si="64"/>
        <v>537.06713714333182</v>
      </c>
      <c r="CC72" s="62">
        <f t="shared" si="65"/>
        <v>788.74764754209968</v>
      </c>
      <c r="CD72" s="62">
        <f ca="1">AVERAGE(OFFSET($CC$3,0,0,'Données projet'!$E$12+1,1))-AVERAGE(OFFSET($H$3,0,0,'Données projet'!$E$12+1,1))</f>
        <v>437.94016462147999</v>
      </c>
      <c r="CE72" s="62">
        <f t="shared" si="94"/>
        <v>281.88254003380348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1.104365407126096E-5</v>
      </c>
      <c r="CN72" s="24">
        <f t="shared" si="66"/>
        <v>1.104365407126096E-5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6.8</v>
      </c>
      <c r="CT72" s="13">
        <f>IF('Données projet'!$A$140&gt;35,CT71+CS72-DB71,IF(A72&lt;'Données projet'!$A$140,$CQ$205^A72,IF(A72='Données projet'!$A$140,'Données projet'!$B$140,CT71+CS72-DB71)))</f>
        <v>235.20000000000007</v>
      </c>
      <c r="CU72" s="18">
        <f>CT72*VLOOKUP('Données projet'!$B$13,Paramètres!$A$1:$I$89,3,0)*VLOOKUP('Données projet'!$B$13,Paramètres!$A$1:$I$89,5,0)</f>
        <v>267.8457600000001</v>
      </c>
      <c r="CV72" s="14">
        <f t="shared" si="95"/>
        <v>64.391872260181529</v>
      </c>
      <c r="CW72" s="22">
        <f t="shared" si="67"/>
        <v>578.64720951981633</v>
      </c>
      <c r="CX72" s="62">
        <f t="shared" si="68"/>
        <v>830.32771991858419</v>
      </c>
      <c r="CY72" s="62">
        <f ca="1">AVERAGE(OFFSET($CX$3,0,0,'Données projet'!$E$13+1,1))-AVERAGE(OFFSET($H$3,0,0,'Données projet'!$E$13+1,1))</f>
        <v>520.23742527061836</v>
      </c>
      <c r="CZ72" s="62">
        <f t="shared" si="96"/>
        <v>321.35925479331274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8.1999999999999993</v>
      </c>
      <c r="DO72" s="13">
        <f>IF('Données projet'!$A$166&gt;35,DO71+DN72-DW71,IF(A72&lt;'Données projet'!$A$166,$DL$205^A72,IF(A72='Données projet'!$A$166,'Données projet'!$B$166,DO71+DN72-DW71)))</f>
        <v>293.79999999999995</v>
      </c>
      <c r="DP72" s="18">
        <f>DO72*VLOOKUP('Données projet'!$B$14,Paramètres!$A$1:$I$89,3,0)*VLOOKUP('Données projet'!$B$14,Paramètres!$A$1:$I$89,5,0)</f>
        <v>297.91319999999996</v>
      </c>
      <c r="DQ72" s="14">
        <f t="shared" si="97"/>
        <v>70.73881247427552</v>
      </c>
      <c r="DR72" s="22">
        <f t="shared" si="70"/>
        <v>642.06892172602977</v>
      </c>
      <c r="DS72" s="62">
        <f t="shared" si="71"/>
        <v>893.74943212479764</v>
      </c>
      <c r="DT72" s="62">
        <f ca="1">AVERAGE(OFFSET($DS$3,0,0,'Données projet'!$E$14+1,1))-AVERAGE(OFFSET($H$3,0,0,'Données projet'!$E$14+1,1))</f>
        <v>547.89540791313675</v>
      </c>
      <c r="DU72" s="62">
        <f t="shared" si="98"/>
        <v>345.19555189302378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5.2</v>
      </c>
      <c r="EJ72" s="13">
        <f>IF('Données projet'!$A$192&gt;35,EJ71+EI72-ER71,IF(A72&lt;'Données projet'!$A$192,$EG$205^A72,IF(A72='Données projet'!$A$192,'Données projet'!$B$192,EJ71+EI72-ER71)))</f>
        <v>243.80000000000007</v>
      </c>
      <c r="EK72" s="18">
        <f>EJ72*VLOOKUP('Données projet'!$B$15,Paramètres!$A$1:$I$89,3,0)*VLOOKUP('Données projet'!$B$15,Paramètres!$A$1:$I$89,5,0)</f>
        <v>254.81976000000012</v>
      </c>
      <c r="EL72" s="14">
        <f t="shared" si="99"/>
        <v>61.616870106118846</v>
      </c>
      <c r="EM72" s="22">
        <f t="shared" si="73"/>
        <v>551.12713076815714</v>
      </c>
      <c r="EN72" s="62">
        <f t="shared" si="74"/>
        <v>802.80764116692501</v>
      </c>
      <c r="EO72" s="62">
        <f ca="1">AVERAGE(OFFSET($EN$3,0,0,'Données projet'!$E$15+1,1))-AVERAGE(OFFSET($H$3,0,0,'Données projet'!$E$15+1,1))</f>
        <v>418.23737352070503</v>
      </c>
      <c r="EP72" s="62">
        <f t="shared" si="100"/>
        <v>496.10742685332968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14.3</v>
      </c>
      <c r="FE72" s="13">
        <f>IF('Données projet'!$A$218&gt;35,FE71+FD72-FM71,IF(A72&lt;'Données projet'!$A$218,$FB$205^A72,IF(A72='Données projet'!$A$218,'Données projet'!$B$218,FE71+FD72-FM71)))</f>
        <v>433.7000000000001</v>
      </c>
      <c r="FF72" s="18">
        <f>FE72*VLOOKUP('Données projet'!$B$16,Paramètres!$A$1:$I$89,3,0)*VLOOKUP('Données projet'!$B$16,Paramètres!$A$1:$I$89,5,0)</f>
        <v>259.35260000000011</v>
      </c>
      <c r="FG72" s="14">
        <f t="shared" si="101"/>
        <v>62.58435842101963</v>
      </c>
      <c r="FH72" s="22">
        <f t="shared" si="76"/>
        <v>560.70686924994277</v>
      </c>
      <c r="FI72" s="62">
        <f t="shared" si="77"/>
        <v>812.38737964871063</v>
      </c>
      <c r="FJ72" s="62">
        <f ca="1">AVERAGE(OFFSET($FI$3,0,0,'Données projet'!$E$16+1,1))-AVERAGE(OFFSET($H$3,0,0,'Données projet'!$E$16+1,1))</f>
        <v>341.70983624543067</v>
      </c>
      <c r="FK72" s="62">
        <f t="shared" si="102"/>
        <v>250.82562837973805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1.6714031879929333E-5</v>
      </c>
      <c r="FT72" s="24">
        <f t="shared" si="78"/>
        <v>1.6714031879929333E-5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11.818181818181818</v>
      </c>
      <c r="FZ72" s="13">
        <f>IF('Données projet'!$A$244&gt;35,FZ71+FY72-GH71,IF(A72&lt;'Données projet'!$A$244,$FW$205^A72,IF(A72='Données projet'!$A$244,'Données projet'!$B$244,FZ71+FY72-GH71)))</f>
        <v>342.72727272727246</v>
      </c>
      <c r="GA72" s="18">
        <f>FZ72*VLOOKUP('Données projet'!$B$17,Paramètres!$A$1:$I$89,3,0)*VLOOKUP('Données projet'!$B$17,Paramètres!$A$1:$I$89,5,0)</f>
        <v>160.3963636363635</v>
      </c>
      <c r="GB72" s="14">
        <f t="shared" si="103"/>
        <v>40.931903453546241</v>
      </c>
      <c r="GC72" s="22">
        <f t="shared" si="79"/>
        <v>350.64673184825944</v>
      </c>
      <c r="GD72" s="62">
        <f t="shared" si="80"/>
        <v>602.32724224702724</v>
      </c>
      <c r="GE72" s="62">
        <f ca="1">AVERAGE(OFFSET($GD$3,0,0,'Données projet'!$E$17+1,1))-AVERAGE(OFFSET($H$3,0,0,'Données projet'!$E$17+1,1))</f>
        <v>368.69628434154333</v>
      </c>
      <c r="GF72" s="62">
        <f t="shared" si="104"/>
        <v>202.28197295839524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4.5999999999999996</v>
      </c>
      <c r="GU72" s="13">
        <f>IF('Données projet'!$A$270&gt;35,GU71+GT72-HC71,IF(A72&lt;'Données projet'!$A$270,$GR$205^A72,IF(A72='Données projet'!$A$270,'Données projet'!$B$270,GU71+GT72-HC71)))</f>
        <v>222.39999999999995</v>
      </c>
      <c r="GV72" s="18">
        <f>GU72*VLOOKUP('Données projet'!$B$18,Paramètres!$A$1:$I$89,3,0)*VLOOKUP('Données projet'!$B$18,Paramètres!$A$1:$I$89,5,0)</f>
        <v>194.28863999999999</v>
      </c>
      <c r="GW72" s="14">
        <f t="shared" si="105"/>
        <v>48.486875029770822</v>
      </c>
      <c r="GX72" s="22">
        <f t="shared" si="82"/>
        <v>422.83402201018413</v>
      </c>
      <c r="GY72" s="62">
        <f t="shared" si="83"/>
        <v>674.51453240895194</v>
      </c>
      <c r="GZ72" s="62">
        <f ca="1">AVERAGE(OFFSET($GY$3,0,0,'Données projet'!$E$18+1,1))-AVERAGE(OFFSET($H$3,0,0,'Données projet'!$E$18+1,1))</f>
        <v>378.51861272969165</v>
      </c>
      <c r="HA72" s="62">
        <f t="shared" si="106"/>
        <v>387.42368617035459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0</v>
      </c>
      <c r="HH72" s="23">
        <f>EXP(-LN(2)/25)*HH71+(1-EXP(-LN(2)/25))/(LN(2)/25)*Calculateur!HC72*Calculateur!HE72*VLOOKUP('Données projet'!$B$18,Paramètres!$A$1:$I$89,3,0)*0.475*44/12</f>
        <v>0</v>
      </c>
      <c r="HI72" s="23">
        <f>EXP(-LN(2)/2)*HI71+(1-EXP(-LN(2)/2))/(LN(2)/2)*HC72*HF72*VLOOKUP('Données projet'!$B$18,Paramètres!$A$1:$I$89,3,0)*0.475*44/12</f>
        <v>0</v>
      </c>
      <c r="HJ72" s="24">
        <f t="shared" si="84"/>
        <v>0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135.66666666666666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422</v>
      </c>
      <c r="L73" s="13">
        <f>VLOOKUP(A73,'Données projet'!$A$35:$I$55,9,0)</f>
        <v>7</v>
      </c>
      <c r="M73" s="13">
        <f t="array" ref="M73">INDEX(L:L,MIN(IF(ISNUMBER(L73:L269),ROW(L73:L269),"")))</f>
        <v>7</v>
      </c>
      <c r="N73" s="14">
        <f>IF('Données projet'!$A$36&gt;35,N72+M73-V72,IF(A73&lt;'Données projet'!$A$36,$K$205^A73,IF(A73='Données projet'!$A$36,'Données projet'!$B$36,N72+M73-V72)))</f>
        <v>422.00000000000023</v>
      </c>
      <c r="O73" s="14">
        <f>N73*VLOOKUP('Données projet'!$B$9,Paramètres!$A$1:$I$89,3,0)*VLOOKUP('Données projet'!$B$9,Paramètres!$A$1:$I$89,5,0)</f>
        <v>252.35600000000017</v>
      </c>
      <c r="P73" s="14">
        <f t="shared" si="87"/>
        <v>61.090167050998808</v>
      </c>
      <c r="Q73" s="22">
        <f t="shared" si="54"/>
        <v>545.91874094715649</v>
      </c>
      <c r="R73" s="62">
        <f t="shared" si="55"/>
        <v>798.32183470207758</v>
      </c>
      <c r="S73" s="62">
        <f ca="1">AVERAGE(OFFSET($R$3,0,0,'Données projet'!$E$9+1,1))-AVERAGE(OFFSET($H$3,0,0,'Données projet'!$E$9+1,1))</f>
        <v>437.94016462147999</v>
      </c>
      <c r="T73" s="62">
        <f t="shared" si="88"/>
        <v>281.88254003380348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26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7.8090426828670481E-6</v>
      </c>
      <c r="AC73" s="24">
        <f t="shared" si="57"/>
        <v>7.8090426828670481E-6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242.00000000000009</v>
      </c>
      <c r="AJ73" s="14">
        <f>AI73*VLOOKUP('Données projet'!$B$10,Paramètres!$A$1:$I$89,3,0)*VLOOKUP('Données projet'!$B$10,Paramètres!$A$1:$I$89,5,0)</f>
        <v>218.96160000000006</v>
      </c>
      <c r="AK73" s="14">
        <f t="shared" si="89"/>
        <v>53.88913250370743</v>
      </c>
      <c r="AL73" s="22">
        <f t="shared" si="58"/>
        <v>475.21502577729046</v>
      </c>
      <c r="AM73" s="62">
        <f t="shared" si="59"/>
        <v>727.61811953221149</v>
      </c>
      <c r="AN73" s="62">
        <f ca="1">AVERAGE(OFFSET($AM$3,0,0,'Données projet'!$E$10+1,1))-AVERAGE(OFFSET($H$3,0,0,'Données projet'!$E$10+1,1))</f>
        <v>434.56763649859136</v>
      </c>
      <c r="AO73" s="62">
        <f t="shared" si="90"/>
        <v>271.90302066766264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1.1368683772161603E-13</v>
      </c>
      <c r="BE73" s="14">
        <f>BD73*VLOOKUP('Données projet'!$B$11,Paramètres!$A$1:$I$89,3,0)*VLOOKUP('Données projet'!$B$11,Paramètres!$A$1:$I$89,5,0)</f>
        <v>6.7984728957526396E-14</v>
      </c>
      <c r="BF73" s="14">
        <f t="shared" si="91"/>
        <v>1.0682447123141398E-12</v>
      </c>
      <c r="BG73" s="22">
        <f t="shared" si="61"/>
        <v>1.978932943548152E-12</v>
      </c>
      <c r="BH73" s="62">
        <f t="shared" si="62"/>
        <v>252.40309375492305</v>
      </c>
      <c r="BI73" s="62">
        <f ca="1">AVERAGE(OFFSET($BH$3,0,0,'Données projet'!$E$11+1,1))-AVERAGE(OFFSET($H$3,0,0,'Données projet'!$E$11+1,1))</f>
        <v>199.65420589615553</v>
      </c>
      <c r="BJ73" s="62">
        <f t="shared" si="92"/>
        <v>477.85821088970999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24.146778247276387</v>
      </c>
      <c r="BQ73" s="23">
        <f>EXP(-LN(2)/25)*BQ72+(1-EXP(-LN(2)/25))/(LN(2)/25)*Calculateur!BL73*Calculateur!BN73*VLOOKUP('Données projet'!$B$11,Paramètres!$A$1:$I$89,3,0)*0.475*44/12</f>
        <v>14.49770217208818</v>
      </c>
      <c r="BR73" s="23">
        <f>EXP(-LN(2)/2)*BR72+(1-EXP(-LN(2)/2))/(LN(2)/2)*BL73*BO73*VLOOKUP('Données projet'!$B$11,Paramètres!$A$1:$I$89,3,0)*0.475*44/12</f>
        <v>4.1549095913799809E-5</v>
      </c>
      <c r="BS73" s="24">
        <f t="shared" si="63"/>
        <v>38.644521968460481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422</v>
      </c>
      <c r="BW73" s="13">
        <f>VLOOKUP(A73,'Données projet'!$A$113:$I$133,9,0)</f>
        <v>7</v>
      </c>
      <c r="BX73" s="13">
        <f t="array" ref="BX73">INDEX(BW:BW,MIN(IF(ISNUMBER(BW73:BW269),ROW(BW73:BW269),"")))</f>
        <v>7</v>
      </c>
      <c r="BY73" s="13">
        <f>IF('Données projet'!$A$114&gt;35,BY72+BX73-CG72,IF(A73&lt;'Données projet'!$A$114,$BV$205^A73,IF(A73='Données projet'!$A$114,'Données projet'!$B$114,BY72+BX73-CG72)))</f>
        <v>422.00000000000023</v>
      </c>
      <c r="BZ73" s="14">
        <f>BY73*VLOOKUP('Données projet'!$B$12,Paramètres!$A$1:$I$89,3,0)*VLOOKUP('Données projet'!$B$12,Paramètres!$A$1:$I$89,5,0)</f>
        <v>252.35600000000017</v>
      </c>
      <c r="CA73" s="14">
        <f t="shared" si="93"/>
        <v>61.090167050998808</v>
      </c>
      <c r="CB73" s="22">
        <f t="shared" si="64"/>
        <v>545.91874094715649</v>
      </c>
      <c r="CC73" s="62">
        <f t="shared" si="65"/>
        <v>798.32183470207758</v>
      </c>
      <c r="CD73" s="62">
        <f ca="1">AVERAGE(OFFSET($CC$3,0,0,'Données projet'!$E$12+1,1))-AVERAGE(OFFSET($H$3,0,0,'Données projet'!$E$12+1,1))</f>
        <v>437.94016462147999</v>
      </c>
      <c r="CE73" s="62">
        <f t="shared" si="94"/>
        <v>281.88254003380348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26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7.8090426828670481E-6</v>
      </c>
      <c r="CN73" s="24">
        <f t="shared" si="66"/>
        <v>7.8090426828670481E-6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242</v>
      </c>
      <c r="CR73" s="13">
        <f>VLOOKUP(A73,'Données projet'!$A$139:$I$159,9,0)</f>
        <v>6.8</v>
      </c>
      <c r="CS73" s="13">
        <f t="array" ref="CS73">INDEX(CR:CR,MIN(IF(ISNUMBER(CR73:CR269),ROW(CR73:CR269),"")))</f>
        <v>6.8</v>
      </c>
      <c r="CT73" s="13">
        <f>IF('Données projet'!$A$140&gt;35,CT72+CS73-DB72,IF(A73&lt;'Données projet'!$A$140,$CQ$205^A73,IF(A73='Données projet'!$A$140,'Données projet'!$B$140,CT72+CS73-DB72)))</f>
        <v>242.00000000000009</v>
      </c>
      <c r="CU73" s="18">
        <f>CT73*VLOOKUP('Données projet'!$B$13,Paramètres!$A$1:$I$89,3,0)*VLOOKUP('Données projet'!$B$13,Paramètres!$A$1:$I$89,5,0)</f>
        <v>275.58960000000008</v>
      </c>
      <c r="CV73" s="14">
        <f t="shared" si="95"/>
        <v>66.034105090666486</v>
      </c>
      <c r="CW73" s="22">
        <f t="shared" si="67"/>
        <v>594.99461969957758</v>
      </c>
      <c r="CX73" s="62">
        <f t="shared" si="68"/>
        <v>847.39771345449867</v>
      </c>
      <c r="CY73" s="62">
        <f ca="1">AVERAGE(OFFSET($CX$3,0,0,'Données projet'!$E$13+1,1))-AVERAGE(OFFSET($H$3,0,0,'Données projet'!$E$13+1,1))</f>
        <v>520.23742527061836</v>
      </c>
      <c r="CZ73" s="62">
        <f t="shared" si="96"/>
        <v>321.35925479331274</v>
      </c>
      <c r="DA73" s="16">
        <f>IF(ISNA(VLOOKUP(A73,'Données projet'!$A$139:$I$159,3,0)),0,VLOOKUP(A73,'Données projet'!$A$139:$I$159,3,0))</f>
        <v>10</v>
      </c>
      <c r="DB73" s="16">
        <f>IF(ISNA(VLOOKUP(A73,'Données projet'!$A$139:$I$159,4,0)),0,VLOOKUP(A73,'Données projet'!$A$139:$I$159,4,0))</f>
        <v>21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302</v>
      </c>
      <c r="DM73" s="13">
        <f>VLOOKUP(A73,'Données projet'!$A$165:$I$185,9,0)</f>
        <v>8.1999999999999993</v>
      </c>
      <c r="DN73" s="13">
        <f t="array" ref="DN73">INDEX(DM:DM,MIN(IF(ISNUMBER(DM73:DM269),ROW(DM73:DM269),"")))</f>
        <v>8.1999999999999993</v>
      </c>
      <c r="DO73" s="13">
        <f>IF('Données projet'!$A$166&gt;35,DO72+DN73-DW72,IF(A73&lt;'Données projet'!$A$166,$DL$205^A73,IF(A73='Données projet'!$A$166,'Données projet'!$B$166,DO72+DN73-DW72)))</f>
        <v>301.99999999999994</v>
      </c>
      <c r="DP73" s="18">
        <f>DO73*VLOOKUP('Données projet'!$B$14,Paramètres!$A$1:$I$89,3,0)*VLOOKUP('Données projet'!$B$14,Paramètres!$A$1:$I$89,5,0)</f>
        <v>306.22800000000001</v>
      </c>
      <c r="DQ73" s="14">
        <f t="shared" si="97"/>
        <v>72.480526049067294</v>
      </c>
      <c r="DR73" s="22">
        <f t="shared" si="70"/>
        <v>659.58401620212555</v>
      </c>
      <c r="DS73" s="62">
        <f t="shared" si="71"/>
        <v>911.98710995704664</v>
      </c>
      <c r="DT73" s="62">
        <f ca="1">AVERAGE(OFFSET($DS$3,0,0,'Données projet'!$E$14+1,1))-AVERAGE(OFFSET($H$3,0,0,'Données projet'!$E$14+1,1))</f>
        <v>547.89540791313675</v>
      </c>
      <c r="DU73" s="62">
        <f t="shared" si="98"/>
        <v>345.19555189302378</v>
      </c>
      <c r="DV73" s="16">
        <f>IF(ISNA(VLOOKUP(A73,'Données projet'!$A$165:$I$185,3,0)),0,VLOOKUP(A73,'Données projet'!$A$165:$I$185,3,0))</f>
        <v>11</v>
      </c>
      <c r="DW73" s="16">
        <f>IF(ISNA(VLOOKUP(A73,'Données projet'!$A$165:$I$185,4,0)),0,VLOOKUP(A73,'Données projet'!$A$165:$I$185,4,0))</f>
        <v>28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249</v>
      </c>
      <c r="EH73" s="13">
        <f>VLOOKUP(A73,'Données projet'!$A$191:$I$211,9,0)</f>
        <v>5.2</v>
      </c>
      <c r="EI73" s="13">
        <f t="array" ref="EI73">INDEX(EH:EH,MIN(IF(ISNUMBER(EH73:EH269),ROW(EH73:EH269),"")))</f>
        <v>5.2</v>
      </c>
      <c r="EJ73" s="13">
        <f>IF('Données projet'!$A$192&gt;35,EJ72+EI73-ER72,IF(A73&lt;'Données projet'!$A$192,$EG$205^A73,IF(A73='Données projet'!$A$192,'Données projet'!$B$192,EJ72+EI73-ER72)))</f>
        <v>249.00000000000006</v>
      </c>
      <c r="EK73" s="18">
        <f>EJ73*VLOOKUP('Données projet'!$B$15,Paramètres!$A$1:$I$89,3,0)*VLOOKUP('Données projet'!$B$15,Paramètres!$A$1:$I$89,5,0)</f>
        <v>260.25480000000005</v>
      </c>
      <c r="EL73" s="14">
        <f t="shared" si="99"/>
        <v>62.776687922790821</v>
      </c>
      <c r="EM73" s="22">
        <f t="shared" si="73"/>
        <v>562.61317479886077</v>
      </c>
      <c r="EN73" s="62">
        <f t="shared" si="74"/>
        <v>815.01626855378186</v>
      </c>
      <c r="EO73" s="62">
        <f ca="1">AVERAGE(OFFSET($EN$3,0,0,'Données projet'!$E$15+1,1))-AVERAGE(OFFSET($H$3,0,0,'Données projet'!$E$15+1,1))</f>
        <v>418.23737352070503</v>
      </c>
      <c r="EP73" s="62">
        <f t="shared" si="100"/>
        <v>496.10742685332968</v>
      </c>
      <c r="EQ73" s="16">
        <f>IF(ISNA(VLOOKUP(A73,'Données projet'!$A$191:$I$211,3,0)),0,VLOOKUP(A73,'Données projet'!$A$191:$I$211,3,0))</f>
        <v>12</v>
      </c>
      <c r="ER73" s="16">
        <f>IF(ISNA(VLOOKUP(A73,'Données projet'!$A$191:$I$211,4,0)),0,VLOOKUP(A73,'Données projet'!$A$191:$I$211,4,0))</f>
        <v>249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448</v>
      </c>
      <c r="FC73" s="13">
        <f>VLOOKUP(A73,'Données projet'!$A$217:$I$237,9,0)</f>
        <v>14.3</v>
      </c>
      <c r="FD73" s="13">
        <f t="array" ref="FD73">INDEX(FC:FC,MIN(IF(ISNUMBER(FC73:FC269),ROW(FC73:FC269),"")))</f>
        <v>14.3</v>
      </c>
      <c r="FE73" s="13">
        <f>IF('Données projet'!$A$218&gt;35,FE72+FD73-FM72,IF(A73&lt;'Données projet'!$A$218,$FB$205^A73,IF(A73='Données projet'!$A$218,'Données projet'!$B$218,FE72+FD73-FM72)))</f>
        <v>448.00000000000011</v>
      </c>
      <c r="FF73" s="18">
        <f>FE73*VLOOKUP('Données projet'!$B$16,Paramètres!$A$1:$I$89,3,0)*VLOOKUP('Données projet'!$B$16,Paramètres!$A$1:$I$89,5,0)</f>
        <v>267.90400000000011</v>
      </c>
      <c r="FG73" s="14">
        <f t="shared" si="101"/>
        <v>64.404243631863267</v>
      </c>
      <c r="FH73" s="22">
        <f t="shared" si="76"/>
        <v>578.77019099216204</v>
      </c>
      <c r="FI73" s="62">
        <f t="shared" si="77"/>
        <v>831.17328474708313</v>
      </c>
      <c r="FJ73" s="62">
        <f ca="1">AVERAGE(OFFSET($FI$3,0,0,'Données projet'!$E$16+1,1))-AVERAGE(OFFSET($H$3,0,0,'Données projet'!$E$16+1,1))</f>
        <v>341.70983624543067</v>
      </c>
      <c r="FK73" s="62">
        <f t="shared" si="102"/>
        <v>250.82562837973805</v>
      </c>
      <c r="FL73" s="16">
        <f>IF(ISNA(VLOOKUP(A73,'Données projet'!$A$217:$I$237,3,0)),0,VLOOKUP(A73,'Données projet'!$A$217:$I$237,3,0))</f>
        <v>7</v>
      </c>
      <c r="FM73" s="16">
        <f>IF(ISNA(VLOOKUP(A73,'Données projet'!$A$217:$I$237,4,0)),0,VLOOKUP(A73,'Données projet'!$A$217:$I$237,4,0))</f>
        <v>78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1.181860528326617E-5</v>
      </c>
      <c r="FT73" s="24">
        <f t="shared" si="78"/>
        <v>1.181860528326617E-5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11.818181818181818</v>
      </c>
      <c r="FZ73" s="13">
        <f>IF('Données projet'!$A$244&gt;35,FZ72+FY73-GH72,IF(A73&lt;'Données projet'!$A$244,$FW$205^A73,IF(A73='Données projet'!$A$244,'Données projet'!$B$244,FZ72+FY73-GH72)))</f>
        <v>354.54545454545428</v>
      </c>
      <c r="GA73" s="18">
        <f>FZ73*VLOOKUP('Données projet'!$B$17,Paramètres!$A$1:$I$89,3,0)*VLOOKUP('Données projet'!$B$17,Paramètres!$A$1:$I$89,5,0)</f>
        <v>165.92727272727259</v>
      </c>
      <c r="GB73" s="14">
        <f t="shared" si="103"/>
        <v>42.176584845942124</v>
      </c>
      <c r="GC73" s="22">
        <f t="shared" si="79"/>
        <v>362.44755194001556</v>
      </c>
      <c r="GD73" s="62">
        <f t="shared" si="80"/>
        <v>614.85064569493659</v>
      </c>
      <c r="GE73" s="62">
        <f ca="1">AVERAGE(OFFSET($GD$3,0,0,'Données projet'!$E$17+1,1))-AVERAGE(OFFSET($H$3,0,0,'Données projet'!$E$17+1,1))</f>
        <v>368.69628434154333</v>
      </c>
      <c r="GF73" s="62">
        <f t="shared" si="104"/>
        <v>202.28197295839524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>
        <f>VLOOKUP(A73,'Données projet'!$A$269:$I$289,2,0)</f>
        <v>227</v>
      </c>
      <c r="GS73" s="13">
        <f>VLOOKUP(A73,'Données projet'!$A$269:$I$289,9,0)</f>
        <v>4.5999999999999996</v>
      </c>
      <c r="GT73" s="13">
        <f t="array" ref="GT73">INDEX(GS:GS,MIN(IF(ISNUMBER(GS73:GS269),ROW(GS73:GS269),"")))</f>
        <v>4.5999999999999996</v>
      </c>
      <c r="GU73" s="13">
        <f>IF('Données projet'!$A$270&gt;35,GU72+GT73-HC72,IF(A73&lt;'Données projet'!$A$270,$GR$205^A73,IF(A73='Données projet'!$A$270,'Données projet'!$B$270,GU72+GT73-HC72)))</f>
        <v>226.99999999999994</v>
      </c>
      <c r="GV73" s="18">
        <f>GU73*VLOOKUP('Données projet'!$B$18,Paramètres!$A$1:$I$89,3,0)*VLOOKUP('Données projet'!$B$18,Paramètres!$A$1:$I$89,5,0)</f>
        <v>198.30719999999997</v>
      </c>
      <c r="GW73" s="14">
        <f t="shared" si="105"/>
        <v>49.371957679623371</v>
      </c>
      <c r="GX73" s="22">
        <f t="shared" si="82"/>
        <v>431.37453295867726</v>
      </c>
      <c r="GY73" s="62">
        <f t="shared" si="83"/>
        <v>683.77762671359835</v>
      </c>
      <c r="GZ73" s="62">
        <f ca="1">AVERAGE(OFFSET($GY$3,0,0,'Données projet'!$E$18+1,1))-AVERAGE(OFFSET($H$3,0,0,'Données projet'!$E$18+1,1))</f>
        <v>378.51861272969165</v>
      </c>
      <c r="HA73" s="62">
        <f t="shared" si="106"/>
        <v>387.42368617035459</v>
      </c>
      <c r="HB73" s="16">
        <f>IF(ISNA(VLOOKUP(A73,'Données projet'!$A$269:$I$289,3,0)),0,VLOOKUP(A73,'Données projet'!$A$269:$I$289,3,0))</f>
        <v>11</v>
      </c>
      <c r="HC73" s="16">
        <f>IF(ISNA(VLOOKUP(A73,'Données projet'!$A$269:$I$289,4,0)),0,VLOOKUP(A73,'Données projet'!$A$269:$I$289,4,0))</f>
        <v>17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0</v>
      </c>
      <c r="HH73" s="23">
        <f>EXP(-LN(2)/25)*HH72+(1-EXP(-LN(2)/25))/(LN(2)/25)*Calculateur!HC73*Calculateur!HE73*VLOOKUP('Données projet'!$B$18,Paramètres!$A$1:$I$89,3,0)*0.475*44/12</f>
        <v>0</v>
      </c>
      <c r="HI73" s="23">
        <f>EXP(-LN(2)/2)*HI72+(1-EXP(-LN(2)/2))/(LN(2)/2)*HC73*HF73*VLOOKUP('Données projet'!$B$18,Paramètres!$A$1:$I$89,3,0)*0.475*44/12</f>
        <v>0</v>
      </c>
      <c r="HJ73" s="24">
        <f t="shared" si="84"/>
        <v>0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135.66666666666666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</v>
      </c>
      <c r="N74" s="14">
        <f>IF('Données projet'!$A$36&gt;35,N73+M74-V73,IF(A74&lt;'Données projet'!$A$36,$K$205^A74,IF(A74='Données projet'!$A$36,'Données projet'!$B$36,N73+M74-V73)))</f>
        <v>402.00000000000023</v>
      </c>
      <c r="O74" s="14">
        <f>N74*VLOOKUP('Données projet'!$B$9,Paramètres!$A$1:$I$89,3,0)*VLOOKUP('Données projet'!$B$9,Paramètres!$A$1:$I$89,5,0)</f>
        <v>240.39600000000013</v>
      </c>
      <c r="P74" s="14">
        <f t="shared" si="87"/>
        <v>58.524723634421655</v>
      </c>
      <c r="Q74" s="22">
        <f t="shared" si="54"/>
        <v>520.62026032995118</v>
      </c>
      <c r="R74" s="62">
        <f t="shared" si="55"/>
        <v>773.73340223525065</v>
      </c>
      <c r="S74" s="62">
        <f ca="1">AVERAGE(OFFSET($R$3,0,0,'Données projet'!$E$9+1,1))-AVERAGE(OFFSET($H$3,0,0,'Données projet'!$E$9+1,1))</f>
        <v>437.94016462147999</v>
      </c>
      <c r="T74" s="62">
        <f t="shared" si="88"/>
        <v>281.88254003380348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5.5218270356304798E-6</v>
      </c>
      <c r="AC74" s="24">
        <f t="shared" si="57"/>
        <v>5.5218270356304798E-6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6.4</v>
      </c>
      <c r="AI74" s="14">
        <f>IF('Données projet'!$A$62&gt;35,AI73+AH74-AQ73,IF(A74&lt;'Données projet'!$A$62,$AF$205^A74,IF(A74='Données projet'!$A$62,'Données projet'!$B$62,AI73+AH74-AQ73)))</f>
        <v>227.40000000000009</v>
      </c>
      <c r="AJ74" s="14">
        <f>AI74*VLOOKUP('Données projet'!$B$10,Paramètres!$A$1:$I$89,3,0)*VLOOKUP('Données projet'!$B$10,Paramètres!$A$1:$I$89,5,0)</f>
        <v>205.75152000000008</v>
      </c>
      <c r="AK74" s="14">
        <f t="shared" si="89"/>
        <v>51.006084477955554</v>
      </c>
      <c r="AL74" s="22">
        <f t="shared" si="58"/>
        <v>447.18616113243934</v>
      </c>
      <c r="AM74" s="62">
        <f t="shared" si="59"/>
        <v>700.29930303773881</v>
      </c>
      <c r="AN74" s="62">
        <f ca="1">AVERAGE(OFFSET($AM$3,0,0,'Données projet'!$E$10+1,1))-AVERAGE(OFFSET($H$3,0,0,'Données projet'!$E$10+1,1))</f>
        <v>434.56763649859136</v>
      </c>
      <c r="AO74" s="62">
        <f t="shared" si="90"/>
        <v>271.90302066766264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1.1368683772161603E-13</v>
      </c>
      <c r="BE74" s="14">
        <f>BD74*VLOOKUP('Données projet'!$B$11,Paramètres!$A$1:$I$89,3,0)*VLOOKUP('Données projet'!$B$11,Paramètres!$A$1:$I$89,5,0)</f>
        <v>6.7984728957526396E-14</v>
      </c>
      <c r="BF74" s="14">
        <f t="shared" si="91"/>
        <v>1.0682447123141398E-12</v>
      </c>
      <c r="BG74" s="22">
        <f t="shared" si="61"/>
        <v>1.978932943548152E-12</v>
      </c>
      <c r="BH74" s="62">
        <f t="shared" si="62"/>
        <v>253.11314190530146</v>
      </c>
      <c r="BI74" s="62">
        <f ca="1">AVERAGE(OFFSET($BH$3,0,0,'Données projet'!$E$11+1,1))-AVERAGE(OFFSET($H$3,0,0,'Données projet'!$E$11+1,1))</f>
        <v>199.65420589615553</v>
      </c>
      <c r="BJ74" s="62">
        <f t="shared" si="92"/>
        <v>477.85821088970999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23.673274653927752</v>
      </c>
      <c r="BQ74" s="23">
        <f>EXP(-LN(2)/25)*BQ73+(1-EXP(-LN(2)/25))/(LN(2)/25)*Calculateur!BL74*Calculateur!BN74*VLOOKUP('Données projet'!$B$11,Paramètres!$A$1:$I$89,3,0)*0.475*44/12</f>
        <v>14.101261743791406</v>
      </c>
      <c r="BR74" s="23">
        <f>EXP(-LN(2)/2)*BR73+(1-EXP(-LN(2)/2))/(LN(2)/2)*BL74*BO74*VLOOKUP('Données projet'!$B$11,Paramètres!$A$1:$I$89,3,0)*0.475*44/12</f>
        <v>2.9379647472818119E-5</v>
      </c>
      <c r="BS74" s="24">
        <f t="shared" si="63"/>
        <v>37.774565777366632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</v>
      </c>
      <c r="BY74" s="13">
        <f>IF('Données projet'!$A$114&gt;35,BY73+BX74-CG73,IF(A74&lt;'Données projet'!$A$114,$BV$205^A74,IF(A74='Données projet'!$A$114,'Données projet'!$B$114,BY73+BX74-CG73)))</f>
        <v>402.00000000000023</v>
      </c>
      <c r="BZ74" s="14">
        <f>BY74*VLOOKUP('Données projet'!$B$12,Paramètres!$A$1:$I$89,3,0)*VLOOKUP('Données projet'!$B$12,Paramètres!$A$1:$I$89,5,0)</f>
        <v>240.39600000000013</v>
      </c>
      <c r="CA74" s="14">
        <f t="shared" si="93"/>
        <v>58.524723634421655</v>
      </c>
      <c r="CB74" s="22">
        <f t="shared" si="64"/>
        <v>520.62026032995118</v>
      </c>
      <c r="CC74" s="62">
        <f t="shared" si="65"/>
        <v>773.73340223525065</v>
      </c>
      <c r="CD74" s="62">
        <f ca="1">AVERAGE(OFFSET($CC$3,0,0,'Données projet'!$E$12+1,1))-AVERAGE(OFFSET($H$3,0,0,'Données projet'!$E$12+1,1))</f>
        <v>437.94016462147999</v>
      </c>
      <c r="CE74" s="62">
        <f t="shared" si="94"/>
        <v>281.88254003380348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5.5218270356304798E-6</v>
      </c>
      <c r="CN74" s="24">
        <f t="shared" si="66"/>
        <v>5.5218270356304798E-6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6.4</v>
      </c>
      <c r="CT74" s="13">
        <f>IF('Données projet'!$A$140&gt;35,CT73+CS74-DB73,IF(A74&lt;'Données projet'!$A$140,$CQ$205^A74,IF(A74='Données projet'!$A$140,'Données projet'!$B$140,CT73+CS74-DB73)))</f>
        <v>227.40000000000009</v>
      </c>
      <c r="CU74" s="18">
        <f>CT74*VLOOKUP('Données projet'!$B$13,Paramètres!$A$1:$I$89,3,0)*VLOOKUP('Données projet'!$B$13,Paramètres!$A$1:$I$89,5,0)</f>
        <v>258.96312000000012</v>
      </c>
      <c r="CV74" s="14">
        <f t="shared" si="95"/>
        <v>62.501305665831744</v>
      </c>
      <c r="CW74" s="22">
        <f t="shared" si="67"/>
        <v>559.88387470132386</v>
      </c>
      <c r="CX74" s="62">
        <f t="shared" si="68"/>
        <v>812.99701660662333</v>
      </c>
      <c r="CY74" s="62">
        <f ca="1">AVERAGE(OFFSET($CX$3,0,0,'Données projet'!$E$13+1,1))-AVERAGE(OFFSET($H$3,0,0,'Données projet'!$E$13+1,1))</f>
        <v>520.23742527061836</v>
      </c>
      <c r="CZ74" s="62">
        <f t="shared" si="96"/>
        <v>321.35925479331274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7.6</v>
      </c>
      <c r="DO74" s="13">
        <f>IF('Données projet'!$A$166&gt;35,DO73+DN74-DW73,IF(A74&lt;'Données projet'!$A$166,$DL$205^A74,IF(A74='Données projet'!$A$166,'Données projet'!$B$166,DO73+DN74-DW73)))</f>
        <v>281.59999999999997</v>
      </c>
      <c r="DP74" s="18">
        <f>DO74*VLOOKUP('Données projet'!$B$14,Paramètres!$A$1:$I$89,3,0)*VLOOKUP('Données projet'!$B$14,Paramètres!$A$1:$I$89,5,0)</f>
        <v>285.54239999999999</v>
      </c>
      <c r="DQ74" s="14">
        <f t="shared" si="97"/>
        <v>68.136937829389524</v>
      </c>
      <c r="DR74" s="22">
        <f t="shared" si="70"/>
        <v>615.99151338618674</v>
      </c>
      <c r="DS74" s="62">
        <f t="shared" si="71"/>
        <v>869.10465529148621</v>
      </c>
      <c r="DT74" s="62">
        <f ca="1">AVERAGE(OFFSET($DS$3,0,0,'Données projet'!$E$14+1,1))-AVERAGE(OFFSET($H$3,0,0,'Données projet'!$E$14+1,1))</f>
        <v>547.89540791313675</v>
      </c>
      <c r="DU74" s="62">
        <f t="shared" si="98"/>
        <v>345.19555189302378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5.6843418860808015E-14</v>
      </c>
      <c r="EK74" s="18">
        <f>EJ74*VLOOKUP('Données projet'!$B$15,Paramètres!$A$1:$I$89,3,0)*VLOOKUP('Données projet'!$B$15,Paramètres!$A$1:$I$89,5,0)</f>
        <v>5.9412741393316544E-14</v>
      </c>
      <c r="EL74" s="14">
        <f t="shared" si="99"/>
        <v>9.483138037075782E-13</v>
      </c>
      <c r="EM74" s="22">
        <f t="shared" si="73"/>
        <v>1.7551237327173916E-12</v>
      </c>
      <c r="EN74" s="62">
        <f t="shared" si="74"/>
        <v>253.11314190530123</v>
      </c>
      <c r="EO74" s="62">
        <f ca="1">AVERAGE(OFFSET($EN$3,0,0,'Données projet'!$E$15+1,1))-AVERAGE(OFFSET($H$3,0,0,'Données projet'!$E$15+1,1))</f>
        <v>418.23737352070503</v>
      </c>
      <c r="EP74" s="62">
        <f t="shared" si="100"/>
        <v>496.10742685332968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9</v>
      </c>
      <c r="FE74" s="13">
        <f>IF('Données projet'!$A$218&gt;35,FE73+FD74-FM73,IF(A74&lt;'Données projet'!$A$218,$FB$205^A74,IF(A74='Données projet'!$A$218,'Données projet'!$B$218,FE73+FD74-FM73)))</f>
        <v>379.00000000000011</v>
      </c>
      <c r="FF74" s="18">
        <f>FE74*VLOOKUP('Données projet'!$B$16,Paramètres!$A$1:$I$89,3,0)*VLOOKUP('Données projet'!$B$16,Paramètres!$A$1:$I$89,5,0)</f>
        <v>226.64200000000008</v>
      </c>
      <c r="FG74" s="14">
        <f t="shared" si="101"/>
        <v>55.555983079812862</v>
      </c>
      <c r="FH74" s="22">
        <f t="shared" si="76"/>
        <v>491.49482053067413</v>
      </c>
      <c r="FI74" s="62">
        <f t="shared" si="77"/>
        <v>744.6079624359736</v>
      </c>
      <c r="FJ74" s="62">
        <f ca="1">AVERAGE(OFFSET($FI$3,0,0,'Données projet'!$E$16+1,1))-AVERAGE(OFFSET($H$3,0,0,'Données projet'!$E$16+1,1))</f>
        <v>341.70983624543067</v>
      </c>
      <c r="FK74" s="62">
        <f t="shared" si="102"/>
        <v>250.82562837973805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8.3570159399646664E-6</v>
      </c>
      <c r="FT74" s="24">
        <f t="shared" si="78"/>
        <v>8.3570159399646664E-6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11.818181818181818</v>
      </c>
      <c r="FZ74" s="13">
        <f>IF('Données projet'!$A$244&gt;35,FZ73+FY74-GH73,IF(A74&lt;'Données projet'!$A$244,$FW$205^A74,IF(A74='Données projet'!$A$244,'Données projet'!$B$244,FZ73+FY74-GH73)))</f>
        <v>366.36363636363609</v>
      </c>
      <c r="GA74" s="18">
        <f>FZ74*VLOOKUP('Données projet'!$B$17,Paramètres!$A$1:$I$89,3,0)*VLOOKUP('Données projet'!$B$17,Paramètres!$A$1:$I$89,5,0)</f>
        <v>171.45818181818169</v>
      </c>
      <c r="GB74" s="14">
        <f t="shared" si="103"/>
        <v>43.416445288245654</v>
      </c>
      <c r="GC74" s="22">
        <f t="shared" si="79"/>
        <v>374.23997554369424</v>
      </c>
      <c r="GD74" s="62">
        <f t="shared" si="80"/>
        <v>627.35311744899377</v>
      </c>
      <c r="GE74" s="62">
        <f ca="1">AVERAGE(OFFSET($GD$3,0,0,'Données projet'!$E$17+1,1))-AVERAGE(OFFSET($H$3,0,0,'Données projet'!$E$17+1,1))</f>
        <v>368.69628434154333</v>
      </c>
      <c r="GF74" s="62">
        <f t="shared" si="104"/>
        <v>202.28197295839524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4</v>
      </c>
      <c r="GU74" s="13">
        <f>IF('Données projet'!$A$270&gt;35,GU73+GT74-HC73,IF(A74&lt;'Données projet'!$A$270,$GR$205^A74,IF(A74='Données projet'!$A$270,'Données projet'!$B$270,GU73+GT74-HC73)))</f>
        <v>213.99999999999994</v>
      </c>
      <c r="GV74" s="18">
        <f>GU74*VLOOKUP('Données projet'!$B$18,Paramètres!$A$1:$I$89,3,0)*VLOOKUP('Données projet'!$B$18,Paramètres!$A$1:$I$89,5,0)</f>
        <v>186.95039999999997</v>
      </c>
      <c r="GW74" s="14">
        <f t="shared" si="105"/>
        <v>46.865095976617653</v>
      </c>
      <c r="GX74" s="22">
        <f t="shared" si="82"/>
        <v>407.22865549260905</v>
      </c>
      <c r="GY74" s="62">
        <f t="shared" si="83"/>
        <v>660.34179739790852</v>
      </c>
      <c r="GZ74" s="62">
        <f ca="1">AVERAGE(OFFSET($GY$3,0,0,'Données projet'!$E$18+1,1))-AVERAGE(OFFSET($H$3,0,0,'Données projet'!$E$18+1,1))</f>
        <v>378.51861272969165</v>
      </c>
      <c r="HA74" s="62">
        <f t="shared" si="106"/>
        <v>387.42368617035459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0</v>
      </c>
      <c r="HH74" s="23">
        <f>EXP(-LN(2)/25)*HH73+(1-EXP(-LN(2)/25))/(LN(2)/25)*Calculateur!HC74*Calculateur!HE74*VLOOKUP('Données projet'!$B$18,Paramètres!$A$1:$I$89,3,0)*0.475*44/12</f>
        <v>0</v>
      </c>
      <c r="HI74" s="23">
        <f>EXP(-LN(2)/2)*HI73+(1-EXP(-LN(2)/2))/(LN(2)/2)*HC74*HF74*VLOOKUP('Données projet'!$B$18,Paramètres!$A$1:$I$89,3,0)*0.475*44/12</f>
        <v>0</v>
      </c>
      <c r="HJ74" s="24">
        <f t="shared" si="84"/>
        <v>0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135.66666666666666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</v>
      </c>
      <c r="N75" s="14">
        <f>IF('Données projet'!$A$36&gt;35,N74+M75-V74,IF(A75&lt;'Données projet'!$A$36,$K$205^A75,IF(A75='Données projet'!$A$36,'Données projet'!$B$36,N74+M75-V74)))</f>
        <v>408.00000000000023</v>
      </c>
      <c r="O75" s="14">
        <f>N75*VLOOKUP('Données projet'!$B$9,Paramètres!$A$1:$I$89,3,0)*VLOOKUP('Données projet'!$B$9,Paramètres!$A$1:$I$89,5,0)</f>
        <v>243.98400000000015</v>
      </c>
      <c r="P75" s="14">
        <f t="shared" si="87"/>
        <v>59.295884425255011</v>
      </c>
      <c r="Q75" s="22">
        <f t="shared" si="54"/>
        <v>528.21246537398599</v>
      </c>
      <c r="R75" s="62">
        <f t="shared" si="55"/>
        <v>782.02333768168467</v>
      </c>
      <c r="S75" s="62">
        <f ca="1">AVERAGE(OFFSET($R$3,0,0,'Données projet'!$E$9+1,1))-AVERAGE(OFFSET($H$3,0,0,'Données projet'!$E$9+1,1))</f>
        <v>437.94016462147999</v>
      </c>
      <c r="T75" s="62">
        <f t="shared" si="88"/>
        <v>281.88254003380348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3.904521341433524E-6</v>
      </c>
      <c r="AC75" s="24">
        <f t="shared" si="57"/>
        <v>3.904521341433524E-6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6.4</v>
      </c>
      <c r="AI75" s="14">
        <f>IF('Données projet'!$A$62&gt;35,AI74+AH75-AQ74,IF(A75&lt;'Données projet'!$A$62,$AF$205^A75,IF(A75='Données projet'!$A$62,'Données projet'!$B$62,AI74+AH75-AQ74)))</f>
        <v>233.8000000000001</v>
      </c>
      <c r="AJ75" s="14">
        <f>AI75*VLOOKUP('Données projet'!$B$10,Paramètres!$A$1:$I$89,3,0)*VLOOKUP('Données projet'!$B$10,Paramètres!$A$1:$I$89,5,0)</f>
        <v>211.54224000000008</v>
      </c>
      <c r="AK75" s="14">
        <f t="shared" si="89"/>
        <v>52.272460284041784</v>
      </c>
      <c r="AL75" s="22">
        <f t="shared" si="58"/>
        <v>459.47726966137287</v>
      </c>
      <c r="AM75" s="62">
        <f t="shared" si="59"/>
        <v>713.2881419690716</v>
      </c>
      <c r="AN75" s="62">
        <f ca="1">AVERAGE(OFFSET($AM$3,0,0,'Données projet'!$E$10+1,1))-AVERAGE(OFFSET($H$3,0,0,'Données projet'!$E$10+1,1))</f>
        <v>434.56763649859136</v>
      </c>
      <c r="AO75" s="62">
        <f t="shared" si="90"/>
        <v>271.90302066766264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1.1368683772161603E-13</v>
      </c>
      <c r="BE75" s="14">
        <f>BD75*VLOOKUP('Données projet'!$B$11,Paramètres!$A$1:$I$89,3,0)*VLOOKUP('Données projet'!$B$11,Paramètres!$A$1:$I$89,5,0)</f>
        <v>6.7984728957526396E-14</v>
      </c>
      <c r="BF75" s="14">
        <f t="shared" si="91"/>
        <v>1.0682447123141398E-12</v>
      </c>
      <c r="BG75" s="22">
        <f t="shared" si="61"/>
        <v>1.978932943548152E-12</v>
      </c>
      <c r="BH75" s="62">
        <f t="shared" si="62"/>
        <v>253.81087230770066</v>
      </c>
      <c r="BI75" s="62">
        <f ca="1">AVERAGE(OFFSET($BH$3,0,0,'Données projet'!$E$11+1,1))-AVERAGE(OFFSET($H$3,0,0,'Données projet'!$E$11+1,1))</f>
        <v>199.65420589615553</v>
      </c>
      <c r="BJ75" s="62">
        <f t="shared" si="92"/>
        <v>477.85821088970999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23.209056177236008</v>
      </c>
      <c r="BQ75" s="23">
        <f>EXP(-LN(2)/25)*BQ74+(1-EXP(-LN(2)/25))/(LN(2)/25)*Calculateur!BL75*Calculateur!BN75*VLOOKUP('Données projet'!$B$11,Paramètres!$A$1:$I$89,3,0)*0.475*44/12</f>
        <v>13.715661999854303</v>
      </c>
      <c r="BR75" s="23">
        <f>EXP(-LN(2)/2)*BR74+(1-EXP(-LN(2)/2))/(LN(2)/2)*BL75*BO75*VLOOKUP('Données projet'!$B$11,Paramètres!$A$1:$I$89,3,0)*0.475*44/12</f>
        <v>2.0774547956899908E-5</v>
      </c>
      <c r="BS75" s="24">
        <f t="shared" si="63"/>
        <v>36.924738951638268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</v>
      </c>
      <c r="BY75" s="13">
        <f>IF('Données projet'!$A$114&gt;35,BY74+BX75-CG74,IF(A75&lt;'Données projet'!$A$114,$BV$205^A75,IF(A75='Données projet'!$A$114,'Données projet'!$B$114,BY74+BX75-CG74)))</f>
        <v>408.00000000000023</v>
      </c>
      <c r="BZ75" s="14">
        <f>BY75*VLOOKUP('Données projet'!$B$12,Paramètres!$A$1:$I$89,3,0)*VLOOKUP('Données projet'!$B$12,Paramètres!$A$1:$I$89,5,0)</f>
        <v>243.98400000000015</v>
      </c>
      <c r="CA75" s="14">
        <f t="shared" si="93"/>
        <v>59.295884425255011</v>
      </c>
      <c r="CB75" s="22">
        <f t="shared" si="64"/>
        <v>528.21246537398599</v>
      </c>
      <c r="CC75" s="62">
        <f t="shared" si="65"/>
        <v>782.02333768168467</v>
      </c>
      <c r="CD75" s="62">
        <f ca="1">AVERAGE(OFFSET($CC$3,0,0,'Données projet'!$E$12+1,1))-AVERAGE(OFFSET($H$3,0,0,'Données projet'!$E$12+1,1))</f>
        <v>437.94016462147999</v>
      </c>
      <c r="CE75" s="62">
        <f t="shared" si="94"/>
        <v>281.88254003380348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3.904521341433524E-6</v>
      </c>
      <c r="CN75" s="24">
        <f t="shared" si="66"/>
        <v>3.904521341433524E-6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6.4</v>
      </c>
      <c r="CT75" s="13">
        <f>IF('Données projet'!$A$140&gt;35,CT74+CS75-DB74,IF(A75&lt;'Données projet'!$A$140,$CQ$205^A75,IF(A75='Données projet'!$A$140,'Données projet'!$B$140,CT74+CS75-DB74)))</f>
        <v>233.8000000000001</v>
      </c>
      <c r="CU75" s="18">
        <f>CT75*VLOOKUP('Données projet'!$B$13,Paramètres!$A$1:$I$89,3,0)*VLOOKUP('Données projet'!$B$13,Paramètres!$A$1:$I$89,5,0)</f>
        <v>266.25144000000012</v>
      </c>
      <c r="CV75" s="14">
        <f t="shared" si="95"/>
        <v>64.053084089016153</v>
      </c>
      <c r="CW75" s="22">
        <f t="shared" si="67"/>
        <v>575.28037945503661</v>
      </c>
      <c r="CX75" s="62">
        <f t="shared" si="68"/>
        <v>829.09125176273528</v>
      </c>
      <c r="CY75" s="62">
        <f ca="1">AVERAGE(OFFSET($CX$3,0,0,'Données projet'!$E$13+1,1))-AVERAGE(OFFSET($H$3,0,0,'Données projet'!$E$13+1,1))</f>
        <v>520.23742527061836</v>
      </c>
      <c r="CZ75" s="62">
        <f t="shared" si="96"/>
        <v>321.35925479331274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7.6</v>
      </c>
      <c r="DO75" s="13">
        <f>IF('Données projet'!$A$166&gt;35,DO74+DN75-DW74,IF(A75&lt;'Données projet'!$A$166,$DL$205^A75,IF(A75='Données projet'!$A$166,'Données projet'!$B$166,DO74+DN75-DW74)))</f>
        <v>289.2</v>
      </c>
      <c r="DP75" s="18">
        <f>DO75*VLOOKUP('Données projet'!$B$14,Paramètres!$A$1:$I$89,3,0)*VLOOKUP('Données projet'!$B$14,Paramètres!$A$1:$I$89,5,0)</f>
        <v>293.24880000000002</v>
      </c>
      <c r="DQ75" s="14">
        <f t="shared" si="97"/>
        <v>69.759283249126327</v>
      </c>
      <c r="DR75" s="22">
        <f t="shared" si="70"/>
        <v>632.23907832556176</v>
      </c>
      <c r="DS75" s="62">
        <f t="shared" si="71"/>
        <v>886.04995063326044</v>
      </c>
      <c r="DT75" s="62">
        <f ca="1">AVERAGE(OFFSET($DS$3,0,0,'Données projet'!$E$14+1,1))-AVERAGE(OFFSET($H$3,0,0,'Données projet'!$E$14+1,1))</f>
        <v>547.89540791313675</v>
      </c>
      <c r="DU75" s="62">
        <f t="shared" si="98"/>
        <v>345.19555189302378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5.6843418860808015E-14</v>
      </c>
      <c r="EK75" s="18">
        <f>EJ75*VLOOKUP('Données projet'!$B$15,Paramètres!$A$1:$I$89,3,0)*VLOOKUP('Données projet'!$B$15,Paramètres!$A$1:$I$89,5,0)</f>
        <v>5.9412741393316544E-14</v>
      </c>
      <c r="EL75" s="14">
        <f t="shared" si="99"/>
        <v>9.483138037075782E-13</v>
      </c>
      <c r="EM75" s="22">
        <f t="shared" si="73"/>
        <v>1.7551237327173916E-12</v>
      </c>
      <c r="EN75" s="62">
        <f t="shared" si="74"/>
        <v>253.81087230770044</v>
      </c>
      <c r="EO75" s="62">
        <f ca="1">AVERAGE(OFFSET($EN$3,0,0,'Données projet'!$E$15+1,1))-AVERAGE(OFFSET($H$3,0,0,'Données projet'!$E$15+1,1))</f>
        <v>418.23737352070503</v>
      </c>
      <c r="EP75" s="62">
        <f t="shared" si="100"/>
        <v>496.10742685332968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9</v>
      </c>
      <c r="FE75" s="13">
        <f>IF('Données projet'!$A$218&gt;35,FE74+FD75-FM74,IF(A75&lt;'Données projet'!$A$218,$FB$205^A75,IF(A75='Données projet'!$A$218,'Données projet'!$B$218,FE74+FD75-FM74)))</f>
        <v>388.00000000000011</v>
      </c>
      <c r="FF75" s="18">
        <f>FE75*VLOOKUP('Données projet'!$B$16,Paramètres!$A$1:$I$89,3,0)*VLOOKUP('Données projet'!$B$16,Paramètres!$A$1:$I$89,5,0)</f>
        <v>232.02400000000006</v>
      </c>
      <c r="FG75" s="14">
        <f t="shared" si="101"/>
        <v>56.720094243161071</v>
      </c>
      <c r="FH75" s="22">
        <f t="shared" si="76"/>
        <v>502.89596414017234</v>
      </c>
      <c r="FI75" s="62">
        <f t="shared" si="77"/>
        <v>756.70683644787096</v>
      </c>
      <c r="FJ75" s="62">
        <f ca="1">AVERAGE(OFFSET($FI$3,0,0,'Données projet'!$E$16+1,1))-AVERAGE(OFFSET($H$3,0,0,'Données projet'!$E$16+1,1))</f>
        <v>341.70983624543067</v>
      </c>
      <c r="FK75" s="62">
        <f t="shared" si="102"/>
        <v>250.82562837973805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5.9093026416330852E-6</v>
      </c>
      <c r="FT75" s="24">
        <f t="shared" si="78"/>
        <v>5.9093026416330852E-6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11.818181818181818</v>
      </c>
      <c r="FZ75" s="13">
        <f>IF('Données projet'!$A$244&gt;35,FZ74+FY75-GH74,IF(A75&lt;'Données projet'!$A$244,$FW$205^A75,IF(A75='Données projet'!$A$244,'Données projet'!$B$244,FZ74+FY75-GH74)))</f>
        <v>378.1818181818179</v>
      </c>
      <c r="GA75" s="18">
        <f>FZ75*VLOOKUP('Données projet'!$B$17,Paramètres!$A$1:$I$89,3,0)*VLOOKUP('Données projet'!$B$17,Paramètres!$A$1:$I$89,5,0)</f>
        <v>176.98909090909078</v>
      </c>
      <c r="GB75" s="14">
        <f t="shared" si="103"/>
        <v>44.651658132356538</v>
      </c>
      <c r="GC75" s="22">
        <f t="shared" si="79"/>
        <v>386.02430458052072</v>
      </c>
      <c r="GD75" s="62">
        <f t="shared" si="80"/>
        <v>639.83517688821939</v>
      </c>
      <c r="GE75" s="62">
        <f ca="1">AVERAGE(OFFSET($GD$3,0,0,'Données projet'!$E$17+1,1))-AVERAGE(OFFSET($H$3,0,0,'Données projet'!$E$17+1,1))</f>
        <v>368.69628434154333</v>
      </c>
      <c r="GF75" s="62">
        <f t="shared" si="104"/>
        <v>202.28197295839524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4</v>
      </c>
      <c r="GU75" s="13">
        <f>IF('Données projet'!$A$270&gt;35,GU74+GT75-HC74,IF(A75&lt;'Données projet'!$A$270,$GR$205^A75,IF(A75='Données projet'!$A$270,'Données projet'!$B$270,GU74+GT75-HC74)))</f>
        <v>217.99999999999994</v>
      </c>
      <c r="GV75" s="18">
        <f>GU75*VLOOKUP('Données projet'!$B$18,Paramètres!$A$1:$I$89,3,0)*VLOOKUP('Données projet'!$B$18,Paramètres!$A$1:$I$89,5,0)</f>
        <v>190.44479999999999</v>
      </c>
      <c r="GW75" s="14">
        <f t="shared" si="105"/>
        <v>47.638278428909231</v>
      </c>
      <c r="GX75" s="22">
        <f t="shared" si="82"/>
        <v>414.66136159701688</v>
      </c>
      <c r="GY75" s="62">
        <f t="shared" si="83"/>
        <v>668.47223390471549</v>
      </c>
      <c r="GZ75" s="62">
        <f ca="1">AVERAGE(OFFSET($GY$3,0,0,'Données projet'!$E$18+1,1))-AVERAGE(OFFSET($H$3,0,0,'Données projet'!$E$18+1,1))</f>
        <v>378.51861272969165</v>
      </c>
      <c r="HA75" s="62">
        <f t="shared" si="106"/>
        <v>387.42368617035459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0</v>
      </c>
      <c r="HH75" s="23">
        <f>EXP(-LN(2)/25)*HH74+(1-EXP(-LN(2)/25))/(LN(2)/25)*Calculateur!HC75*Calculateur!HE75*VLOOKUP('Données projet'!$B$18,Paramètres!$A$1:$I$89,3,0)*0.475*44/12</f>
        <v>0</v>
      </c>
      <c r="HI75" s="23">
        <f>EXP(-LN(2)/2)*HI74+(1-EXP(-LN(2)/2))/(LN(2)/2)*HC75*HF75*VLOOKUP('Données projet'!$B$18,Paramètres!$A$1:$I$89,3,0)*0.475*44/12</f>
        <v>0</v>
      </c>
      <c r="HJ75" s="24">
        <f t="shared" si="84"/>
        <v>0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135.66666666666666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</v>
      </c>
      <c r="N76" s="14">
        <f>IF('Données projet'!$A$36&gt;35,N75+M76-V75,IF(A76&lt;'Données projet'!$A$36,$K$205^A76,IF(A76='Données projet'!$A$36,'Données projet'!$B$36,N75+M76-V75)))</f>
        <v>414.00000000000023</v>
      </c>
      <c r="O76" s="14">
        <f>N76*VLOOKUP('Données projet'!$B$9,Paramètres!$A$1:$I$89,3,0)*VLOOKUP('Données projet'!$B$9,Paramètres!$A$1:$I$89,5,0)</f>
        <v>247.57200000000014</v>
      </c>
      <c r="P76" s="14">
        <f t="shared" si="87"/>
        <v>60.065726249156576</v>
      </c>
      <c r="Q76" s="22">
        <f t="shared" si="54"/>
        <v>535.80237321728134</v>
      </c>
      <c r="R76" s="62">
        <f t="shared" si="55"/>
        <v>790.29887186478902</v>
      </c>
      <c r="S76" s="62">
        <f ca="1">AVERAGE(OFFSET($R$3,0,0,'Données projet'!$E$9+1,1))-AVERAGE(OFFSET($H$3,0,0,'Données projet'!$E$9+1,1))</f>
        <v>437.94016462147999</v>
      </c>
      <c r="T76" s="62">
        <f t="shared" si="88"/>
        <v>281.88254003380348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2.7609135178152399E-6</v>
      </c>
      <c r="AC76" s="24">
        <f t="shared" si="57"/>
        <v>2.7609135178152399E-6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6.4</v>
      </c>
      <c r="AI76" s="14">
        <f>IF('Données projet'!$A$62&gt;35,AI75+AH76-AQ75,IF(A76&lt;'Données projet'!$A$62,$AF$205^A76,IF(A76='Données projet'!$A$62,'Données projet'!$B$62,AI75+AH76-AQ75)))</f>
        <v>240.2000000000001</v>
      </c>
      <c r="AJ76" s="14">
        <f>AI76*VLOOKUP('Données projet'!$B$10,Paramètres!$A$1:$I$89,3,0)*VLOOKUP('Données projet'!$B$10,Paramètres!$A$1:$I$89,5,0)</f>
        <v>217.3329600000001</v>
      </c>
      <c r="AK76" s="14">
        <f t="shared" si="89"/>
        <v>53.53480691026855</v>
      </c>
      <c r="AL76" s="22">
        <f t="shared" si="58"/>
        <v>471.76136070205121</v>
      </c>
      <c r="AM76" s="62">
        <f t="shared" si="59"/>
        <v>726.25785934955888</v>
      </c>
      <c r="AN76" s="62">
        <f ca="1">AVERAGE(OFFSET($AM$3,0,0,'Données projet'!$E$10+1,1))-AVERAGE(OFFSET($H$3,0,0,'Données projet'!$E$10+1,1))</f>
        <v>434.56763649859136</v>
      </c>
      <c r="AO76" s="62">
        <f t="shared" si="90"/>
        <v>271.90302066766264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1.1368683772161603E-13</v>
      </c>
      <c r="BE76" s="14">
        <f>BD76*VLOOKUP('Données projet'!$B$11,Paramètres!$A$1:$I$89,3,0)*VLOOKUP('Données projet'!$B$11,Paramètres!$A$1:$I$89,5,0)</f>
        <v>6.7984728957526396E-14</v>
      </c>
      <c r="BF76" s="14">
        <f t="shared" si="91"/>
        <v>1.0682447123141398E-12</v>
      </c>
      <c r="BG76" s="22">
        <f t="shared" si="61"/>
        <v>1.978932943548152E-12</v>
      </c>
      <c r="BH76" s="62">
        <f t="shared" si="62"/>
        <v>254.49649864750967</v>
      </c>
      <c r="BI76" s="62">
        <f ca="1">AVERAGE(OFFSET($BH$3,0,0,'Données projet'!$E$11+1,1))-AVERAGE(OFFSET($H$3,0,0,'Données projet'!$E$11+1,1))</f>
        <v>199.65420589615553</v>
      </c>
      <c r="BJ76" s="62">
        <f t="shared" si="92"/>
        <v>477.85821088970999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22.753940741726876</v>
      </c>
      <c r="BQ76" s="23">
        <f>EXP(-LN(2)/25)*BQ75+(1-EXP(-LN(2)/25))/(LN(2)/25)*Calculateur!BL76*Calculateur!BN76*VLOOKUP('Données projet'!$B$11,Paramètres!$A$1:$I$89,3,0)*0.475*44/12</f>
        <v>13.340606501192971</v>
      </c>
      <c r="BR76" s="23">
        <f>EXP(-LN(2)/2)*BR75+(1-EXP(-LN(2)/2))/(LN(2)/2)*BL76*BO76*VLOOKUP('Données projet'!$B$11,Paramètres!$A$1:$I$89,3,0)*0.475*44/12</f>
        <v>1.4689823736409063E-5</v>
      </c>
      <c r="BS76" s="24">
        <f t="shared" si="63"/>
        <v>36.094561932743581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</v>
      </c>
      <c r="BY76" s="13">
        <f>IF('Données projet'!$A$114&gt;35,BY75+BX76-CG75,IF(A76&lt;'Données projet'!$A$114,$BV$205^A76,IF(A76='Données projet'!$A$114,'Données projet'!$B$114,BY75+BX76-CG75)))</f>
        <v>414.00000000000023</v>
      </c>
      <c r="BZ76" s="14">
        <f>BY76*VLOOKUP('Données projet'!$B$12,Paramètres!$A$1:$I$89,3,0)*VLOOKUP('Données projet'!$B$12,Paramètres!$A$1:$I$89,5,0)</f>
        <v>247.57200000000014</v>
      </c>
      <c r="CA76" s="14">
        <f t="shared" si="93"/>
        <v>60.065726249156576</v>
      </c>
      <c r="CB76" s="22">
        <f t="shared" si="64"/>
        <v>535.80237321728134</v>
      </c>
      <c r="CC76" s="62">
        <f t="shared" si="65"/>
        <v>790.29887186478902</v>
      </c>
      <c r="CD76" s="62">
        <f ca="1">AVERAGE(OFFSET($CC$3,0,0,'Données projet'!$E$12+1,1))-AVERAGE(OFFSET($H$3,0,0,'Données projet'!$E$12+1,1))</f>
        <v>437.94016462147999</v>
      </c>
      <c r="CE76" s="62">
        <f t="shared" si="94"/>
        <v>281.88254003380348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2.7609135178152399E-6</v>
      </c>
      <c r="CN76" s="24">
        <f t="shared" si="66"/>
        <v>2.7609135178152399E-6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6.4</v>
      </c>
      <c r="CT76" s="13">
        <f>IF('Données projet'!$A$140&gt;35,CT75+CS76-DB75,IF(A76&lt;'Données projet'!$A$140,$CQ$205^A76,IF(A76='Données projet'!$A$140,'Données projet'!$B$140,CT75+CS76-DB75)))</f>
        <v>240.2000000000001</v>
      </c>
      <c r="CU76" s="18">
        <f>CT76*VLOOKUP('Données projet'!$B$13,Paramètres!$A$1:$I$89,3,0)*VLOOKUP('Données projet'!$B$13,Paramètres!$A$1:$I$89,5,0)</f>
        <v>273.53976000000011</v>
      </c>
      <c r="CV76" s="14">
        <f t="shared" si="95"/>
        <v>65.599925277661526</v>
      </c>
      <c r="CW76" s="22">
        <f t="shared" si="67"/>
        <v>590.66828519192734</v>
      </c>
      <c r="CX76" s="62">
        <f t="shared" si="68"/>
        <v>845.16478383943502</v>
      </c>
      <c r="CY76" s="62">
        <f ca="1">AVERAGE(OFFSET($CX$3,0,0,'Données projet'!$E$13+1,1))-AVERAGE(OFFSET($H$3,0,0,'Données projet'!$E$13+1,1))</f>
        <v>520.23742527061836</v>
      </c>
      <c r="CZ76" s="62">
        <f t="shared" si="96"/>
        <v>321.35925479331274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7.6</v>
      </c>
      <c r="DO76" s="13">
        <f>IF('Données projet'!$A$166&gt;35,DO75+DN76-DW75,IF(A76&lt;'Données projet'!$A$166,$DL$205^A76,IF(A76='Données projet'!$A$166,'Données projet'!$B$166,DO75+DN76-DW75)))</f>
        <v>296.8</v>
      </c>
      <c r="DP76" s="18">
        <f>DO76*VLOOKUP('Données projet'!$B$14,Paramètres!$A$1:$I$89,3,0)*VLOOKUP('Données projet'!$B$14,Paramètres!$A$1:$I$89,5,0)</f>
        <v>300.95520000000005</v>
      </c>
      <c r="DQ76" s="14">
        <f t="shared" si="97"/>
        <v>71.376673021759785</v>
      </c>
      <c r="DR76" s="22">
        <f t="shared" si="70"/>
        <v>648.4780121795651</v>
      </c>
      <c r="DS76" s="62">
        <f t="shared" si="71"/>
        <v>902.97451082707278</v>
      </c>
      <c r="DT76" s="62">
        <f ca="1">AVERAGE(OFFSET($DS$3,0,0,'Données projet'!$E$14+1,1))-AVERAGE(OFFSET($H$3,0,0,'Données projet'!$E$14+1,1))</f>
        <v>547.89540791313675</v>
      </c>
      <c r="DU76" s="62">
        <f t="shared" si="98"/>
        <v>345.19555189302378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5.6843418860808015E-14</v>
      </c>
      <c r="EK76" s="18">
        <f>EJ76*VLOOKUP('Données projet'!$B$15,Paramètres!$A$1:$I$89,3,0)*VLOOKUP('Données projet'!$B$15,Paramètres!$A$1:$I$89,5,0)</f>
        <v>5.9412741393316544E-14</v>
      </c>
      <c r="EL76" s="14">
        <f t="shared" si="99"/>
        <v>9.483138037075782E-13</v>
      </c>
      <c r="EM76" s="22">
        <f t="shared" si="73"/>
        <v>1.7551237327173916E-12</v>
      </c>
      <c r="EN76" s="62">
        <f t="shared" si="74"/>
        <v>254.49649864750944</v>
      </c>
      <c r="EO76" s="62">
        <f ca="1">AVERAGE(OFFSET($EN$3,0,0,'Données projet'!$E$15+1,1))-AVERAGE(OFFSET($H$3,0,0,'Données projet'!$E$15+1,1))</f>
        <v>418.23737352070503</v>
      </c>
      <c r="EP76" s="62">
        <f t="shared" si="100"/>
        <v>496.10742685332968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9</v>
      </c>
      <c r="FE76" s="13">
        <f>IF('Données projet'!$A$218&gt;35,FE75+FD76-FM75,IF(A76&lt;'Données projet'!$A$218,$FB$205^A76,IF(A76='Données projet'!$A$218,'Données projet'!$B$218,FE75+FD76-FM75)))</f>
        <v>397.00000000000011</v>
      </c>
      <c r="FF76" s="18">
        <f>FE76*VLOOKUP('Données projet'!$B$16,Paramètres!$A$1:$I$89,3,0)*VLOOKUP('Données projet'!$B$16,Paramètres!$A$1:$I$89,5,0)</f>
        <v>237.40600000000009</v>
      </c>
      <c r="FG76" s="14">
        <f t="shared" si="101"/>
        <v>57.881066248213493</v>
      </c>
      <c r="FH76" s="22">
        <f t="shared" si="76"/>
        <v>514.29164038230522</v>
      </c>
      <c r="FI76" s="62">
        <f t="shared" si="77"/>
        <v>768.7881390298129</v>
      </c>
      <c r="FJ76" s="62">
        <f ca="1">AVERAGE(OFFSET($FI$3,0,0,'Données projet'!$E$16+1,1))-AVERAGE(OFFSET($H$3,0,0,'Données projet'!$E$16+1,1))</f>
        <v>341.70983624543067</v>
      </c>
      <c r="FK76" s="62">
        <f t="shared" si="102"/>
        <v>250.82562837973805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4.1785079699823332E-6</v>
      </c>
      <c r="FT76" s="24">
        <f t="shared" si="78"/>
        <v>4.1785079699823332E-6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>
        <f>VLOOKUP(A76,'Données projet'!$A$243:$I$263,2,0)</f>
        <v>390</v>
      </c>
      <c r="FX76" s="13">
        <f>VLOOKUP(A76,'Données projet'!$A$243:$I$263,9,0)</f>
        <v>11.818181818181818</v>
      </c>
      <c r="FY76" s="13">
        <f t="array" ref="FY76">INDEX(FX:FX,MIN(IF(ISNUMBER(FX76:FX272),ROW(FX76:FX272),"")))</f>
        <v>11.818181818181818</v>
      </c>
      <c r="FZ76" s="13">
        <f>IF('Données projet'!$A$244&gt;35,FZ75+FY76-GH75,IF(A76&lt;'Données projet'!$A$244,$FW$205^A76,IF(A76='Données projet'!$A$244,'Données projet'!$B$244,FZ75+FY76-GH75)))</f>
        <v>389.99999999999972</v>
      </c>
      <c r="GA76" s="18">
        <f>FZ76*VLOOKUP('Données projet'!$B$17,Paramètres!$A$1:$I$89,3,0)*VLOOKUP('Données projet'!$B$17,Paramètres!$A$1:$I$89,5,0)</f>
        <v>182.51999999999987</v>
      </c>
      <c r="GB76" s="14">
        <f t="shared" si="103"/>
        <v>45.88238528028559</v>
      </c>
      <c r="GC76" s="22">
        <f t="shared" si="79"/>
        <v>397.8008210298305</v>
      </c>
      <c r="GD76" s="62">
        <f t="shared" si="80"/>
        <v>652.29731967733824</v>
      </c>
      <c r="GE76" s="62">
        <f ca="1">AVERAGE(OFFSET($GD$3,0,0,'Données projet'!$E$17+1,1))-AVERAGE(OFFSET($H$3,0,0,'Données projet'!$E$17+1,1))</f>
        <v>368.69628434154333</v>
      </c>
      <c r="GF76" s="62">
        <f t="shared" si="104"/>
        <v>202.28197295839524</v>
      </c>
      <c r="GG76" s="16">
        <f>IF(ISNA(VLOOKUP(A76,'Données projet'!$A$243:$I$263,3,0)),0,VLOOKUP(A76,'Données projet'!$A$243:$I$263,3,0))</f>
        <v>7</v>
      </c>
      <c r="GH76" s="16">
        <f>IF(ISNA(VLOOKUP(A76,'Données projet'!$A$243:$I$263,4,0)),0,VLOOKUP(A76,'Données projet'!$A$243:$I$263,4,0))</f>
        <v>102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4</v>
      </c>
      <c r="GU76" s="13">
        <f>IF('Données projet'!$A$270&gt;35,GU75+GT76-HC75,IF(A76&lt;'Données projet'!$A$270,$GR$205^A76,IF(A76='Données projet'!$A$270,'Données projet'!$B$270,GU75+GT76-HC75)))</f>
        <v>221.99999999999994</v>
      </c>
      <c r="GV76" s="18">
        <f>GU76*VLOOKUP('Données projet'!$B$18,Paramètres!$A$1:$I$89,3,0)*VLOOKUP('Données projet'!$B$18,Paramètres!$A$1:$I$89,5,0)</f>
        <v>193.93919999999997</v>
      </c>
      <c r="GW76" s="14">
        <f t="shared" si="105"/>
        <v>48.409811198069342</v>
      </c>
      <c r="GX76" s="22">
        <f t="shared" si="82"/>
        <v>422.091194503304</v>
      </c>
      <c r="GY76" s="62">
        <f t="shared" si="83"/>
        <v>676.58769315081167</v>
      </c>
      <c r="GZ76" s="62">
        <f ca="1">AVERAGE(OFFSET($GY$3,0,0,'Données projet'!$E$18+1,1))-AVERAGE(OFFSET($H$3,0,0,'Données projet'!$E$18+1,1))</f>
        <v>378.51861272969165</v>
      </c>
      <c r="HA76" s="62">
        <f t="shared" si="106"/>
        <v>387.42368617035459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0</v>
      </c>
      <c r="HH76" s="23">
        <f>EXP(-LN(2)/25)*HH75+(1-EXP(-LN(2)/25))/(LN(2)/25)*Calculateur!HC76*Calculateur!HE76*VLOOKUP('Données projet'!$B$18,Paramètres!$A$1:$I$89,3,0)*0.475*44/12</f>
        <v>0</v>
      </c>
      <c r="HI76" s="23">
        <f>EXP(-LN(2)/2)*HI75+(1-EXP(-LN(2)/2))/(LN(2)/2)*HC76*HF76*VLOOKUP('Données projet'!$B$18,Paramètres!$A$1:$I$89,3,0)*0.475*44/12</f>
        <v>0</v>
      </c>
      <c r="HJ76" s="24">
        <f t="shared" si="84"/>
        <v>0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135.66666666666666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</v>
      </c>
      <c r="N77" s="14">
        <f>IF('Données projet'!$A$36&gt;35,N76+M77-V76,IF(A77&lt;'Données projet'!$A$36,$K$205^A77,IF(A77='Données projet'!$A$36,'Données projet'!$B$36,N76+M77-V76)))</f>
        <v>420.00000000000023</v>
      </c>
      <c r="O77" s="14">
        <f>N77*VLOOKUP('Données projet'!$B$9,Paramètres!$A$1:$I$89,3,0)*VLOOKUP('Données projet'!$B$9,Paramètres!$A$1:$I$89,5,0)</f>
        <v>251.16000000000014</v>
      </c>
      <c r="P77" s="14">
        <f t="shared" si="87"/>
        <v>60.834270430141594</v>
      </c>
      <c r="Q77" s="22">
        <f t="shared" si="54"/>
        <v>543.39002099916354</v>
      </c>
      <c r="R77" s="62">
        <f t="shared" si="55"/>
        <v>798.56025190231549</v>
      </c>
      <c r="S77" s="62">
        <f ca="1">AVERAGE(OFFSET($R$3,0,0,'Données projet'!$E$9+1,1))-AVERAGE(OFFSET($H$3,0,0,'Données projet'!$E$9+1,1))</f>
        <v>437.94016462147999</v>
      </c>
      <c r="T77" s="62">
        <f t="shared" si="88"/>
        <v>281.88254003380348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1.952260670716762E-6</v>
      </c>
      <c r="AC77" s="24">
        <f t="shared" si="57"/>
        <v>1.952260670716762E-6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6.4</v>
      </c>
      <c r="AI77" s="14">
        <f>IF('Données projet'!$A$62&gt;35,AI76+AH77-AQ76,IF(A77&lt;'Données projet'!$A$62,$AF$205^A77,IF(A77='Données projet'!$A$62,'Données projet'!$B$62,AI76+AH77-AQ76)))</f>
        <v>246.60000000000011</v>
      </c>
      <c r="AJ77" s="14">
        <f>AI77*VLOOKUP('Données projet'!$B$10,Paramètres!$A$1:$I$89,3,0)*VLOOKUP('Données projet'!$B$10,Paramètres!$A$1:$I$89,5,0)</f>
        <v>223.12368000000009</v>
      </c>
      <c r="AK77" s="14">
        <f t="shared" si="89"/>
        <v>54.793244051140647</v>
      </c>
      <c r="AL77" s="22">
        <f t="shared" si="58"/>
        <v>484.03864272240349</v>
      </c>
      <c r="AM77" s="62">
        <f t="shared" si="59"/>
        <v>739.2088736255555</v>
      </c>
      <c r="AN77" s="62">
        <f ca="1">AVERAGE(OFFSET($AM$3,0,0,'Données projet'!$E$10+1,1))-AVERAGE(OFFSET($H$3,0,0,'Données projet'!$E$10+1,1))</f>
        <v>434.56763649859136</v>
      </c>
      <c r="AO77" s="62">
        <f t="shared" si="90"/>
        <v>271.90302066766264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1.1368683772161603E-13</v>
      </c>
      <c r="BE77" s="14">
        <f>BD77*VLOOKUP('Données projet'!$B$11,Paramètres!$A$1:$I$89,3,0)*VLOOKUP('Données projet'!$B$11,Paramètres!$A$1:$I$89,5,0)</f>
        <v>6.7984728957526396E-14</v>
      </c>
      <c r="BF77" s="14">
        <f t="shared" si="91"/>
        <v>1.0682447123141398E-12</v>
      </c>
      <c r="BG77" s="22">
        <f t="shared" si="61"/>
        <v>1.978932943548152E-12</v>
      </c>
      <c r="BH77" s="62">
        <f t="shared" si="62"/>
        <v>255.17023090315394</v>
      </c>
      <c r="BI77" s="62">
        <f ca="1">AVERAGE(OFFSET($BH$3,0,0,'Données projet'!$E$11+1,1))-AVERAGE(OFFSET($H$3,0,0,'Données projet'!$E$11+1,1))</f>
        <v>199.65420589615553</v>
      </c>
      <c r="BJ77" s="62">
        <f t="shared" si="92"/>
        <v>477.85821088970999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22.307749842315072</v>
      </c>
      <c r="BQ77" s="23">
        <f>EXP(-LN(2)/25)*BQ76+(1-EXP(-LN(2)/25))/(LN(2)/25)*Calculateur!BL77*Calculateur!BN77*VLOOKUP('Données projet'!$B$11,Paramètres!$A$1:$I$89,3,0)*0.475*44/12</f>
        <v>12.975806914865844</v>
      </c>
      <c r="BR77" s="23">
        <f>EXP(-LN(2)/2)*BR76+(1-EXP(-LN(2)/2))/(LN(2)/2)*BL77*BO77*VLOOKUP('Données projet'!$B$11,Paramètres!$A$1:$I$89,3,0)*0.475*44/12</f>
        <v>1.0387273978449956E-5</v>
      </c>
      <c r="BS77" s="24">
        <f t="shared" si="63"/>
        <v>35.283567144454899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</v>
      </c>
      <c r="BY77" s="13">
        <f>IF('Données projet'!$A$114&gt;35,BY76+BX77-CG76,IF(A77&lt;'Données projet'!$A$114,$BV$205^A77,IF(A77='Données projet'!$A$114,'Données projet'!$B$114,BY76+BX77-CG76)))</f>
        <v>420.00000000000023</v>
      </c>
      <c r="BZ77" s="14">
        <f>BY77*VLOOKUP('Données projet'!$B$12,Paramètres!$A$1:$I$89,3,0)*VLOOKUP('Données projet'!$B$12,Paramètres!$A$1:$I$89,5,0)</f>
        <v>251.16000000000014</v>
      </c>
      <c r="CA77" s="14">
        <f t="shared" si="93"/>
        <v>60.834270430141594</v>
      </c>
      <c r="CB77" s="22">
        <f t="shared" si="64"/>
        <v>543.39002099916354</v>
      </c>
      <c r="CC77" s="62">
        <f t="shared" si="65"/>
        <v>798.56025190231549</v>
      </c>
      <c r="CD77" s="62">
        <f ca="1">AVERAGE(OFFSET($CC$3,0,0,'Données projet'!$E$12+1,1))-AVERAGE(OFFSET($H$3,0,0,'Données projet'!$E$12+1,1))</f>
        <v>437.94016462147999</v>
      </c>
      <c r="CE77" s="62">
        <f t="shared" si="94"/>
        <v>281.88254003380348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1.952260670716762E-6</v>
      </c>
      <c r="CN77" s="24">
        <f t="shared" si="66"/>
        <v>1.952260670716762E-6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6.4</v>
      </c>
      <c r="CT77" s="13">
        <f>IF('Données projet'!$A$140&gt;35,CT76+CS77-DB76,IF(A77&lt;'Données projet'!$A$140,$CQ$205^A77,IF(A77='Données projet'!$A$140,'Données projet'!$B$140,CT76+CS77-DB76)))</f>
        <v>246.60000000000011</v>
      </c>
      <c r="CU77" s="18">
        <f>CT77*VLOOKUP('Données projet'!$B$13,Paramètres!$A$1:$I$89,3,0)*VLOOKUP('Données projet'!$B$13,Paramètres!$A$1:$I$89,5,0)</f>
        <v>280.82808000000017</v>
      </c>
      <c r="CV77" s="14">
        <f t="shared" si="95"/>
        <v>67.141975901776362</v>
      </c>
      <c r="CW77" s="22">
        <f t="shared" si="67"/>
        <v>606.04784736226065</v>
      </c>
      <c r="CX77" s="62">
        <f t="shared" si="68"/>
        <v>861.2180782654126</v>
      </c>
      <c r="CY77" s="62">
        <f ca="1">AVERAGE(OFFSET($CX$3,0,0,'Données projet'!$E$13+1,1))-AVERAGE(OFFSET($H$3,0,0,'Données projet'!$E$13+1,1))</f>
        <v>520.23742527061836</v>
      </c>
      <c r="CZ77" s="62">
        <f t="shared" si="96"/>
        <v>321.35925479331274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7.6</v>
      </c>
      <c r="DO77" s="13">
        <f>IF('Données projet'!$A$166&gt;35,DO76+DN77-DW76,IF(A77&lt;'Données projet'!$A$166,$DL$205^A77,IF(A77='Données projet'!$A$166,'Données projet'!$B$166,DO76+DN77-DW76)))</f>
        <v>304.40000000000003</v>
      </c>
      <c r="DP77" s="18">
        <f>DO77*VLOOKUP('Données projet'!$B$14,Paramètres!$A$1:$I$89,3,0)*VLOOKUP('Données projet'!$B$14,Paramètres!$A$1:$I$89,5,0)</f>
        <v>308.66160000000008</v>
      </c>
      <c r="DQ77" s="14">
        <f t="shared" si="97"/>
        <v>72.98924863505313</v>
      </c>
      <c r="DR77" s="22">
        <f t="shared" si="70"/>
        <v>664.70856137271755</v>
      </c>
      <c r="DS77" s="62">
        <f t="shared" si="71"/>
        <v>919.8787922758695</v>
      </c>
      <c r="DT77" s="62">
        <f ca="1">AVERAGE(OFFSET($DS$3,0,0,'Données projet'!$E$14+1,1))-AVERAGE(OFFSET($H$3,0,0,'Données projet'!$E$14+1,1))</f>
        <v>547.89540791313675</v>
      </c>
      <c r="DU77" s="62">
        <f t="shared" si="98"/>
        <v>345.19555189302378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5.6843418860808015E-14</v>
      </c>
      <c r="EK77" s="18">
        <f>EJ77*VLOOKUP('Données projet'!$B$15,Paramètres!$A$1:$I$89,3,0)*VLOOKUP('Données projet'!$B$15,Paramètres!$A$1:$I$89,5,0)</f>
        <v>5.9412741393316544E-14</v>
      </c>
      <c r="EL77" s="14">
        <f t="shared" si="99"/>
        <v>9.483138037075782E-13</v>
      </c>
      <c r="EM77" s="22">
        <f t="shared" si="73"/>
        <v>1.7551237327173916E-12</v>
      </c>
      <c r="EN77" s="62">
        <f t="shared" si="74"/>
        <v>255.17023090315371</v>
      </c>
      <c r="EO77" s="62">
        <f ca="1">AVERAGE(OFFSET($EN$3,0,0,'Données projet'!$E$15+1,1))-AVERAGE(OFFSET($H$3,0,0,'Données projet'!$E$15+1,1))</f>
        <v>418.23737352070503</v>
      </c>
      <c r="EP77" s="62">
        <f t="shared" si="100"/>
        <v>496.10742685332968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9</v>
      </c>
      <c r="FE77" s="13">
        <f>IF('Données projet'!$A$218&gt;35,FE76+FD77-FM76,IF(A77&lt;'Données projet'!$A$218,$FB$205^A77,IF(A77='Données projet'!$A$218,'Données projet'!$B$218,FE76+FD77-FM76)))</f>
        <v>406.00000000000011</v>
      </c>
      <c r="FF77" s="18">
        <f>FE77*VLOOKUP('Données projet'!$B$16,Paramètres!$A$1:$I$89,3,0)*VLOOKUP('Données projet'!$B$16,Paramètres!$A$1:$I$89,5,0)</f>
        <v>242.78800000000007</v>
      </c>
      <c r="FG77" s="14">
        <f t="shared" si="101"/>
        <v>59.038978452354563</v>
      </c>
      <c r="FH77" s="22">
        <f t="shared" si="76"/>
        <v>525.68198747118436</v>
      </c>
      <c r="FI77" s="62">
        <f t="shared" si="77"/>
        <v>780.8522183743363</v>
      </c>
      <c r="FJ77" s="62">
        <f ca="1">AVERAGE(OFFSET($FI$3,0,0,'Données projet'!$E$16+1,1))-AVERAGE(OFFSET($H$3,0,0,'Données projet'!$E$16+1,1))</f>
        <v>341.70983624543067</v>
      </c>
      <c r="FK77" s="62">
        <f t="shared" si="102"/>
        <v>250.82562837973805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2.9546513208165426E-6</v>
      </c>
      <c r="FT77" s="24">
        <f t="shared" si="78"/>
        <v>2.9546513208165426E-6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>
        <f>VLOOKUP(A77,'Données projet'!$A$243:$I$263,2,0)</f>
        <v>299</v>
      </c>
      <c r="FX77" s="13">
        <f>VLOOKUP(A77,'Données projet'!$A$243:$I$263,9,0)</f>
        <v>11</v>
      </c>
      <c r="FY77" s="13">
        <f t="array" ref="FY77">INDEX(FX:FX,MIN(IF(ISNUMBER(FX77:FX273),ROW(FX77:FX273),"")))</f>
        <v>11</v>
      </c>
      <c r="FZ77" s="13">
        <f>IF('Données projet'!$A$244&gt;35,FZ76+FY77-GH76,IF(A77&lt;'Données projet'!$A$244,$FW$205^A77,IF(A77='Données projet'!$A$244,'Données projet'!$B$244,FZ76+FY77-GH76)))</f>
        <v>298.99999999999972</v>
      </c>
      <c r="GA77" s="18">
        <f>FZ77*VLOOKUP('Données projet'!$B$17,Paramètres!$A$1:$I$89,3,0)*VLOOKUP('Données projet'!$B$17,Paramètres!$A$1:$I$89,5,0)</f>
        <v>139.93199999999985</v>
      </c>
      <c r="GB77" s="14">
        <f t="shared" si="103"/>
        <v>36.281427209452325</v>
      </c>
      <c r="GC77" s="22">
        <f t="shared" si="79"/>
        <v>306.90505238979586</v>
      </c>
      <c r="GD77" s="62">
        <f t="shared" si="80"/>
        <v>562.0752832929478</v>
      </c>
      <c r="GE77" s="62">
        <f ca="1">AVERAGE(OFFSET($GD$3,0,0,'Données projet'!$E$17+1,1))-AVERAGE(OFFSET($H$3,0,0,'Données projet'!$E$17+1,1))</f>
        <v>368.69628434154333</v>
      </c>
      <c r="GF77" s="62">
        <f t="shared" si="104"/>
        <v>202.28197295839524</v>
      </c>
      <c r="GG77" s="16">
        <f>IF(ISNA(VLOOKUP(A77,'Données projet'!$A$243:$I$263,3,0)),0,VLOOKUP(A77,'Données projet'!$A$243:$I$263,3,0))</f>
        <v>8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4</v>
      </c>
      <c r="GU77" s="13">
        <f>IF('Données projet'!$A$270&gt;35,GU76+GT77-HC76,IF(A77&lt;'Données projet'!$A$270,$GR$205^A77,IF(A77='Données projet'!$A$270,'Données projet'!$B$270,GU76+GT77-HC76)))</f>
        <v>225.99999999999994</v>
      </c>
      <c r="GV77" s="18">
        <f>GU77*VLOOKUP('Données projet'!$B$18,Paramètres!$A$1:$I$89,3,0)*VLOOKUP('Données projet'!$B$18,Paramètres!$A$1:$I$89,5,0)</f>
        <v>197.43359999999996</v>
      </c>
      <c r="GW77" s="14">
        <f t="shared" si="105"/>
        <v>49.179727436837609</v>
      </c>
      <c r="GX77" s="22">
        <f t="shared" si="82"/>
        <v>429.51821195249204</v>
      </c>
      <c r="GY77" s="62">
        <f t="shared" si="83"/>
        <v>684.68844285564398</v>
      </c>
      <c r="GZ77" s="62">
        <f ca="1">AVERAGE(OFFSET($GY$3,0,0,'Données projet'!$E$18+1,1))-AVERAGE(OFFSET($H$3,0,0,'Données projet'!$E$18+1,1))</f>
        <v>378.51861272969165</v>
      </c>
      <c r="HA77" s="62">
        <f t="shared" si="106"/>
        <v>387.42368617035459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0</v>
      </c>
      <c r="HH77" s="23">
        <f>EXP(-LN(2)/25)*HH76+(1-EXP(-LN(2)/25))/(LN(2)/25)*Calculateur!HC77*Calculateur!HE77*VLOOKUP('Données projet'!$B$18,Paramètres!$A$1:$I$89,3,0)*0.475*44/12</f>
        <v>0</v>
      </c>
      <c r="HI77" s="23">
        <f>EXP(-LN(2)/2)*HI76+(1-EXP(-LN(2)/2))/(LN(2)/2)*HC77*HF77*VLOOKUP('Données projet'!$B$18,Paramètres!$A$1:$I$89,3,0)*0.475*44/12</f>
        <v>0</v>
      </c>
      <c r="HJ77" s="24">
        <f t="shared" si="84"/>
        <v>0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135.66666666666666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6</v>
      </c>
      <c r="N78" s="14">
        <f>IF('Données projet'!$A$36&gt;35,N77+M78-V77,IF(A78&lt;'Données projet'!$A$36,$K$205^A78,IF(A78='Données projet'!$A$36,'Données projet'!$B$36,N77+M78-V77)))</f>
        <v>426.00000000000023</v>
      </c>
      <c r="O78" s="14">
        <f>N78*VLOOKUP('Données projet'!$B$9,Paramètres!$A$1:$I$89,3,0)*VLOOKUP('Données projet'!$B$9,Paramètres!$A$1:$I$89,5,0)</f>
        <v>254.74800000000016</v>
      </c>
      <c r="P78" s="14">
        <f t="shared" si="87"/>
        <v>61.601537647979256</v>
      </c>
      <c r="Q78" s="22">
        <f t="shared" si="54"/>
        <v>550.97544473689754</v>
      </c>
      <c r="R78" s="62">
        <f t="shared" si="55"/>
        <v>806.80772014729791</v>
      </c>
      <c r="S78" s="62">
        <f ca="1">AVERAGE(OFFSET($R$3,0,0,'Données projet'!$E$9+1,1))-AVERAGE(OFFSET($H$3,0,0,'Données projet'!$E$9+1,1))</f>
        <v>437.94016462147999</v>
      </c>
      <c r="T78" s="62">
        <f t="shared" si="88"/>
        <v>281.88254003380348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1.38045675890762E-6</v>
      </c>
      <c r="AC78" s="24">
        <f t="shared" si="57"/>
        <v>1.38045675890762E-6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253</v>
      </c>
      <c r="AG78" s="13">
        <f>VLOOKUP(A78,'Données projet'!$A$61:$I$81,9,0)</f>
        <v>6.4</v>
      </c>
      <c r="AH78" s="13">
        <f t="array" ref="AH78">INDEX(AG:AG,MIN(IF(ISNUMBER(AG78:AG274),ROW(AG78:AG274),"")))</f>
        <v>6.4</v>
      </c>
      <c r="AI78" s="14">
        <f>IF('Données projet'!$A$62&gt;35,AI77+AH78-AQ77,IF(A78&lt;'Données projet'!$A$62,$AF$205^A78,IF(A78='Données projet'!$A$62,'Données projet'!$B$62,AI77+AH78-AQ77)))</f>
        <v>253.00000000000011</v>
      </c>
      <c r="AJ78" s="14">
        <f>AI78*VLOOKUP('Données projet'!$B$10,Paramètres!$A$1:$I$89,3,0)*VLOOKUP('Données projet'!$B$10,Paramètres!$A$1:$I$89,5,0)</f>
        <v>228.91440000000011</v>
      </c>
      <c r="AK78" s="14">
        <f t="shared" si="89"/>
        <v>56.047884834417474</v>
      </c>
      <c r="AL78" s="22">
        <f t="shared" si="58"/>
        <v>496.30931275327725</v>
      </c>
      <c r="AM78" s="62">
        <f t="shared" si="59"/>
        <v>752.14158816367762</v>
      </c>
      <c r="AN78" s="62">
        <f ca="1">AVERAGE(OFFSET($AM$3,0,0,'Données projet'!$E$10+1,1))-AVERAGE(OFFSET($H$3,0,0,'Données projet'!$E$10+1,1))</f>
        <v>434.56763649859136</v>
      </c>
      <c r="AO78" s="62">
        <f t="shared" si="90"/>
        <v>271.90302066766264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1.1368683772161603E-13</v>
      </c>
      <c r="BE78" s="14">
        <f>BD78*VLOOKUP('Données projet'!$B$11,Paramètres!$A$1:$I$89,3,0)*VLOOKUP('Données projet'!$B$11,Paramètres!$A$1:$I$89,5,0)</f>
        <v>6.7984728957526396E-14</v>
      </c>
      <c r="BF78" s="14">
        <f t="shared" si="91"/>
        <v>1.0682447123141398E-12</v>
      </c>
      <c r="BG78" s="22">
        <f t="shared" si="61"/>
        <v>1.978932943548152E-12</v>
      </c>
      <c r="BH78" s="62">
        <f t="shared" si="62"/>
        <v>255.83227541040236</v>
      </c>
      <c r="BI78" s="62">
        <f ca="1">AVERAGE(OFFSET($BH$3,0,0,'Données projet'!$E$11+1,1))-AVERAGE(OFFSET($H$3,0,0,'Données projet'!$E$11+1,1))</f>
        <v>199.65420589615553</v>
      </c>
      <c r="BJ78" s="62">
        <f t="shared" si="92"/>
        <v>477.85821088970999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21.870308474291157</v>
      </c>
      <c r="BQ78" s="23">
        <f>EXP(-LN(2)/25)*BQ77+(1-EXP(-LN(2)/25))/(LN(2)/25)*Calculateur!BL78*Calculateur!BN78*VLOOKUP('Données projet'!$B$11,Paramètres!$A$1:$I$89,3,0)*0.475*44/12</f>
        <v>12.620982792410809</v>
      </c>
      <c r="BR78" s="23">
        <f>EXP(-LN(2)/2)*BR77+(1-EXP(-LN(2)/2))/(LN(2)/2)*BL78*BO78*VLOOKUP('Données projet'!$B$11,Paramètres!$A$1:$I$89,3,0)*0.475*44/12</f>
        <v>7.3449118682045322E-6</v>
      </c>
      <c r="BS78" s="24">
        <f t="shared" si="63"/>
        <v>34.491298611613836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6</v>
      </c>
      <c r="BY78" s="13">
        <f>IF('Données projet'!$A$114&gt;35,BY77+BX78-CG77,IF(A78&lt;'Données projet'!$A$114,$BV$205^A78,IF(A78='Données projet'!$A$114,'Données projet'!$B$114,BY77+BX78-CG77)))</f>
        <v>426.00000000000023</v>
      </c>
      <c r="BZ78" s="14">
        <f>BY78*VLOOKUP('Données projet'!$B$12,Paramètres!$A$1:$I$89,3,0)*VLOOKUP('Données projet'!$B$12,Paramètres!$A$1:$I$89,5,0)</f>
        <v>254.74800000000016</v>
      </c>
      <c r="CA78" s="14">
        <f t="shared" si="93"/>
        <v>61.601537647979256</v>
      </c>
      <c r="CB78" s="22">
        <f t="shared" si="64"/>
        <v>550.97544473689754</v>
      </c>
      <c r="CC78" s="62">
        <f t="shared" si="65"/>
        <v>806.80772014729791</v>
      </c>
      <c r="CD78" s="62">
        <f ca="1">AVERAGE(OFFSET($CC$3,0,0,'Données projet'!$E$12+1,1))-AVERAGE(OFFSET($H$3,0,0,'Données projet'!$E$12+1,1))</f>
        <v>437.94016462147999</v>
      </c>
      <c r="CE78" s="62">
        <f t="shared" si="94"/>
        <v>281.88254003380348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1.38045675890762E-6</v>
      </c>
      <c r="CN78" s="24">
        <f t="shared" si="66"/>
        <v>1.38045675890762E-6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253</v>
      </c>
      <c r="CR78" s="13">
        <f>VLOOKUP(A78,'Données projet'!$A$139:$I$159,9,0)</f>
        <v>6.4</v>
      </c>
      <c r="CS78" s="13">
        <f t="array" ref="CS78">INDEX(CR:CR,MIN(IF(ISNUMBER(CR78:CR274),ROW(CR78:CR274),"")))</f>
        <v>6.4</v>
      </c>
      <c r="CT78" s="13">
        <f>IF('Données projet'!$A$140&gt;35,CT77+CS78-DB77,IF(A78&lt;'Données projet'!$A$140,$CQ$205^A78,IF(A78='Données projet'!$A$140,'Données projet'!$B$140,CT77+CS78-DB77)))</f>
        <v>253.00000000000011</v>
      </c>
      <c r="CU78" s="18">
        <f>CT78*VLOOKUP('Données projet'!$B$13,Paramètres!$A$1:$I$89,3,0)*VLOOKUP('Données projet'!$B$13,Paramètres!$A$1:$I$89,5,0)</f>
        <v>288.11640000000011</v>
      </c>
      <c r="CV78" s="14">
        <f t="shared" si="95"/>
        <v>68.679374584678442</v>
      </c>
      <c r="CW78" s="22">
        <f t="shared" si="67"/>
        <v>621.41930740164844</v>
      </c>
      <c r="CX78" s="62">
        <f t="shared" si="68"/>
        <v>877.25158281204881</v>
      </c>
      <c r="CY78" s="62">
        <f ca="1">AVERAGE(OFFSET($CX$3,0,0,'Données projet'!$E$13+1,1))-AVERAGE(OFFSET($H$3,0,0,'Données projet'!$E$13+1,1))</f>
        <v>520.23742527061836</v>
      </c>
      <c r="CZ78" s="62">
        <f t="shared" si="96"/>
        <v>321.35925479331274</v>
      </c>
      <c r="DA78" s="16">
        <f>IF(ISNA(VLOOKUP(A78,'Données projet'!$A$139:$I$159,3,0)),0,VLOOKUP(A78,'Données projet'!$A$139:$I$159,3,0))</f>
        <v>11</v>
      </c>
      <c r="DB78" s="16">
        <f>IF(ISNA(VLOOKUP(A78,'Données projet'!$A$139:$I$159,4,0)),0,VLOOKUP(A78,'Données projet'!$A$139:$I$159,4,0))</f>
        <v>21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312</v>
      </c>
      <c r="DM78" s="13">
        <f>VLOOKUP(A78,'Données projet'!$A$165:$I$185,9,0)</f>
        <v>7.6</v>
      </c>
      <c r="DN78" s="13">
        <f t="array" ref="DN78">INDEX(DM:DM,MIN(IF(ISNUMBER(DM78:DM274),ROW(DM78:DM274),"")))</f>
        <v>7.6</v>
      </c>
      <c r="DO78" s="13">
        <f>IF('Données projet'!$A$166&gt;35,DO77+DN78-DW77,IF(A78&lt;'Données projet'!$A$166,$DL$205^A78,IF(A78='Données projet'!$A$166,'Données projet'!$B$166,DO77+DN78-DW77)))</f>
        <v>312.00000000000006</v>
      </c>
      <c r="DP78" s="18">
        <f>DO78*VLOOKUP('Données projet'!$B$14,Paramètres!$A$1:$I$89,3,0)*VLOOKUP('Données projet'!$B$14,Paramètres!$A$1:$I$89,5,0)</f>
        <v>316.36800000000005</v>
      </c>
      <c r="DQ78" s="14">
        <f t="shared" si="97"/>
        <v>74.597144109003438</v>
      </c>
      <c r="DR78" s="22">
        <f t="shared" si="70"/>
        <v>680.93095932318113</v>
      </c>
      <c r="DS78" s="62">
        <f t="shared" si="71"/>
        <v>936.7632347335815</v>
      </c>
      <c r="DT78" s="62">
        <f ca="1">AVERAGE(OFFSET($DS$3,0,0,'Données projet'!$E$14+1,1))-AVERAGE(OFFSET($H$3,0,0,'Données projet'!$E$14+1,1))</f>
        <v>547.89540791313675</v>
      </c>
      <c r="DU78" s="62">
        <f t="shared" si="98"/>
        <v>345.19555189302378</v>
      </c>
      <c r="DV78" s="16">
        <f>IF(ISNA(VLOOKUP(A78,'Données projet'!$A$165:$I$185,3,0)),0,VLOOKUP(A78,'Données projet'!$A$165:$I$185,3,0))</f>
        <v>12</v>
      </c>
      <c r="DW78" s="16">
        <f>IF(ISNA(VLOOKUP(A78,'Données projet'!$A$165:$I$185,4,0)),0,VLOOKUP(A78,'Données projet'!$A$165:$I$185,4,0))</f>
        <v>28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5.6843418860808015E-14</v>
      </c>
      <c r="EK78" s="18">
        <f>EJ78*VLOOKUP('Données projet'!$B$15,Paramètres!$A$1:$I$89,3,0)*VLOOKUP('Données projet'!$B$15,Paramètres!$A$1:$I$89,5,0)</f>
        <v>5.9412741393316544E-14</v>
      </c>
      <c r="EL78" s="14">
        <f t="shared" si="99"/>
        <v>9.483138037075782E-13</v>
      </c>
      <c r="EM78" s="22">
        <f t="shared" si="73"/>
        <v>1.7551237327173916E-12</v>
      </c>
      <c r="EN78" s="62">
        <f t="shared" si="74"/>
        <v>255.83227541040213</v>
      </c>
      <c r="EO78" s="62">
        <f ca="1">AVERAGE(OFFSET($EN$3,0,0,'Données projet'!$E$15+1,1))-AVERAGE(OFFSET($H$3,0,0,'Données projet'!$E$15+1,1))</f>
        <v>418.23737352070503</v>
      </c>
      <c r="EP78" s="62">
        <f t="shared" si="100"/>
        <v>496.10742685332968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9</v>
      </c>
      <c r="FE78" s="13">
        <f>IF('Données projet'!$A$218&gt;35,FE77+FD78-FM77,IF(A78&lt;'Données projet'!$A$218,$FB$205^A78,IF(A78='Données projet'!$A$218,'Données projet'!$B$218,FE77+FD78-FM77)))</f>
        <v>415.00000000000011</v>
      </c>
      <c r="FF78" s="18">
        <f>FE78*VLOOKUP('Données projet'!$B$16,Paramètres!$A$1:$I$89,3,0)*VLOOKUP('Données projet'!$B$16,Paramètres!$A$1:$I$89,5,0)</f>
        <v>248.1700000000001</v>
      </c>
      <c r="FG78" s="14">
        <f t="shared" si="101"/>
        <v>60.193906493778854</v>
      </c>
      <c r="FH78" s="22">
        <f t="shared" si="76"/>
        <v>537.06713714333159</v>
      </c>
      <c r="FI78" s="62">
        <f t="shared" si="77"/>
        <v>792.89941255373196</v>
      </c>
      <c r="FJ78" s="62">
        <f ca="1">AVERAGE(OFFSET($FI$3,0,0,'Données projet'!$E$16+1,1))-AVERAGE(OFFSET($H$3,0,0,'Données projet'!$E$16+1,1))</f>
        <v>341.70983624543067</v>
      </c>
      <c r="FK78" s="62">
        <f t="shared" si="102"/>
        <v>250.82562837973805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2.0892539849911666E-6</v>
      </c>
      <c r="FT78" s="24">
        <f t="shared" si="78"/>
        <v>2.0892539849911666E-6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11</v>
      </c>
      <c r="FZ78" s="13">
        <f>IF('Données projet'!$A$244&gt;35,FZ77+FY78-GH77,IF(A78&lt;'Données projet'!$A$244,$FW$205^A78,IF(A78='Données projet'!$A$244,'Données projet'!$B$244,FZ77+FY78-GH77)))</f>
        <v>309.99999999999972</v>
      </c>
      <c r="GA78" s="18">
        <f>FZ78*VLOOKUP('Données projet'!$B$17,Paramètres!$A$1:$I$89,3,0)*VLOOKUP('Données projet'!$B$17,Paramètres!$A$1:$I$89,5,0)</f>
        <v>145.07999999999987</v>
      </c>
      <c r="GB78" s="14">
        <f t="shared" si="103"/>
        <v>37.45833706767295</v>
      </c>
      <c r="GC78" s="22">
        <f t="shared" si="79"/>
        <v>317.9209370595301</v>
      </c>
      <c r="GD78" s="62">
        <f t="shared" si="80"/>
        <v>573.75321246993053</v>
      </c>
      <c r="GE78" s="62">
        <f ca="1">AVERAGE(OFFSET($GD$3,0,0,'Données projet'!$E$17+1,1))-AVERAGE(OFFSET($H$3,0,0,'Données projet'!$E$17+1,1))</f>
        <v>368.69628434154333</v>
      </c>
      <c r="GF78" s="62">
        <f t="shared" si="104"/>
        <v>202.28197295839524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>
        <f>VLOOKUP(A78,'Données projet'!$A$269:$I$289,2,0)</f>
        <v>230</v>
      </c>
      <c r="GS78" s="13">
        <f>VLOOKUP(A78,'Données projet'!$A$269:$I$289,9,0)</f>
        <v>4</v>
      </c>
      <c r="GT78" s="13">
        <f t="array" ref="GT78">INDEX(GS:GS,MIN(IF(ISNUMBER(GS78:GS274),ROW(GS78:GS274),"")))</f>
        <v>4</v>
      </c>
      <c r="GU78" s="13">
        <f>IF('Données projet'!$A$270&gt;35,GU77+GT78-HC77,IF(A78&lt;'Données projet'!$A$270,$GR$205^A78,IF(A78='Données projet'!$A$270,'Données projet'!$B$270,GU77+GT78-HC77)))</f>
        <v>229.99999999999994</v>
      </c>
      <c r="GV78" s="18">
        <f>GU78*VLOOKUP('Données projet'!$B$18,Paramètres!$A$1:$I$89,3,0)*VLOOKUP('Données projet'!$B$18,Paramètres!$A$1:$I$89,5,0)</f>
        <v>200.92799999999997</v>
      </c>
      <c r="GW78" s="14">
        <f t="shared" si="105"/>
        <v>49.948059057189042</v>
      </c>
      <c r="GX78" s="22">
        <f t="shared" si="82"/>
        <v>436.94246952460418</v>
      </c>
      <c r="GY78" s="62">
        <f t="shared" si="83"/>
        <v>692.77474493500449</v>
      </c>
      <c r="GZ78" s="62">
        <f ca="1">AVERAGE(OFFSET($GY$3,0,0,'Données projet'!$E$18+1,1))-AVERAGE(OFFSET($H$3,0,0,'Données projet'!$E$18+1,1))</f>
        <v>378.51861272969165</v>
      </c>
      <c r="HA78" s="62">
        <f t="shared" si="106"/>
        <v>387.42368617035459</v>
      </c>
      <c r="HB78" s="16">
        <f>IF(ISNA(VLOOKUP(A78,'Données projet'!$A$269:$I$289,3,0)),0,VLOOKUP(A78,'Données projet'!$A$269:$I$289,3,0))</f>
        <v>12</v>
      </c>
      <c r="HC78" s="16">
        <f>IF(ISNA(VLOOKUP(A78,'Données projet'!$A$269:$I$289,4,0)),0,VLOOKUP(A78,'Données projet'!$A$269:$I$289,4,0))</f>
        <v>15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0</v>
      </c>
      <c r="HH78" s="23">
        <f>EXP(-LN(2)/25)*HH77+(1-EXP(-LN(2)/25))/(LN(2)/25)*Calculateur!HC78*Calculateur!HE78*VLOOKUP('Données projet'!$B$18,Paramètres!$A$1:$I$89,3,0)*0.475*44/12</f>
        <v>0</v>
      </c>
      <c r="HI78" s="23">
        <f>EXP(-LN(2)/2)*HI77+(1-EXP(-LN(2)/2))/(LN(2)/2)*HC78*HF78*VLOOKUP('Données projet'!$B$18,Paramètres!$A$1:$I$89,3,0)*0.475*44/12</f>
        <v>0</v>
      </c>
      <c r="HJ78" s="24">
        <f t="shared" si="84"/>
        <v>0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135.66666666666666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432.00000000000023</v>
      </c>
      <c r="O79" s="14">
        <f>N79*VLOOKUP('Données projet'!$B$9,Paramètres!$A$1:$I$89,3,0)*VLOOKUP('Données projet'!$B$9,Paramètres!$A$1:$I$89,5,0)</f>
        <v>258.33600000000018</v>
      </c>
      <c r="P79" s="14">
        <f t="shared" si="87"/>
        <v>62.367547966451262</v>
      </c>
      <c r="Q79" s="22">
        <f t="shared" si="54"/>
        <v>558.55867937490291</v>
      </c>
      <c r="R79" s="62">
        <f t="shared" si="55"/>
        <v>815.04151430046079</v>
      </c>
      <c r="S79" s="62">
        <f ca="1">AVERAGE(OFFSET($R$3,0,0,'Données projet'!$E$9+1,1))-AVERAGE(OFFSET($H$3,0,0,'Données projet'!$E$9+1,1))</f>
        <v>437.94016462147999</v>
      </c>
      <c r="T79" s="62">
        <f t="shared" si="88"/>
        <v>281.88254003380348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9.7613033535838101E-7</v>
      </c>
      <c r="AC79" s="24">
        <f t="shared" si="57"/>
        <v>9.7613033535838101E-7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238.00000000000011</v>
      </c>
      <c r="AJ79" s="14">
        <f>AI79*VLOOKUP('Données projet'!$B$10,Paramètres!$A$1:$I$89,3,0)*VLOOKUP('Données projet'!$B$10,Paramètres!$A$1:$I$89,5,0)</f>
        <v>215.34240000000008</v>
      </c>
      <c r="AK79" s="14">
        <f t="shared" si="89"/>
        <v>53.101322124397257</v>
      </c>
      <c r="AL79" s="22">
        <f t="shared" si="58"/>
        <v>467.53948269999205</v>
      </c>
      <c r="AM79" s="62">
        <f t="shared" si="59"/>
        <v>724.02231762554993</v>
      </c>
      <c r="AN79" s="62">
        <f ca="1">AVERAGE(OFFSET($AM$3,0,0,'Données projet'!$E$10+1,1))-AVERAGE(OFFSET($H$3,0,0,'Données projet'!$E$10+1,1))</f>
        <v>434.56763649859136</v>
      </c>
      <c r="AO79" s="62">
        <f t="shared" si="90"/>
        <v>271.90302066766264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1.1368683772161603E-13</v>
      </c>
      <c r="BE79" s="14">
        <f>BD79*VLOOKUP('Données projet'!$B$11,Paramètres!$A$1:$I$89,3,0)*VLOOKUP('Données projet'!$B$11,Paramètres!$A$1:$I$89,5,0)</f>
        <v>6.7984728957526396E-14</v>
      </c>
      <c r="BF79" s="14">
        <f t="shared" si="91"/>
        <v>1.0682447123141398E-12</v>
      </c>
      <c r="BG79" s="22">
        <f t="shared" si="61"/>
        <v>1.978932943548152E-12</v>
      </c>
      <c r="BH79" s="62">
        <f t="shared" si="62"/>
        <v>256.48283492555987</v>
      </c>
      <c r="BI79" s="62">
        <f ca="1">AVERAGE(OFFSET($BH$3,0,0,'Données projet'!$E$11+1,1))-AVERAGE(OFFSET($H$3,0,0,'Données projet'!$E$11+1,1))</f>
        <v>199.65420589615553</v>
      </c>
      <c r="BJ79" s="62">
        <f t="shared" si="92"/>
        <v>477.85821088970999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21.441445064681304</v>
      </c>
      <c r="BQ79" s="23">
        <f>EXP(-LN(2)/25)*BQ78+(1-EXP(-LN(2)/25))/(LN(2)/25)*Calculateur!BL79*Calculateur!BN79*VLOOKUP('Données projet'!$B$11,Paramètres!$A$1:$I$89,3,0)*0.475*44/12</f>
        <v>12.275861354243697</v>
      </c>
      <c r="BR79" s="23">
        <f>EXP(-LN(2)/2)*BR78+(1-EXP(-LN(2)/2))/(LN(2)/2)*BL79*BO79*VLOOKUP('Données projet'!$B$11,Paramètres!$A$1:$I$89,3,0)*0.475*44/12</f>
        <v>5.1936369892249787E-6</v>
      </c>
      <c r="BS79" s="24">
        <f t="shared" si="63"/>
        <v>33.717311612561986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</v>
      </c>
      <c r="BY79" s="13">
        <f>IF('Données projet'!$A$114&gt;35,BY78+BX79-CG78,IF(A79&lt;'Données projet'!$A$114,$BV$205^A79,IF(A79='Données projet'!$A$114,'Données projet'!$B$114,BY78+BX79-CG78)))</f>
        <v>432.00000000000023</v>
      </c>
      <c r="BZ79" s="14">
        <f>BY79*VLOOKUP('Données projet'!$B$12,Paramètres!$A$1:$I$89,3,0)*VLOOKUP('Données projet'!$B$12,Paramètres!$A$1:$I$89,5,0)</f>
        <v>258.33600000000018</v>
      </c>
      <c r="CA79" s="14">
        <f t="shared" si="93"/>
        <v>62.367547966451262</v>
      </c>
      <c r="CB79" s="22">
        <f t="shared" si="64"/>
        <v>558.55867937490291</v>
      </c>
      <c r="CC79" s="62">
        <f t="shared" si="65"/>
        <v>815.04151430046079</v>
      </c>
      <c r="CD79" s="62">
        <f ca="1">AVERAGE(OFFSET($CC$3,0,0,'Données projet'!$E$12+1,1))-AVERAGE(OFFSET($H$3,0,0,'Données projet'!$E$12+1,1))</f>
        <v>437.94016462147999</v>
      </c>
      <c r="CE79" s="62">
        <f t="shared" si="94"/>
        <v>281.88254003380348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9.7613033535838101E-7</v>
      </c>
      <c r="CN79" s="24">
        <f t="shared" si="66"/>
        <v>9.7613033535838101E-7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6</v>
      </c>
      <c r="CT79" s="13">
        <f>IF('Données projet'!$A$140&gt;35,CT78+CS79-DB78,IF(A79&lt;'Données projet'!$A$140,$CQ$205^A79,IF(A79='Données projet'!$A$140,'Données projet'!$B$140,CT78+CS79-DB78)))</f>
        <v>238.00000000000011</v>
      </c>
      <c r="CU79" s="18">
        <f>CT79*VLOOKUP('Données projet'!$B$13,Paramètres!$A$1:$I$89,3,0)*VLOOKUP('Données projet'!$B$13,Paramètres!$A$1:$I$89,5,0)</f>
        <v>271.03440000000012</v>
      </c>
      <c r="CV79" s="14">
        <f t="shared" si="95"/>
        <v>65.068746196174914</v>
      </c>
      <c r="CW79" s="22">
        <f t="shared" si="67"/>
        <v>585.37964629167152</v>
      </c>
      <c r="CX79" s="62">
        <f t="shared" si="68"/>
        <v>841.8624812172294</v>
      </c>
      <c r="CY79" s="62">
        <f ca="1">AVERAGE(OFFSET($CX$3,0,0,'Données projet'!$E$13+1,1))-AVERAGE(OFFSET($H$3,0,0,'Données projet'!$E$13+1,1))</f>
        <v>520.23742527061836</v>
      </c>
      <c r="CZ79" s="62">
        <f t="shared" si="96"/>
        <v>321.35925479331274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7.2</v>
      </c>
      <c r="DO79" s="13">
        <f>IF('Données projet'!$A$166&gt;35,DO78+DN79-DW78,IF(A79&lt;'Données projet'!$A$166,$DL$205^A79,IF(A79='Données projet'!$A$166,'Données projet'!$B$166,DO78+DN79-DW78)))</f>
        <v>291.20000000000005</v>
      </c>
      <c r="DP79" s="18">
        <f>DO79*VLOOKUP('Données projet'!$B$14,Paramètres!$A$1:$I$89,3,0)*VLOOKUP('Données projet'!$B$14,Paramètres!$A$1:$I$89,5,0)</f>
        <v>295.27680000000004</v>
      </c>
      <c r="DQ79" s="14">
        <f t="shared" si="97"/>
        <v>70.185386686980493</v>
      </c>
      <c r="DR79" s="22">
        <f t="shared" si="70"/>
        <v>636.51330847982445</v>
      </c>
      <c r="DS79" s="62">
        <f t="shared" si="71"/>
        <v>892.99614340538233</v>
      </c>
      <c r="DT79" s="62">
        <f ca="1">AVERAGE(OFFSET($DS$3,0,0,'Données projet'!$E$14+1,1))-AVERAGE(OFFSET($H$3,0,0,'Données projet'!$E$14+1,1))</f>
        <v>547.89540791313675</v>
      </c>
      <c r="DU79" s="62">
        <f t="shared" si="98"/>
        <v>345.19555189302378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5.6843418860808015E-14</v>
      </c>
      <c r="EK79" s="18">
        <f>EJ79*VLOOKUP('Données projet'!$B$15,Paramètres!$A$1:$I$89,3,0)*VLOOKUP('Données projet'!$B$15,Paramètres!$A$1:$I$89,5,0)</f>
        <v>5.9412741393316544E-14</v>
      </c>
      <c r="EL79" s="14">
        <f t="shared" si="99"/>
        <v>9.483138037075782E-13</v>
      </c>
      <c r="EM79" s="22">
        <f t="shared" si="73"/>
        <v>1.7551237327173916E-12</v>
      </c>
      <c r="EN79" s="62">
        <f t="shared" si="74"/>
        <v>256.48283492555964</v>
      </c>
      <c r="EO79" s="62">
        <f ca="1">AVERAGE(OFFSET($EN$3,0,0,'Données projet'!$E$15+1,1))-AVERAGE(OFFSET($H$3,0,0,'Données projet'!$E$15+1,1))</f>
        <v>418.23737352070503</v>
      </c>
      <c r="EP79" s="62">
        <f t="shared" si="100"/>
        <v>496.10742685332968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9</v>
      </c>
      <c r="FE79" s="13">
        <f>IF('Données projet'!$A$218&gt;35,FE78+FD79-FM78,IF(A79&lt;'Données projet'!$A$218,$FB$205^A79,IF(A79='Données projet'!$A$218,'Données projet'!$B$218,FE78+FD79-FM78)))</f>
        <v>424.00000000000011</v>
      </c>
      <c r="FF79" s="18">
        <f>FE79*VLOOKUP('Données projet'!$B$16,Paramètres!$A$1:$I$89,3,0)*VLOOKUP('Données projet'!$B$16,Paramètres!$A$1:$I$89,5,0)</f>
        <v>253.55200000000008</v>
      </c>
      <c r="FG79" s="14">
        <f t="shared" si="101"/>
        <v>61.345922542613536</v>
      </c>
      <c r="FH79" s="22">
        <f t="shared" si="76"/>
        <v>548.447215095052</v>
      </c>
      <c r="FI79" s="62">
        <f t="shared" si="77"/>
        <v>804.93005002060988</v>
      </c>
      <c r="FJ79" s="62">
        <f ca="1">AVERAGE(OFFSET($FI$3,0,0,'Données projet'!$E$16+1,1))-AVERAGE(OFFSET($H$3,0,0,'Données projet'!$E$16+1,1))</f>
        <v>341.70983624543067</v>
      </c>
      <c r="FK79" s="62">
        <f t="shared" si="102"/>
        <v>250.82562837973805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1.4773256604082713E-6</v>
      </c>
      <c r="FT79" s="24">
        <f t="shared" si="78"/>
        <v>1.4773256604082713E-6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11</v>
      </c>
      <c r="FZ79" s="13">
        <f>IF('Données projet'!$A$244&gt;35,FZ78+FY79-GH78,IF(A79&lt;'Données projet'!$A$244,$FW$205^A79,IF(A79='Données projet'!$A$244,'Données projet'!$B$244,FZ78+FY79-GH78)))</f>
        <v>320.99999999999972</v>
      </c>
      <c r="GA79" s="18">
        <f>FZ79*VLOOKUP('Données projet'!$B$17,Paramètres!$A$1:$I$89,3,0)*VLOOKUP('Données projet'!$B$17,Paramètres!$A$1:$I$89,5,0)</f>
        <v>150.22799999999987</v>
      </c>
      <c r="GB79" s="14">
        <f t="shared" si="103"/>
        <v>38.630394857933631</v>
      </c>
      <c r="GC79" s="22">
        <f t="shared" si="79"/>
        <v>328.9283710442341</v>
      </c>
      <c r="GD79" s="62">
        <f t="shared" si="80"/>
        <v>585.41120596979204</v>
      </c>
      <c r="GE79" s="62">
        <f ca="1">AVERAGE(OFFSET($GD$3,0,0,'Données projet'!$E$17+1,1))-AVERAGE(OFFSET($H$3,0,0,'Données projet'!$E$17+1,1))</f>
        <v>368.69628434154333</v>
      </c>
      <c r="GF79" s="62">
        <f t="shared" si="104"/>
        <v>202.28197295839524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3.6</v>
      </c>
      <c r="GU79" s="13">
        <f>IF('Données projet'!$A$270&gt;35,GU78+GT79-HC78,IF(A79&lt;'Données projet'!$A$270,$GR$205^A79,IF(A79='Données projet'!$A$270,'Données projet'!$B$270,GU78+GT79-HC78)))</f>
        <v>218.59999999999994</v>
      </c>
      <c r="GV79" s="18">
        <f>GU79*VLOOKUP('Données projet'!$B$18,Paramètres!$A$1:$I$89,3,0)*VLOOKUP('Données projet'!$B$18,Paramètres!$A$1:$I$89,5,0)</f>
        <v>190.96895999999998</v>
      </c>
      <c r="GW79" s="14">
        <f t="shared" si="105"/>
        <v>47.754112686935557</v>
      </c>
      <c r="GX79" s="22">
        <f t="shared" si="82"/>
        <v>415.77601826307938</v>
      </c>
      <c r="GY79" s="62">
        <f t="shared" si="83"/>
        <v>672.2588531886372</v>
      </c>
      <c r="GZ79" s="62">
        <f ca="1">AVERAGE(OFFSET($GY$3,0,0,'Données projet'!$E$18+1,1))-AVERAGE(OFFSET($H$3,0,0,'Données projet'!$E$18+1,1))</f>
        <v>378.51861272969165</v>
      </c>
      <c r="HA79" s="62">
        <f t="shared" si="106"/>
        <v>387.42368617035459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0</v>
      </c>
      <c r="HH79" s="23">
        <f>EXP(-LN(2)/25)*HH78+(1-EXP(-LN(2)/25))/(LN(2)/25)*Calculateur!HC79*Calculateur!HE79*VLOOKUP('Données projet'!$B$18,Paramètres!$A$1:$I$89,3,0)*0.475*44/12</f>
        <v>0</v>
      </c>
      <c r="HI79" s="23">
        <f>EXP(-LN(2)/2)*HI78+(1-EXP(-LN(2)/2))/(LN(2)/2)*HC79*HF79*VLOOKUP('Données projet'!$B$18,Paramètres!$A$1:$I$89,3,0)*0.475*44/12</f>
        <v>0</v>
      </c>
      <c r="HJ79" s="24">
        <f t="shared" si="84"/>
        <v>0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135.66666666666666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438.00000000000023</v>
      </c>
      <c r="O80" s="14">
        <f>N80*VLOOKUP('Données projet'!$B$9,Paramètres!$A$1:$I$89,3,0)*VLOOKUP('Données projet'!$B$9,Paramètres!$A$1:$I$89,5,0)</f>
        <v>261.92400000000015</v>
      </c>
      <c r="P80" s="14">
        <f t="shared" si="87"/>
        <v>63.132320859995701</v>
      </c>
      <c r="Q80" s="22">
        <f t="shared" si="54"/>
        <v>566.13975883115938</v>
      </c>
      <c r="R80" s="62">
        <f t="shared" si="55"/>
        <v>823.26186751872001</v>
      </c>
      <c r="S80" s="62">
        <f ca="1">AVERAGE(OFFSET($R$3,0,0,'Données projet'!$E$9+1,1))-AVERAGE(OFFSET($H$3,0,0,'Données projet'!$E$9+1,1))</f>
        <v>437.94016462147999</v>
      </c>
      <c r="T80" s="62">
        <f t="shared" si="88"/>
        <v>281.88254003380348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6.9022837945380998E-7</v>
      </c>
      <c r="AC80" s="24">
        <f t="shared" si="57"/>
        <v>6.9022837945380998E-7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244.00000000000011</v>
      </c>
      <c r="AJ80" s="14">
        <f>AI80*VLOOKUP('Données projet'!$B$10,Paramètres!$A$1:$I$89,3,0)*VLOOKUP('Données projet'!$B$10,Paramètres!$A$1:$I$89,5,0)</f>
        <v>220.77120000000011</v>
      </c>
      <c r="AK80" s="14">
        <f t="shared" si="89"/>
        <v>54.28246807807983</v>
      </c>
      <c r="AL80" s="22">
        <f t="shared" si="58"/>
        <v>479.05180523598909</v>
      </c>
      <c r="AM80" s="62">
        <f t="shared" si="59"/>
        <v>736.17391392354966</v>
      </c>
      <c r="AN80" s="62">
        <f ca="1">AVERAGE(OFFSET($AM$3,0,0,'Données projet'!$E$10+1,1))-AVERAGE(OFFSET($H$3,0,0,'Données projet'!$E$10+1,1))</f>
        <v>434.56763649859136</v>
      </c>
      <c r="AO80" s="62">
        <f t="shared" si="90"/>
        <v>271.90302066766264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1.1368683772161603E-13</v>
      </c>
      <c r="BE80" s="14">
        <f>BD80*VLOOKUP('Données projet'!$B$11,Paramètres!$A$1:$I$89,3,0)*VLOOKUP('Données projet'!$B$11,Paramètres!$A$1:$I$89,5,0)</f>
        <v>6.7984728957526396E-14</v>
      </c>
      <c r="BF80" s="14">
        <f t="shared" si="91"/>
        <v>1.0682447123141398E-12</v>
      </c>
      <c r="BG80" s="22">
        <f t="shared" si="61"/>
        <v>1.978932943548152E-12</v>
      </c>
      <c r="BH80" s="62">
        <f t="shared" si="62"/>
        <v>257.12210868756256</v>
      </c>
      <c r="BI80" s="62">
        <f ca="1">AVERAGE(OFFSET($BH$3,0,0,'Données projet'!$E$11+1,1))-AVERAGE(OFFSET($H$3,0,0,'Données projet'!$E$11+1,1))</f>
        <v>199.65420589615553</v>
      </c>
      <c r="BJ80" s="62">
        <f t="shared" si="92"/>
        <v>477.85821088970999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21.020991404953048</v>
      </c>
      <c r="BQ80" s="23">
        <f>EXP(-LN(2)/25)*BQ79+(1-EXP(-LN(2)/25))/(LN(2)/25)*Calculateur!BL80*Calculateur!BN80*VLOOKUP('Données projet'!$B$11,Paramètres!$A$1:$I$89,3,0)*0.475*44/12</f>
        <v>11.940177279952412</v>
      </c>
      <c r="BR80" s="23">
        <f>EXP(-LN(2)/2)*BR79+(1-EXP(-LN(2)/2))/(LN(2)/2)*BL80*BO80*VLOOKUP('Données projet'!$B$11,Paramètres!$A$1:$I$89,3,0)*0.475*44/12</f>
        <v>3.6724559341022665E-6</v>
      </c>
      <c r="BS80" s="24">
        <f t="shared" si="63"/>
        <v>32.961172357361392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</v>
      </c>
      <c r="BY80" s="13">
        <f>IF('Données projet'!$A$114&gt;35,BY79+BX80-CG79,IF(A80&lt;'Données projet'!$A$114,$BV$205^A80,IF(A80='Données projet'!$A$114,'Données projet'!$B$114,BY79+BX80-CG79)))</f>
        <v>438.00000000000023</v>
      </c>
      <c r="BZ80" s="14">
        <f>BY80*VLOOKUP('Données projet'!$B$12,Paramètres!$A$1:$I$89,3,0)*VLOOKUP('Données projet'!$B$12,Paramètres!$A$1:$I$89,5,0)</f>
        <v>261.92400000000015</v>
      </c>
      <c r="CA80" s="14">
        <f t="shared" si="93"/>
        <v>63.132320859995701</v>
      </c>
      <c r="CB80" s="22">
        <f t="shared" si="64"/>
        <v>566.13975883115938</v>
      </c>
      <c r="CC80" s="62">
        <f t="shared" si="65"/>
        <v>823.26186751872001</v>
      </c>
      <c r="CD80" s="62">
        <f ca="1">AVERAGE(OFFSET($CC$3,0,0,'Données projet'!$E$12+1,1))-AVERAGE(OFFSET($H$3,0,0,'Données projet'!$E$12+1,1))</f>
        <v>437.94016462147999</v>
      </c>
      <c r="CE80" s="62">
        <f t="shared" si="94"/>
        <v>281.88254003380348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6.9022837945380998E-7</v>
      </c>
      <c r="CN80" s="24">
        <f t="shared" si="66"/>
        <v>6.9022837945380998E-7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6</v>
      </c>
      <c r="CT80" s="13">
        <f>IF('Données projet'!$A$140&gt;35,CT79+CS80-DB79,IF(A80&lt;'Données projet'!$A$140,$CQ$205^A80,IF(A80='Données projet'!$A$140,'Données projet'!$B$140,CT79+CS80-DB79)))</f>
        <v>244.00000000000011</v>
      </c>
      <c r="CU80" s="18">
        <f>CT80*VLOOKUP('Données projet'!$B$13,Paramètres!$A$1:$I$89,3,0)*VLOOKUP('Données projet'!$B$13,Paramètres!$A$1:$I$89,5,0)</f>
        <v>277.86720000000014</v>
      </c>
      <c r="CV80" s="14">
        <f t="shared" si="95"/>
        <v>66.516086548657384</v>
      </c>
      <c r="CW80" s="22">
        <f t="shared" si="67"/>
        <v>599.80089073891179</v>
      </c>
      <c r="CX80" s="62">
        <f t="shared" si="68"/>
        <v>856.92299942647242</v>
      </c>
      <c r="CY80" s="62">
        <f ca="1">AVERAGE(OFFSET($CX$3,0,0,'Données projet'!$E$13+1,1))-AVERAGE(OFFSET($H$3,0,0,'Données projet'!$E$13+1,1))</f>
        <v>520.23742527061836</v>
      </c>
      <c r="CZ80" s="62">
        <f t="shared" si="96"/>
        <v>321.35925479331274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7.2</v>
      </c>
      <c r="DO80" s="13">
        <f>IF('Données projet'!$A$166&gt;35,DO79+DN80-DW79,IF(A80&lt;'Données projet'!$A$166,$DL$205^A80,IF(A80='Données projet'!$A$166,'Données projet'!$B$166,DO79+DN80-DW79)))</f>
        <v>298.40000000000003</v>
      </c>
      <c r="DP80" s="18">
        <f>DO80*VLOOKUP('Données projet'!$B$14,Paramètres!$A$1:$I$89,3,0)*VLOOKUP('Données projet'!$B$14,Paramètres!$A$1:$I$89,5,0)</f>
        <v>302.57760000000007</v>
      </c>
      <c r="DQ80" s="14">
        <f t="shared" si="97"/>
        <v>71.716558091076294</v>
      </c>
      <c r="DR80" s="22">
        <f t="shared" si="70"/>
        <v>651.89565867529132</v>
      </c>
      <c r="DS80" s="62">
        <f t="shared" si="71"/>
        <v>909.01776736285183</v>
      </c>
      <c r="DT80" s="62">
        <f ca="1">AVERAGE(OFFSET($DS$3,0,0,'Données projet'!$E$14+1,1))-AVERAGE(OFFSET($H$3,0,0,'Données projet'!$E$14+1,1))</f>
        <v>547.89540791313675</v>
      </c>
      <c r="DU80" s="62">
        <f t="shared" si="98"/>
        <v>345.19555189302378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5.6843418860808015E-14</v>
      </c>
      <c r="EK80" s="18">
        <f>EJ80*VLOOKUP('Données projet'!$B$15,Paramètres!$A$1:$I$89,3,0)*VLOOKUP('Données projet'!$B$15,Paramètres!$A$1:$I$89,5,0)</f>
        <v>5.9412741393316544E-14</v>
      </c>
      <c r="EL80" s="14">
        <f t="shared" si="99"/>
        <v>9.483138037075782E-13</v>
      </c>
      <c r="EM80" s="22">
        <f t="shared" si="73"/>
        <v>1.7551237327173916E-12</v>
      </c>
      <c r="EN80" s="62">
        <f t="shared" si="74"/>
        <v>257.12210868756233</v>
      </c>
      <c r="EO80" s="62">
        <f ca="1">AVERAGE(OFFSET($EN$3,0,0,'Données projet'!$E$15+1,1))-AVERAGE(OFFSET($H$3,0,0,'Données projet'!$E$15+1,1))</f>
        <v>418.23737352070503</v>
      </c>
      <c r="EP80" s="62">
        <f t="shared" si="100"/>
        <v>496.10742685332968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9</v>
      </c>
      <c r="FE80" s="13">
        <f>IF('Données projet'!$A$218&gt;35,FE79+FD80-FM79,IF(A80&lt;'Données projet'!$A$218,$FB$205^A80,IF(A80='Données projet'!$A$218,'Données projet'!$B$218,FE79+FD80-FM79)))</f>
        <v>433.00000000000011</v>
      </c>
      <c r="FF80" s="18">
        <f>FE80*VLOOKUP('Données projet'!$B$16,Paramètres!$A$1:$I$89,3,0)*VLOOKUP('Données projet'!$B$16,Paramètres!$A$1:$I$89,5,0)</f>
        <v>258.93400000000008</v>
      </c>
      <c r="FG80" s="14">
        <f t="shared" si="101"/>
        <v>62.495095530116075</v>
      </c>
      <c r="FH80" s="22">
        <f t="shared" si="76"/>
        <v>559.82234138161891</v>
      </c>
      <c r="FI80" s="62">
        <f t="shared" si="77"/>
        <v>816.94445006917954</v>
      </c>
      <c r="FJ80" s="62">
        <f ca="1">AVERAGE(OFFSET($FI$3,0,0,'Données projet'!$E$16+1,1))-AVERAGE(OFFSET($H$3,0,0,'Données projet'!$E$16+1,1))</f>
        <v>341.70983624543067</v>
      </c>
      <c r="FK80" s="62">
        <f t="shared" si="102"/>
        <v>250.82562837973805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1.0446269924955833E-6</v>
      </c>
      <c r="FT80" s="24">
        <f t="shared" si="78"/>
        <v>1.0446269924955833E-6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11</v>
      </c>
      <c r="FZ80" s="13">
        <f>IF('Données projet'!$A$244&gt;35,FZ79+FY80-GH79,IF(A80&lt;'Données projet'!$A$244,$FW$205^A80,IF(A80='Données projet'!$A$244,'Données projet'!$B$244,FZ79+FY80-GH79)))</f>
        <v>331.99999999999972</v>
      </c>
      <c r="GA80" s="18">
        <f>FZ80*VLOOKUP('Données projet'!$B$17,Paramètres!$A$1:$I$89,3,0)*VLOOKUP('Données projet'!$B$17,Paramètres!$A$1:$I$89,5,0)</f>
        <v>155.37599999999986</v>
      </c>
      <c r="GB80" s="14">
        <f t="shared" si="103"/>
        <v>39.797785908323384</v>
      </c>
      <c r="GC80" s="22">
        <f t="shared" si="79"/>
        <v>339.92767712366299</v>
      </c>
      <c r="GD80" s="62">
        <f t="shared" si="80"/>
        <v>597.0497858112235</v>
      </c>
      <c r="GE80" s="62">
        <f ca="1">AVERAGE(OFFSET($GD$3,0,0,'Données projet'!$E$17+1,1))-AVERAGE(OFFSET($H$3,0,0,'Données projet'!$E$17+1,1))</f>
        <v>368.69628434154333</v>
      </c>
      <c r="GF80" s="62">
        <f t="shared" si="104"/>
        <v>202.28197295839524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3.6</v>
      </c>
      <c r="GU80" s="13">
        <f>IF('Données projet'!$A$270&gt;35,GU79+GT80-HC79,IF(A80&lt;'Données projet'!$A$270,$GR$205^A80,IF(A80='Données projet'!$A$270,'Données projet'!$B$270,GU79+GT80-HC79)))</f>
        <v>222.19999999999993</v>
      </c>
      <c r="GV80" s="18">
        <f>GU80*VLOOKUP('Données projet'!$B$18,Paramètres!$A$1:$I$89,3,0)*VLOOKUP('Données projet'!$B$18,Paramètres!$A$1:$I$89,5,0)</f>
        <v>194.11391999999998</v>
      </c>
      <c r="GW80" s="14">
        <f t="shared" si="105"/>
        <v>48.44834513242396</v>
      </c>
      <c r="GX80" s="22">
        <f t="shared" si="82"/>
        <v>422.46261177230502</v>
      </c>
      <c r="GY80" s="62">
        <f t="shared" si="83"/>
        <v>679.58472045986559</v>
      </c>
      <c r="GZ80" s="62">
        <f ca="1">AVERAGE(OFFSET($GY$3,0,0,'Données projet'!$E$18+1,1))-AVERAGE(OFFSET($H$3,0,0,'Données projet'!$E$18+1,1))</f>
        <v>378.51861272969165</v>
      </c>
      <c r="HA80" s="62">
        <f t="shared" si="106"/>
        <v>387.42368617035459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0</v>
      </c>
      <c r="HH80" s="23">
        <f>EXP(-LN(2)/25)*HH79+(1-EXP(-LN(2)/25))/(LN(2)/25)*Calculateur!HC80*Calculateur!HE80*VLOOKUP('Données projet'!$B$18,Paramètres!$A$1:$I$89,3,0)*0.475*44/12</f>
        <v>0</v>
      </c>
      <c r="HI80" s="23">
        <f>EXP(-LN(2)/2)*HI79+(1-EXP(-LN(2)/2))/(LN(2)/2)*HC80*HF80*VLOOKUP('Données projet'!$B$18,Paramètres!$A$1:$I$89,3,0)*0.475*44/12</f>
        <v>0</v>
      </c>
      <c r="HJ80" s="24">
        <f t="shared" si="84"/>
        <v>0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135.66666666666666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444.00000000000023</v>
      </c>
      <c r="O81" s="14">
        <f>N81*VLOOKUP('Données projet'!$B$9,Paramètres!$A$1:$I$89,3,0)*VLOOKUP('Données projet'!$B$9,Paramètres!$A$1:$I$89,5,0)</f>
        <v>265.51200000000017</v>
      </c>
      <c r="P81" s="14">
        <f t="shared" si="87"/>
        <v>63.895875238848916</v>
      </c>
      <c r="Q81" s="22">
        <f t="shared" si="54"/>
        <v>573.71871604099545</v>
      </c>
      <c r="R81" s="62">
        <f t="shared" si="55"/>
        <v>831.46900851998998</v>
      </c>
      <c r="S81" s="62">
        <f ca="1">AVERAGE(OFFSET($R$3,0,0,'Données projet'!$E$9+1,1))-AVERAGE(OFFSET($H$3,0,0,'Données projet'!$E$9+1,1))</f>
        <v>437.94016462147999</v>
      </c>
      <c r="T81" s="62">
        <f t="shared" si="88"/>
        <v>281.88254003380348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4.880651676791905E-7</v>
      </c>
      <c r="AC81" s="24">
        <f t="shared" si="57"/>
        <v>4.880651676791905E-7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250.00000000000011</v>
      </c>
      <c r="AJ81" s="14">
        <f>AI81*VLOOKUP('Données projet'!$B$10,Paramètres!$A$1:$I$89,3,0)*VLOOKUP('Données projet'!$B$10,Paramètres!$A$1:$I$89,5,0)</f>
        <v>226.2000000000001</v>
      </c>
      <c r="AK81" s="14">
        <f t="shared" si="89"/>
        <v>55.460237717698156</v>
      </c>
      <c r="AL81" s="22">
        <f t="shared" si="58"/>
        <v>490.55824735832448</v>
      </c>
      <c r="AM81" s="62">
        <f t="shared" si="59"/>
        <v>748.3085398373189</v>
      </c>
      <c r="AN81" s="62">
        <f ca="1">AVERAGE(OFFSET($AM$3,0,0,'Données projet'!$E$10+1,1))-AVERAGE(OFFSET($H$3,0,0,'Données projet'!$E$10+1,1))</f>
        <v>434.56763649859136</v>
      </c>
      <c r="AO81" s="62">
        <f t="shared" si="90"/>
        <v>271.90302066766264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1.1368683772161603E-13</v>
      </c>
      <c r="BE81" s="14">
        <f>BD81*VLOOKUP('Données projet'!$B$11,Paramètres!$A$1:$I$89,3,0)*VLOOKUP('Données projet'!$B$11,Paramètres!$A$1:$I$89,5,0)</f>
        <v>6.7984728957526396E-14</v>
      </c>
      <c r="BF81" s="14">
        <f t="shared" si="91"/>
        <v>1.0682447123141398E-12</v>
      </c>
      <c r="BG81" s="22">
        <f t="shared" si="61"/>
        <v>1.978932943548152E-12</v>
      </c>
      <c r="BH81" s="62">
        <f t="shared" si="62"/>
        <v>257.75029247899647</v>
      </c>
      <c r="BI81" s="62">
        <f ca="1">AVERAGE(OFFSET($BH$3,0,0,'Données projet'!$E$11+1,1))-AVERAGE(OFFSET($H$3,0,0,'Données projet'!$E$11+1,1))</f>
        <v>199.65420589615553</v>
      </c>
      <c r="BJ81" s="62">
        <f t="shared" si="92"/>
        <v>477.85821088970999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20.608782585040654</v>
      </c>
      <c r="BQ81" s="23">
        <f>EXP(-LN(2)/25)*BQ80+(1-EXP(-LN(2)/25))/(LN(2)/25)*Calculateur!BL81*Calculateur!BN81*VLOOKUP('Données projet'!$B$11,Paramètres!$A$1:$I$89,3,0)*0.475*44/12</f>
        <v>11.61367250432548</v>
      </c>
      <c r="BR81" s="23">
        <f>EXP(-LN(2)/2)*BR80+(1-EXP(-LN(2)/2))/(LN(2)/2)*BL81*BO81*VLOOKUP('Données projet'!$B$11,Paramètres!$A$1:$I$89,3,0)*0.475*44/12</f>
        <v>2.5968184946124898E-6</v>
      </c>
      <c r="BS81" s="24">
        <f t="shared" si="63"/>
        <v>32.222457686184633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</v>
      </c>
      <c r="BY81" s="13">
        <f>IF('Données projet'!$A$114&gt;35,BY80+BX81-CG80,IF(A81&lt;'Données projet'!$A$114,$BV$205^A81,IF(A81='Données projet'!$A$114,'Données projet'!$B$114,BY80+BX81-CG80)))</f>
        <v>444.00000000000023</v>
      </c>
      <c r="BZ81" s="14">
        <f>BY81*VLOOKUP('Données projet'!$B$12,Paramètres!$A$1:$I$89,3,0)*VLOOKUP('Données projet'!$B$12,Paramètres!$A$1:$I$89,5,0)</f>
        <v>265.51200000000017</v>
      </c>
      <c r="CA81" s="14">
        <f t="shared" si="93"/>
        <v>63.895875238848916</v>
      </c>
      <c r="CB81" s="22">
        <f t="shared" si="64"/>
        <v>573.71871604099545</v>
      </c>
      <c r="CC81" s="62">
        <f t="shared" si="65"/>
        <v>831.46900851998998</v>
      </c>
      <c r="CD81" s="62">
        <f ca="1">AVERAGE(OFFSET($CC$3,0,0,'Données projet'!$E$12+1,1))-AVERAGE(OFFSET($H$3,0,0,'Données projet'!$E$12+1,1))</f>
        <v>437.94016462147999</v>
      </c>
      <c r="CE81" s="62">
        <f t="shared" si="94"/>
        <v>281.88254003380348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4.880651676791905E-7</v>
      </c>
      <c r="CN81" s="24">
        <f t="shared" si="66"/>
        <v>4.880651676791905E-7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6</v>
      </c>
      <c r="CT81" s="13">
        <f>IF('Données projet'!$A$140&gt;35,CT80+CS81-DB80,IF(A81&lt;'Données projet'!$A$140,$CQ$205^A81,IF(A81='Données projet'!$A$140,'Données projet'!$B$140,CT80+CS81-DB80)))</f>
        <v>250.00000000000011</v>
      </c>
      <c r="CU81" s="18">
        <f>CT81*VLOOKUP('Données projet'!$B$13,Paramètres!$A$1:$I$89,3,0)*VLOOKUP('Données projet'!$B$13,Paramètres!$A$1:$I$89,5,0)</f>
        <v>284.70000000000016</v>
      </c>
      <c r="CV81" s="14">
        <f t="shared" si="95"/>
        <v>67.95928966850353</v>
      </c>
      <c r="CW81" s="22">
        <f t="shared" si="67"/>
        <v>614.21492950597724</v>
      </c>
      <c r="CX81" s="62">
        <f t="shared" si="68"/>
        <v>871.96522198497178</v>
      </c>
      <c r="CY81" s="62">
        <f ca="1">AVERAGE(OFFSET($CX$3,0,0,'Données projet'!$E$13+1,1))-AVERAGE(OFFSET($H$3,0,0,'Données projet'!$E$13+1,1))</f>
        <v>520.23742527061836</v>
      </c>
      <c r="CZ81" s="62">
        <f t="shared" si="96"/>
        <v>321.35925479331274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7.2</v>
      </c>
      <c r="DO81" s="13">
        <f>IF('Données projet'!$A$166&gt;35,DO80+DN81-DW80,IF(A81&lt;'Données projet'!$A$166,$DL$205^A81,IF(A81='Données projet'!$A$166,'Données projet'!$B$166,DO80+DN81-DW80)))</f>
        <v>305.60000000000002</v>
      </c>
      <c r="DP81" s="18">
        <f>DO81*VLOOKUP('Données projet'!$B$14,Paramètres!$A$1:$I$89,3,0)*VLOOKUP('Données projet'!$B$14,Paramètres!$A$1:$I$89,5,0)</f>
        <v>309.87840000000006</v>
      </c>
      <c r="DQ81" s="14">
        <f t="shared" si="97"/>
        <v>73.243434672131556</v>
      </c>
      <c r="DR81" s="22">
        <f t="shared" si="70"/>
        <v>667.27052872062916</v>
      </c>
      <c r="DS81" s="62">
        <f t="shared" si="71"/>
        <v>925.0208211996237</v>
      </c>
      <c r="DT81" s="62">
        <f ca="1">AVERAGE(OFFSET($DS$3,0,0,'Données projet'!$E$14+1,1))-AVERAGE(OFFSET($H$3,0,0,'Données projet'!$E$14+1,1))</f>
        <v>547.89540791313675</v>
      </c>
      <c r="DU81" s="62">
        <f t="shared" si="98"/>
        <v>345.19555189302378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5.6843418860808015E-14</v>
      </c>
      <c r="EK81" s="18">
        <f>EJ81*VLOOKUP('Données projet'!$B$15,Paramètres!$A$1:$I$89,3,0)*VLOOKUP('Données projet'!$B$15,Paramètres!$A$1:$I$89,5,0)</f>
        <v>5.9412741393316544E-14</v>
      </c>
      <c r="EL81" s="14">
        <f t="shared" si="99"/>
        <v>9.483138037075782E-13</v>
      </c>
      <c r="EM81" s="22">
        <f t="shared" si="73"/>
        <v>1.7551237327173916E-12</v>
      </c>
      <c r="EN81" s="62">
        <f t="shared" si="74"/>
        <v>257.75029247899624</v>
      </c>
      <c r="EO81" s="62">
        <f ca="1">AVERAGE(OFFSET($EN$3,0,0,'Données projet'!$E$15+1,1))-AVERAGE(OFFSET($H$3,0,0,'Données projet'!$E$15+1,1))</f>
        <v>418.23737352070503</v>
      </c>
      <c r="EP81" s="62">
        <f t="shared" si="100"/>
        <v>496.10742685332968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9</v>
      </c>
      <c r="FE81" s="13">
        <f>IF('Données projet'!$A$218&gt;35,FE80+FD81-FM80,IF(A81&lt;'Données projet'!$A$218,$FB$205^A81,IF(A81='Données projet'!$A$218,'Données projet'!$B$218,FE80+FD81-FM80)))</f>
        <v>442.00000000000011</v>
      </c>
      <c r="FF81" s="18">
        <f>FE81*VLOOKUP('Données projet'!$B$16,Paramètres!$A$1:$I$89,3,0)*VLOOKUP('Données projet'!$B$16,Paramètres!$A$1:$I$89,5,0)</f>
        <v>264.31600000000009</v>
      </c>
      <c r="FG81" s="14">
        <f t="shared" si="101"/>
        <v>63.641491358279801</v>
      </c>
      <c r="FH81" s="22">
        <f t="shared" si="76"/>
        <v>571.19263078233746</v>
      </c>
      <c r="FI81" s="62">
        <f t="shared" si="77"/>
        <v>828.942923261332</v>
      </c>
      <c r="FJ81" s="62">
        <f ca="1">AVERAGE(OFFSET($FI$3,0,0,'Données projet'!$E$16+1,1))-AVERAGE(OFFSET($H$3,0,0,'Données projet'!$E$16+1,1))</f>
        <v>341.70983624543067</v>
      </c>
      <c r="FK81" s="62">
        <f t="shared" si="102"/>
        <v>250.82562837973805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7.3866283020413565E-7</v>
      </c>
      <c r="FT81" s="24">
        <f t="shared" si="78"/>
        <v>7.3866283020413565E-7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11</v>
      </c>
      <c r="FZ81" s="13">
        <f>IF('Données projet'!$A$244&gt;35,FZ80+FY81-GH80,IF(A81&lt;'Données projet'!$A$244,$FW$205^A81,IF(A81='Données projet'!$A$244,'Données projet'!$B$244,FZ80+FY81-GH80)))</f>
        <v>342.99999999999972</v>
      </c>
      <c r="GA81" s="18">
        <f>FZ81*VLOOKUP('Données projet'!$B$17,Paramètres!$A$1:$I$89,3,0)*VLOOKUP('Données projet'!$B$17,Paramètres!$A$1:$I$89,5,0)</f>
        <v>160.52399999999986</v>
      </c>
      <c r="GB81" s="14">
        <f t="shared" si="103"/>
        <v>40.960682569221547</v>
      </c>
      <c r="GC81" s="22">
        <f t="shared" si="79"/>
        <v>350.91915547472723</v>
      </c>
      <c r="GD81" s="62">
        <f t="shared" si="80"/>
        <v>608.66944795372171</v>
      </c>
      <c r="GE81" s="62">
        <f ca="1">AVERAGE(OFFSET($GD$3,0,0,'Données projet'!$E$17+1,1))-AVERAGE(OFFSET($H$3,0,0,'Données projet'!$E$17+1,1))</f>
        <v>368.69628434154333</v>
      </c>
      <c r="GF81" s="62">
        <f t="shared" si="104"/>
        <v>202.28197295839524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3.6</v>
      </c>
      <c r="GU81" s="13">
        <f>IF('Données projet'!$A$270&gt;35,GU80+GT81-HC80,IF(A81&lt;'Données projet'!$A$270,$GR$205^A81,IF(A81='Données projet'!$A$270,'Données projet'!$B$270,GU80+GT81-HC80)))</f>
        <v>225.79999999999993</v>
      </c>
      <c r="GV81" s="18">
        <f>GU81*VLOOKUP('Données projet'!$B$18,Paramètres!$A$1:$I$89,3,0)*VLOOKUP('Données projet'!$B$18,Paramètres!$A$1:$I$89,5,0)</f>
        <v>197.25887999999995</v>
      </c>
      <c r="GW81" s="14">
        <f t="shared" si="105"/>
        <v>49.141269519991567</v>
      </c>
      <c r="GX81" s="22">
        <f t="shared" si="82"/>
        <v>429.14692708065189</v>
      </c>
      <c r="GY81" s="62">
        <f t="shared" si="83"/>
        <v>686.89721955964637</v>
      </c>
      <c r="GZ81" s="62">
        <f ca="1">AVERAGE(OFFSET($GY$3,0,0,'Données projet'!$E$18+1,1))-AVERAGE(OFFSET($H$3,0,0,'Données projet'!$E$18+1,1))</f>
        <v>378.51861272969165</v>
      </c>
      <c r="HA81" s="62">
        <f t="shared" si="106"/>
        <v>387.42368617035459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0</v>
      </c>
      <c r="HH81" s="23">
        <f>EXP(-LN(2)/25)*HH80+(1-EXP(-LN(2)/25))/(LN(2)/25)*Calculateur!HC81*Calculateur!HE81*VLOOKUP('Données projet'!$B$18,Paramètres!$A$1:$I$89,3,0)*0.475*44/12</f>
        <v>0</v>
      </c>
      <c r="HI81" s="23">
        <f>EXP(-LN(2)/2)*HI80+(1-EXP(-LN(2)/2))/(LN(2)/2)*HC81*HF81*VLOOKUP('Données projet'!$B$18,Paramètres!$A$1:$I$89,3,0)*0.475*44/12</f>
        <v>0</v>
      </c>
      <c r="HJ81" s="24">
        <f t="shared" si="84"/>
        <v>0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135.66666666666666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450.00000000000023</v>
      </c>
      <c r="O82" s="14">
        <f>N82*VLOOKUP('Données projet'!$B$9,Paramètres!$A$1:$I$89,3,0)*VLOOKUP('Données projet'!$B$9,Paramètres!$A$1:$I$89,5,0)</f>
        <v>269.10000000000014</v>
      </c>
      <c r="P82" s="14">
        <f t="shared" si="87"/>
        <v>64.658229472791049</v>
      </c>
      <c r="Q82" s="22">
        <f t="shared" si="54"/>
        <v>581.29558299844462</v>
      </c>
      <c r="R82" s="62">
        <f t="shared" si="55"/>
        <v>839.66316168450021</v>
      </c>
      <c r="S82" s="62">
        <f ca="1">AVERAGE(OFFSET($R$3,0,0,'Données projet'!$E$9+1,1))-AVERAGE(OFFSET($H$3,0,0,'Données projet'!$E$9+1,1))</f>
        <v>437.94016462147999</v>
      </c>
      <c r="T82" s="62">
        <f t="shared" si="88"/>
        <v>281.88254003380348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3.4511418972690499E-7</v>
      </c>
      <c r="AC82" s="24">
        <f t="shared" si="57"/>
        <v>3.4511418972690499E-7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256.00000000000011</v>
      </c>
      <c r="AJ82" s="14">
        <f>AI82*VLOOKUP('Données projet'!$B$10,Paramètres!$A$1:$I$89,3,0)*VLOOKUP('Données projet'!$B$10,Paramètres!$A$1:$I$89,5,0)</f>
        <v>231.62880000000007</v>
      </c>
      <c r="AK82" s="14">
        <f t="shared" si="89"/>
        <v>56.63472139815827</v>
      </c>
      <c r="AL82" s="22">
        <f t="shared" si="58"/>
        <v>502.05896643512574</v>
      </c>
      <c r="AM82" s="62">
        <f t="shared" si="59"/>
        <v>760.42654512118133</v>
      </c>
      <c r="AN82" s="62">
        <f ca="1">AVERAGE(OFFSET($AM$3,0,0,'Données projet'!$E$10+1,1))-AVERAGE(OFFSET($H$3,0,0,'Données projet'!$E$10+1,1))</f>
        <v>434.56763649859136</v>
      </c>
      <c r="AO82" s="62">
        <f t="shared" si="90"/>
        <v>271.90302066766264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1.1368683772161603E-13</v>
      </c>
      <c r="BE82" s="14">
        <f>BD82*VLOOKUP('Données projet'!$B$11,Paramètres!$A$1:$I$89,3,0)*VLOOKUP('Données projet'!$B$11,Paramètres!$A$1:$I$89,5,0)</f>
        <v>6.7984728957526396E-14</v>
      </c>
      <c r="BF82" s="14">
        <f t="shared" si="91"/>
        <v>1.0682447123141398E-12</v>
      </c>
      <c r="BG82" s="22">
        <f t="shared" si="61"/>
        <v>1.978932943548152E-12</v>
      </c>
      <c r="BH82" s="62">
        <f t="shared" si="62"/>
        <v>258.36757868605764</v>
      </c>
      <c r="BI82" s="62">
        <f ca="1">AVERAGE(OFFSET($BH$3,0,0,'Données projet'!$E$11+1,1))-AVERAGE(OFFSET($H$3,0,0,'Données projet'!$E$11+1,1))</f>
        <v>199.65420589615553</v>
      </c>
      <c r="BJ82" s="62">
        <f t="shared" si="92"/>
        <v>477.85821088970999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20.204656928664189</v>
      </c>
      <c r="BQ82" s="23">
        <f>EXP(-LN(2)/25)*BQ81+(1-EXP(-LN(2)/25))/(LN(2)/25)*Calculateur!BL82*Calculateur!BN82*VLOOKUP('Données projet'!$B$11,Paramètres!$A$1:$I$89,3,0)*0.475*44/12</f>
        <v>11.296096018958206</v>
      </c>
      <c r="BR82" s="23">
        <f>EXP(-LN(2)/2)*BR81+(1-EXP(-LN(2)/2))/(LN(2)/2)*BL82*BO82*VLOOKUP('Données projet'!$B$11,Paramètres!$A$1:$I$89,3,0)*0.475*44/12</f>
        <v>1.8362279670511337E-6</v>
      </c>
      <c r="BS82" s="24">
        <f t="shared" si="63"/>
        <v>31.500754783850361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</v>
      </c>
      <c r="BY82" s="13">
        <f>IF('Données projet'!$A$114&gt;35,BY81+BX82-CG81,IF(A82&lt;'Données projet'!$A$114,$BV$205^A82,IF(A82='Données projet'!$A$114,'Données projet'!$B$114,BY81+BX82-CG81)))</f>
        <v>450.00000000000023</v>
      </c>
      <c r="BZ82" s="14">
        <f>BY82*VLOOKUP('Données projet'!$B$12,Paramètres!$A$1:$I$89,3,0)*VLOOKUP('Données projet'!$B$12,Paramètres!$A$1:$I$89,5,0)</f>
        <v>269.10000000000014</v>
      </c>
      <c r="CA82" s="14">
        <f t="shared" si="93"/>
        <v>64.658229472791049</v>
      </c>
      <c r="CB82" s="22">
        <f t="shared" si="64"/>
        <v>581.29558299844462</v>
      </c>
      <c r="CC82" s="62">
        <f t="shared" si="65"/>
        <v>839.66316168450021</v>
      </c>
      <c r="CD82" s="62">
        <f ca="1">AVERAGE(OFFSET($CC$3,0,0,'Données projet'!$E$12+1,1))-AVERAGE(OFFSET($H$3,0,0,'Données projet'!$E$12+1,1))</f>
        <v>437.94016462147999</v>
      </c>
      <c r="CE82" s="62">
        <f t="shared" si="94"/>
        <v>281.88254003380348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3.4511418972690499E-7</v>
      </c>
      <c r="CN82" s="24">
        <f t="shared" si="66"/>
        <v>3.4511418972690499E-7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6</v>
      </c>
      <c r="CT82" s="13">
        <f>IF('Données projet'!$A$140&gt;35,CT81+CS82-DB81,IF(A82&lt;'Données projet'!$A$140,$CQ$205^A82,IF(A82='Données projet'!$A$140,'Données projet'!$B$140,CT81+CS82-DB81)))</f>
        <v>256.00000000000011</v>
      </c>
      <c r="CU82" s="18">
        <f>CT82*VLOOKUP('Données projet'!$B$13,Paramètres!$A$1:$I$89,3,0)*VLOOKUP('Données projet'!$B$13,Paramètres!$A$1:$I$89,5,0)</f>
        <v>291.53280000000012</v>
      </c>
      <c r="CV82" s="14">
        <f t="shared" si="95"/>
        <v>69.398466273869005</v>
      </c>
      <c r="CW82" s="22">
        <f t="shared" si="67"/>
        <v>628.62195542698873</v>
      </c>
      <c r="CX82" s="62">
        <f t="shared" si="68"/>
        <v>886.98953411304433</v>
      </c>
      <c r="CY82" s="62">
        <f ca="1">AVERAGE(OFFSET($CX$3,0,0,'Données projet'!$E$13+1,1))-AVERAGE(OFFSET($H$3,0,0,'Données projet'!$E$13+1,1))</f>
        <v>520.23742527061836</v>
      </c>
      <c r="CZ82" s="62">
        <f t="shared" si="96"/>
        <v>321.35925479331274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7.2</v>
      </c>
      <c r="DO82" s="13">
        <f>IF('Données projet'!$A$166&gt;35,DO81+DN82-DW81,IF(A82&lt;'Données projet'!$A$166,$DL$205^A82,IF(A82='Données projet'!$A$166,'Données projet'!$B$166,DO81+DN82-DW81)))</f>
        <v>312.8</v>
      </c>
      <c r="DP82" s="18">
        <f>DO82*VLOOKUP('Données projet'!$B$14,Paramètres!$A$1:$I$89,3,0)*VLOOKUP('Données projet'!$B$14,Paramètres!$A$1:$I$89,5,0)</f>
        <v>317.17920000000004</v>
      </c>
      <c r="DQ82" s="14">
        <f t="shared" si="97"/>
        <v>74.766129261581426</v>
      </c>
      <c r="DR82" s="22">
        <f t="shared" si="70"/>
        <v>682.63811513058772</v>
      </c>
      <c r="DS82" s="62">
        <f t="shared" si="71"/>
        <v>941.00569381664332</v>
      </c>
      <c r="DT82" s="62">
        <f ca="1">AVERAGE(OFFSET($DS$3,0,0,'Données projet'!$E$14+1,1))-AVERAGE(OFFSET($H$3,0,0,'Données projet'!$E$14+1,1))</f>
        <v>547.89540791313675</v>
      </c>
      <c r="DU82" s="62">
        <f t="shared" si="98"/>
        <v>345.19555189302378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5.6843418860808015E-14</v>
      </c>
      <c r="EK82" s="18">
        <f>EJ82*VLOOKUP('Données projet'!$B$15,Paramètres!$A$1:$I$89,3,0)*VLOOKUP('Données projet'!$B$15,Paramètres!$A$1:$I$89,5,0)</f>
        <v>5.9412741393316544E-14</v>
      </c>
      <c r="EL82" s="14">
        <f t="shared" si="99"/>
        <v>9.483138037075782E-13</v>
      </c>
      <c r="EM82" s="22">
        <f t="shared" si="73"/>
        <v>1.7551237327173916E-12</v>
      </c>
      <c r="EN82" s="62">
        <f t="shared" si="74"/>
        <v>258.36757868605741</v>
      </c>
      <c r="EO82" s="62">
        <f ca="1">AVERAGE(OFFSET($EN$3,0,0,'Données projet'!$E$15+1,1))-AVERAGE(OFFSET($H$3,0,0,'Données projet'!$E$15+1,1))</f>
        <v>418.23737352070503</v>
      </c>
      <c r="EP82" s="62">
        <f t="shared" si="100"/>
        <v>496.10742685332968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9</v>
      </c>
      <c r="FE82" s="13">
        <f>IF('Données projet'!$A$218&gt;35,FE81+FD82-FM81,IF(A82&lt;'Données projet'!$A$218,$FB$205^A82,IF(A82='Données projet'!$A$218,'Données projet'!$B$218,FE81+FD82-FM81)))</f>
        <v>451.00000000000011</v>
      </c>
      <c r="FF82" s="18">
        <f>FE82*VLOOKUP('Données projet'!$B$16,Paramètres!$A$1:$I$89,3,0)*VLOOKUP('Données projet'!$B$16,Paramètres!$A$1:$I$89,5,0)</f>
        <v>269.69800000000009</v>
      </c>
      <c r="FG82" s="14">
        <f t="shared" si="101"/>
        <v>64.785173091884289</v>
      </c>
      <c r="FH82" s="22">
        <f t="shared" si="76"/>
        <v>582.55819313503196</v>
      </c>
      <c r="FI82" s="62">
        <f t="shared" si="77"/>
        <v>840.92577182108766</v>
      </c>
      <c r="FJ82" s="62">
        <f ca="1">AVERAGE(OFFSET($FI$3,0,0,'Données projet'!$E$16+1,1))-AVERAGE(OFFSET($H$3,0,0,'Données projet'!$E$16+1,1))</f>
        <v>341.70983624543067</v>
      </c>
      <c r="FK82" s="62">
        <f t="shared" si="102"/>
        <v>250.82562837973805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5.2231349624779165E-7</v>
      </c>
      <c r="FT82" s="24">
        <f t="shared" si="78"/>
        <v>5.2231349624779165E-7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11</v>
      </c>
      <c r="FZ82" s="13">
        <f>IF('Données projet'!$A$244&gt;35,FZ81+FY82-GH81,IF(A82&lt;'Données projet'!$A$244,$FW$205^A82,IF(A82='Données projet'!$A$244,'Données projet'!$B$244,FZ81+FY82-GH81)))</f>
        <v>353.99999999999972</v>
      </c>
      <c r="GA82" s="18">
        <f>FZ82*VLOOKUP('Données projet'!$B$17,Paramètres!$A$1:$I$89,3,0)*VLOOKUP('Données projet'!$B$17,Paramètres!$A$1:$I$89,5,0)</f>
        <v>165.67199999999988</v>
      </c>
      <c r="GB82" s="14">
        <f t="shared" si="103"/>
        <v>42.119245508815517</v>
      </c>
      <c r="GC82" s="22">
        <f t="shared" si="79"/>
        <v>361.90308592785345</v>
      </c>
      <c r="GD82" s="62">
        <f t="shared" si="80"/>
        <v>620.27066461390905</v>
      </c>
      <c r="GE82" s="62">
        <f ca="1">AVERAGE(OFFSET($GD$3,0,0,'Données projet'!$E$17+1,1))-AVERAGE(OFFSET($H$3,0,0,'Données projet'!$E$17+1,1))</f>
        <v>368.69628434154333</v>
      </c>
      <c r="GF82" s="62">
        <f t="shared" si="104"/>
        <v>202.28197295839524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3.6</v>
      </c>
      <c r="GU82" s="13">
        <f>IF('Données projet'!$A$270&gt;35,GU81+GT82-HC81,IF(A82&lt;'Données projet'!$A$270,$GR$205^A82,IF(A82='Données projet'!$A$270,'Données projet'!$B$270,GU81+GT82-HC81)))</f>
        <v>229.39999999999992</v>
      </c>
      <c r="GV82" s="18">
        <f>GU82*VLOOKUP('Données projet'!$B$18,Paramètres!$A$1:$I$89,3,0)*VLOOKUP('Données projet'!$B$18,Paramètres!$A$1:$I$89,5,0)</f>
        <v>200.40383999999997</v>
      </c>
      <c r="GW82" s="14">
        <f t="shared" si="105"/>
        <v>49.832909112305636</v>
      </c>
      <c r="GX82" s="22">
        <f t="shared" si="82"/>
        <v>435.82900470393224</v>
      </c>
      <c r="GY82" s="62">
        <f t="shared" si="83"/>
        <v>694.19658338998784</v>
      </c>
      <c r="GZ82" s="62">
        <f ca="1">AVERAGE(OFFSET($GY$3,0,0,'Données projet'!$E$18+1,1))-AVERAGE(OFFSET($H$3,0,0,'Données projet'!$E$18+1,1))</f>
        <v>378.51861272969165</v>
      </c>
      <c r="HA82" s="62">
        <f t="shared" si="106"/>
        <v>387.42368617035459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0</v>
      </c>
      <c r="HH82" s="23">
        <f>EXP(-LN(2)/25)*HH81+(1-EXP(-LN(2)/25))/(LN(2)/25)*Calculateur!HC82*Calculateur!HE82*VLOOKUP('Données projet'!$B$18,Paramètres!$A$1:$I$89,3,0)*0.475*44/12</f>
        <v>0</v>
      </c>
      <c r="HI82" s="23">
        <f>EXP(-LN(2)/2)*HI81+(1-EXP(-LN(2)/2))/(LN(2)/2)*HC82*HF82*VLOOKUP('Données projet'!$B$18,Paramètres!$A$1:$I$89,3,0)*0.475*44/12</f>
        <v>0</v>
      </c>
      <c r="HJ82" s="24">
        <f t="shared" si="84"/>
        <v>0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135.66666666666666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456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456.00000000000023</v>
      </c>
      <c r="O83" s="14">
        <f>N83*VLOOKUP('Données projet'!$B$9,Paramètres!$A$1:$I$89,3,0)*VLOOKUP('Données projet'!$B$9,Paramètres!$A$1:$I$89,5,0)</f>
        <v>272.68800000000016</v>
      </c>
      <c r="P83" s="14">
        <f t="shared" si="87"/>
        <v>65.419401413587593</v>
      </c>
      <c r="Q83" s="22">
        <f t="shared" si="54"/>
        <v>588.87039079533201</v>
      </c>
      <c r="R83" s="62">
        <f t="shared" si="55"/>
        <v>847.84454715280162</v>
      </c>
      <c r="S83" s="62">
        <f ca="1">AVERAGE(OFFSET($R$3,0,0,'Données projet'!$E$9+1,1))-AVERAGE(OFFSET($H$3,0,0,'Données projet'!$E$9+1,1))</f>
        <v>437.94016462147999</v>
      </c>
      <c r="T83" s="62">
        <f t="shared" si="88"/>
        <v>281.88254003380348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24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2.4403258383959525E-7</v>
      </c>
      <c r="AC83" s="24">
        <f t="shared" si="57"/>
        <v>2.4403258383959525E-7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262.00000000000011</v>
      </c>
      <c r="AJ83" s="14">
        <f>AI83*VLOOKUP('Données projet'!$B$10,Paramètres!$A$1:$I$89,3,0)*VLOOKUP('Données projet'!$B$10,Paramètres!$A$1:$I$89,5,0)</f>
        <v>237.05760000000012</v>
      </c>
      <c r="AK83" s="14">
        <f t="shared" si="89"/>
        <v>57.806004997354698</v>
      </c>
      <c r="AL83" s="22">
        <f t="shared" si="58"/>
        <v>513.55411203705955</v>
      </c>
      <c r="AM83" s="62">
        <f t="shared" si="59"/>
        <v>772.52826839452905</v>
      </c>
      <c r="AN83" s="62">
        <f ca="1">AVERAGE(OFFSET($AM$3,0,0,'Données projet'!$E$10+1,1))-AVERAGE(OFFSET($H$3,0,0,'Données projet'!$E$10+1,1))</f>
        <v>434.56763649859136</v>
      </c>
      <c r="AO83" s="62">
        <f t="shared" si="90"/>
        <v>271.90302066766264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1.1368683772161603E-13</v>
      </c>
      <c r="BE83" s="14">
        <f>BD83*VLOOKUP('Données projet'!$B$11,Paramètres!$A$1:$I$89,3,0)*VLOOKUP('Données projet'!$B$11,Paramètres!$A$1:$I$89,5,0)</f>
        <v>6.7984728957526396E-14</v>
      </c>
      <c r="BF83" s="14">
        <f t="shared" si="91"/>
        <v>1.0682447123141398E-12</v>
      </c>
      <c r="BG83" s="22">
        <f t="shared" si="61"/>
        <v>1.978932943548152E-12</v>
      </c>
      <c r="BH83" s="62">
        <f t="shared" si="62"/>
        <v>258.97415635747154</v>
      </c>
      <c r="BI83" s="62">
        <f ca="1">AVERAGE(OFFSET($BH$3,0,0,'Données projet'!$E$11+1,1))-AVERAGE(OFFSET($H$3,0,0,'Données projet'!$E$11+1,1))</f>
        <v>199.65420589615553</v>
      </c>
      <c r="BJ83" s="62">
        <f t="shared" si="92"/>
        <v>477.85821088970999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19.808455929916953</v>
      </c>
      <c r="BQ83" s="23">
        <f>EXP(-LN(2)/25)*BQ82+(1-EXP(-LN(2)/25))/(LN(2)/25)*Calculateur!BL83*Calculateur!BN83*VLOOKUP('Données projet'!$B$11,Paramètres!$A$1:$I$89,3,0)*0.475*44/12</f>
        <v>10.987203679283922</v>
      </c>
      <c r="BR83" s="23">
        <f>EXP(-LN(2)/2)*BR82+(1-EXP(-LN(2)/2))/(LN(2)/2)*BL83*BO83*VLOOKUP('Données projet'!$B$11,Paramètres!$A$1:$I$89,3,0)*0.475*44/12</f>
        <v>1.2984092473062451E-6</v>
      </c>
      <c r="BS83" s="24">
        <f t="shared" si="63"/>
        <v>30.795660907610124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456</v>
      </c>
      <c r="BW83" s="13">
        <f>VLOOKUP(A83,'Données projet'!$A$113:$I$133,9,0)</f>
        <v>6</v>
      </c>
      <c r="BX83" s="13">
        <f t="array" ref="BX83">INDEX(BW:BW,MIN(IF(ISNUMBER(BW83:BW279),ROW(BW83:BW279),"")))</f>
        <v>6</v>
      </c>
      <c r="BY83" s="13">
        <f>IF('Données projet'!$A$114&gt;35,BY82+BX83-CG82,IF(A83&lt;'Données projet'!$A$114,$BV$205^A83,IF(A83='Données projet'!$A$114,'Données projet'!$B$114,BY82+BX83-CG82)))</f>
        <v>456.00000000000023</v>
      </c>
      <c r="BZ83" s="14">
        <f>BY83*VLOOKUP('Données projet'!$B$12,Paramètres!$A$1:$I$89,3,0)*VLOOKUP('Données projet'!$B$12,Paramètres!$A$1:$I$89,5,0)</f>
        <v>272.68800000000016</v>
      </c>
      <c r="CA83" s="14">
        <f t="shared" si="93"/>
        <v>65.419401413587593</v>
      </c>
      <c r="CB83" s="22">
        <f t="shared" si="64"/>
        <v>588.87039079533201</v>
      </c>
      <c r="CC83" s="62">
        <f t="shared" si="65"/>
        <v>847.84454715280162</v>
      </c>
      <c r="CD83" s="62">
        <f ca="1">AVERAGE(OFFSET($CC$3,0,0,'Données projet'!$E$12+1,1))-AVERAGE(OFFSET($H$3,0,0,'Données projet'!$E$12+1,1))</f>
        <v>437.94016462147999</v>
      </c>
      <c r="CE83" s="62">
        <f t="shared" si="94"/>
        <v>281.88254003380348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24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2.4403258383959525E-7</v>
      </c>
      <c r="CN83" s="24">
        <f t="shared" si="66"/>
        <v>2.4403258383959525E-7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262</v>
      </c>
      <c r="CR83" s="13">
        <f>VLOOKUP(A83,'Données projet'!$A$139:$I$159,9,0)</f>
        <v>6</v>
      </c>
      <c r="CS83" s="13">
        <f t="array" ref="CS83">INDEX(CR:CR,MIN(IF(ISNUMBER(CR83:CR279),ROW(CR83:CR279),"")))</f>
        <v>6</v>
      </c>
      <c r="CT83" s="13">
        <f>IF('Données projet'!$A$140&gt;35,CT82+CS83-DB82,IF(A83&lt;'Données projet'!$A$140,$CQ$205^A83,IF(A83='Données projet'!$A$140,'Données projet'!$B$140,CT82+CS83-DB82)))</f>
        <v>262.00000000000011</v>
      </c>
      <c r="CU83" s="18">
        <f>CT83*VLOOKUP('Données projet'!$B$13,Paramètres!$A$1:$I$89,3,0)*VLOOKUP('Données projet'!$B$13,Paramètres!$A$1:$I$89,5,0)</f>
        <v>298.36560000000014</v>
      </c>
      <c r="CV83" s="14">
        <f t="shared" si="95"/>
        <v>70.833721596915623</v>
      </c>
      <c r="CW83" s="22">
        <f t="shared" si="67"/>
        <v>643.02215178129484</v>
      </c>
      <c r="CX83" s="62">
        <f t="shared" si="68"/>
        <v>901.99630813876433</v>
      </c>
      <c r="CY83" s="62">
        <f ca="1">AVERAGE(OFFSET($CX$3,0,0,'Données projet'!$E$13+1,1))-AVERAGE(OFFSET($H$3,0,0,'Données projet'!$E$13+1,1))</f>
        <v>520.23742527061836</v>
      </c>
      <c r="CZ83" s="62">
        <f t="shared" si="96"/>
        <v>321.35925479331274</v>
      </c>
      <c r="DA83" s="16">
        <f>IF(ISNA(VLOOKUP(A83,'Données projet'!$A$139:$I$159,3,0)),0,VLOOKUP(A83,'Données projet'!$A$139:$I$159,3,0))</f>
        <v>12</v>
      </c>
      <c r="DB83" s="16">
        <f>IF(ISNA(VLOOKUP(A83,'Données projet'!$A$139:$I$159,4,0)),0,VLOOKUP(A83,'Données projet'!$A$139:$I$159,4,0))</f>
        <v>21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320</v>
      </c>
      <c r="DM83" s="13">
        <f>VLOOKUP(A83,'Données projet'!$A$165:$I$185,9,0)</f>
        <v>7.2</v>
      </c>
      <c r="DN83" s="13">
        <f t="array" ref="DN83">INDEX(DM:DM,MIN(IF(ISNUMBER(DM83:DM279),ROW(DM83:DM279),"")))</f>
        <v>7.2</v>
      </c>
      <c r="DO83" s="13">
        <f>IF('Données projet'!$A$166&gt;35,DO82+DN83-DW82,IF(A83&lt;'Données projet'!$A$166,$DL$205^A83,IF(A83='Données projet'!$A$166,'Données projet'!$B$166,DO82+DN83-DW82)))</f>
        <v>320</v>
      </c>
      <c r="DP83" s="18">
        <f>DO83*VLOOKUP('Données projet'!$B$14,Paramètres!$A$1:$I$89,3,0)*VLOOKUP('Données projet'!$B$14,Paramètres!$A$1:$I$89,5,0)</f>
        <v>324.48</v>
      </c>
      <c r="DQ83" s="14">
        <f t="shared" si="97"/>
        <v>76.284749200165578</v>
      </c>
      <c r="DR83" s="22">
        <f t="shared" si="70"/>
        <v>697.99860485695501</v>
      </c>
      <c r="DS83" s="62">
        <f t="shared" si="71"/>
        <v>956.97276121442451</v>
      </c>
      <c r="DT83" s="62">
        <f ca="1">AVERAGE(OFFSET($DS$3,0,0,'Données projet'!$E$14+1,1))-AVERAGE(OFFSET($H$3,0,0,'Données projet'!$E$14+1,1))</f>
        <v>547.89540791313675</v>
      </c>
      <c r="DU83" s="62">
        <f t="shared" si="98"/>
        <v>345.19555189302378</v>
      </c>
      <c r="DV83" s="16">
        <f>IF(ISNA(VLOOKUP(A83,'Données projet'!$A$165:$I$185,3,0)),0,VLOOKUP(A83,'Données projet'!$A$165:$I$185,3,0))</f>
        <v>13</v>
      </c>
      <c r="DW83" s="16">
        <f>IF(ISNA(VLOOKUP(A83,'Données projet'!$A$165:$I$185,4,0)),0,VLOOKUP(A83,'Données projet'!$A$165:$I$185,4,0))</f>
        <v>28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5.6843418860808015E-14</v>
      </c>
      <c r="EK83" s="18">
        <f>EJ83*VLOOKUP('Données projet'!$B$15,Paramètres!$A$1:$I$89,3,0)*VLOOKUP('Données projet'!$B$15,Paramètres!$A$1:$I$89,5,0)</f>
        <v>5.9412741393316544E-14</v>
      </c>
      <c r="EL83" s="14">
        <f t="shared" si="99"/>
        <v>9.483138037075782E-13</v>
      </c>
      <c r="EM83" s="22">
        <f t="shared" si="73"/>
        <v>1.7551237327173916E-12</v>
      </c>
      <c r="EN83" s="62">
        <f t="shared" si="74"/>
        <v>258.97415635747132</v>
      </c>
      <c r="EO83" s="62">
        <f ca="1">AVERAGE(OFFSET($EN$3,0,0,'Données projet'!$E$15+1,1))-AVERAGE(OFFSET($H$3,0,0,'Données projet'!$E$15+1,1))</f>
        <v>418.23737352070503</v>
      </c>
      <c r="EP83" s="62">
        <f t="shared" si="100"/>
        <v>496.10742685332968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460</v>
      </c>
      <c r="FC83" s="13">
        <f>VLOOKUP(A83,'Données projet'!$A$217:$I$237,9,0)</f>
        <v>9</v>
      </c>
      <c r="FD83" s="13">
        <f t="array" ref="FD83">INDEX(FC:FC,MIN(IF(ISNUMBER(FC83:FC279),ROW(FC83:FC279),"")))</f>
        <v>9</v>
      </c>
      <c r="FE83" s="13">
        <f>IF('Données projet'!$A$218&gt;35,FE82+FD83-FM82,IF(A83&lt;'Données projet'!$A$218,$FB$205^A83,IF(A83='Données projet'!$A$218,'Données projet'!$B$218,FE82+FD83-FM82)))</f>
        <v>460.00000000000011</v>
      </c>
      <c r="FF83" s="18">
        <f>FE83*VLOOKUP('Données projet'!$B$16,Paramètres!$A$1:$I$89,3,0)*VLOOKUP('Données projet'!$B$16,Paramètres!$A$1:$I$89,5,0)</f>
        <v>275.0800000000001</v>
      </c>
      <c r="FG83" s="14">
        <f t="shared" si="101"/>
        <v>65.926201134783341</v>
      </c>
      <c r="FH83" s="22">
        <f t="shared" si="76"/>
        <v>593.91913364308118</v>
      </c>
      <c r="FI83" s="62">
        <f t="shared" si="77"/>
        <v>852.89329000055068</v>
      </c>
      <c r="FJ83" s="62">
        <f ca="1">AVERAGE(OFFSET($FI$3,0,0,'Données projet'!$E$16+1,1))-AVERAGE(OFFSET($H$3,0,0,'Données projet'!$E$16+1,1))</f>
        <v>341.70983624543067</v>
      </c>
      <c r="FK83" s="62">
        <f t="shared" si="102"/>
        <v>250.82562837973805</v>
      </c>
      <c r="FL83" s="16">
        <f>IF(ISNA(VLOOKUP(A83,'Données projet'!$A$217:$I$237,3,0)),0,VLOOKUP(A83,'Données projet'!$A$217:$I$237,3,0))</f>
        <v>8</v>
      </c>
      <c r="FM83" s="16">
        <f>IF(ISNA(VLOOKUP(A83,'Données projet'!$A$217:$I$237,4,0)),0,VLOOKUP(A83,'Données projet'!$A$217:$I$237,4,0))</f>
        <v>460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3.6933141510206782E-7</v>
      </c>
      <c r="FT83" s="24">
        <f t="shared" si="78"/>
        <v>3.6933141510206782E-7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11</v>
      </c>
      <c r="FZ83" s="13">
        <f>IF('Données projet'!$A$244&gt;35,FZ82+FY83-GH82,IF(A83&lt;'Données projet'!$A$244,$FW$205^A83,IF(A83='Données projet'!$A$244,'Données projet'!$B$244,FZ82+FY83-GH82)))</f>
        <v>364.99999999999972</v>
      </c>
      <c r="GA83" s="18">
        <f>FZ83*VLOOKUP('Données projet'!$B$17,Paramètres!$A$1:$I$89,3,0)*VLOOKUP('Données projet'!$B$17,Paramètres!$A$1:$I$89,5,0)</f>
        <v>170.81999999999988</v>
      </c>
      <c r="GB83" s="14">
        <f t="shared" si="103"/>
        <v>43.27362484306942</v>
      </c>
      <c r="GC83" s="22">
        <f t="shared" si="79"/>
        <v>372.87972993501239</v>
      </c>
      <c r="GD83" s="62">
        <f t="shared" si="80"/>
        <v>631.853886292482</v>
      </c>
      <c r="GE83" s="62">
        <f ca="1">AVERAGE(OFFSET($GD$3,0,0,'Données projet'!$E$17+1,1))-AVERAGE(OFFSET($H$3,0,0,'Données projet'!$E$17+1,1))</f>
        <v>368.69628434154333</v>
      </c>
      <c r="GF83" s="62">
        <f t="shared" si="104"/>
        <v>202.28197295839524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>
        <f>VLOOKUP(A83,'Données projet'!$A$269:$I$289,2,0)</f>
        <v>233</v>
      </c>
      <c r="GS83" s="13">
        <f>VLOOKUP(A83,'Données projet'!$A$269:$I$289,9,0)</f>
        <v>3.6</v>
      </c>
      <c r="GT83" s="13">
        <f t="array" ref="GT83">INDEX(GS:GS,MIN(IF(ISNUMBER(GS83:GS279),ROW(GS83:GS279),"")))</f>
        <v>3.6</v>
      </c>
      <c r="GU83" s="13">
        <f>IF('Données projet'!$A$270&gt;35,GU82+GT83-HC82,IF(A83&lt;'Données projet'!$A$270,$GR$205^A83,IF(A83='Données projet'!$A$270,'Données projet'!$B$270,GU82+GT83-HC82)))</f>
        <v>232.99999999999991</v>
      </c>
      <c r="GV83" s="18">
        <f>GU83*VLOOKUP('Données projet'!$B$18,Paramètres!$A$1:$I$89,3,0)*VLOOKUP('Données projet'!$B$18,Paramètres!$A$1:$I$89,5,0)</f>
        <v>203.54879999999994</v>
      </c>
      <c r="GW83" s="14">
        <f t="shared" si="105"/>
        <v>50.523286400023487</v>
      </c>
      <c r="GX83" s="22">
        <f t="shared" si="82"/>
        <v>442.5088838133741</v>
      </c>
      <c r="GY83" s="62">
        <f t="shared" si="83"/>
        <v>701.48304017084365</v>
      </c>
      <c r="GZ83" s="62">
        <f ca="1">AVERAGE(OFFSET($GY$3,0,0,'Données projet'!$E$18+1,1))-AVERAGE(OFFSET($H$3,0,0,'Données projet'!$E$18+1,1))</f>
        <v>378.51861272969165</v>
      </c>
      <c r="HA83" s="62">
        <f t="shared" si="106"/>
        <v>387.42368617035459</v>
      </c>
      <c r="HB83" s="16">
        <f>IF(ISNA(VLOOKUP(A83,'Données projet'!$A$269:$I$289,3,0)),0,VLOOKUP(A83,'Données projet'!$A$269:$I$289,3,0))</f>
        <v>13</v>
      </c>
      <c r="HC83" s="16">
        <f>IF(ISNA(VLOOKUP(A83,'Données projet'!$A$269:$I$289,4,0)),0,VLOOKUP(A83,'Données projet'!$A$269:$I$289,4,0))</f>
        <v>13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0</v>
      </c>
      <c r="HH83" s="23">
        <f>EXP(-LN(2)/25)*HH82+(1-EXP(-LN(2)/25))/(LN(2)/25)*Calculateur!HC83*Calculateur!HE83*VLOOKUP('Données projet'!$B$18,Paramètres!$A$1:$I$89,3,0)*0.475*44/12</f>
        <v>0</v>
      </c>
      <c r="HI83" s="23">
        <f>EXP(-LN(2)/2)*HI82+(1-EXP(-LN(2)/2))/(LN(2)/2)*HC83*HF83*VLOOKUP('Données projet'!$B$18,Paramètres!$A$1:$I$89,3,0)*0.475*44/12</f>
        <v>0</v>
      </c>
      <c r="HJ83" s="24">
        <f t="shared" si="84"/>
        <v>0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135.66666666666666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5.4</v>
      </c>
      <c r="N84" s="14">
        <f>IF('Données projet'!$A$36&gt;35,N83+M84-V83,IF(A84&lt;'Données projet'!$A$36,$K$205^A84,IF(A84='Données projet'!$A$36,'Données projet'!$B$36,N83+M84-V83)))</f>
        <v>437.4000000000002</v>
      </c>
      <c r="O84" s="14">
        <f>N84*VLOOKUP('Données projet'!$B$9,Paramètres!$A$1:$I$89,3,0)*VLOOKUP('Données projet'!$B$9,Paramètres!$A$1:$I$89,5,0)</f>
        <v>261.56520000000012</v>
      </c>
      <c r="P84" s="14">
        <f t="shared" si="87"/>
        <v>63.055898711509336</v>
      </c>
      <c r="Q84" s="22">
        <f t="shared" si="54"/>
        <v>565.38174692254552</v>
      </c>
      <c r="R84" s="62">
        <f t="shared" si="55"/>
        <v>824.95195818493426</v>
      </c>
      <c r="S84" s="62">
        <f ca="1">AVERAGE(OFFSET($R$3,0,0,'Données projet'!$E$9+1,1))-AVERAGE(OFFSET($H$3,0,0,'Données projet'!$E$9+1,1))</f>
        <v>437.94016462147999</v>
      </c>
      <c r="T84" s="62">
        <f t="shared" si="88"/>
        <v>281.88254003380348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1.7255709486345249E-7</v>
      </c>
      <c r="AC84" s="24">
        <f t="shared" si="57"/>
        <v>1.7255709486345249E-7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246.60000000000014</v>
      </c>
      <c r="AJ84" s="14">
        <f>AI84*VLOOKUP('Données projet'!$B$10,Paramètres!$A$1:$I$89,3,0)*VLOOKUP('Données projet'!$B$10,Paramètres!$A$1:$I$89,5,0)</f>
        <v>223.12368000000012</v>
      </c>
      <c r="AK84" s="14">
        <f t="shared" si="89"/>
        <v>54.793244051140647</v>
      </c>
      <c r="AL84" s="22">
        <f t="shared" si="58"/>
        <v>484.03864272240349</v>
      </c>
      <c r="AM84" s="62">
        <f t="shared" si="59"/>
        <v>743.60885398479229</v>
      </c>
      <c r="AN84" s="62">
        <f ca="1">AVERAGE(OFFSET($AM$3,0,0,'Données projet'!$E$10+1,1))-AVERAGE(OFFSET($H$3,0,0,'Données projet'!$E$10+1,1))</f>
        <v>434.56763649859136</v>
      </c>
      <c r="AO84" s="62">
        <f t="shared" si="90"/>
        <v>271.90302066766264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1.1368683772161603E-13</v>
      </c>
      <c r="BE84" s="14">
        <f>BD84*VLOOKUP('Données projet'!$B$11,Paramètres!$A$1:$I$89,3,0)*VLOOKUP('Données projet'!$B$11,Paramètres!$A$1:$I$89,5,0)</f>
        <v>6.7984728957526396E-14</v>
      </c>
      <c r="BF84" s="14">
        <f t="shared" si="91"/>
        <v>1.0682447123141398E-12</v>
      </c>
      <c r="BG84" s="22">
        <f t="shared" si="61"/>
        <v>1.978932943548152E-12</v>
      </c>
      <c r="BH84" s="62">
        <f t="shared" si="62"/>
        <v>259.57021126239079</v>
      </c>
      <c r="BI84" s="62">
        <f ca="1">AVERAGE(OFFSET($BH$3,0,0,'Données projet'!$E$11+1,1))-AVERAGE(OFFSET($H$3,0,0,'Données projet'!$E$11+1,1))</f>
        <v>199.65420589615553</v>
      </c>
      <c r="BJ84" s="62">
        <f t="shared" si="92"/>
        <v>477.85821088970999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19.420024191096402</v>
      </c>
      <c r="BQ84" s="23">
        <f>EXP(-LN(2)/25)*BQ83+(1-EXP(-LN(2)/25))/(LN(2)/25)*Calculateur!BL84*Calculateur!BN84*VLOOKUP('Données projet'!$B$11,Paramètres!$A$1:$I$89,3,0)*0.475*44/12</f>
        <v>10.686758016881974</v>
      </c>
      <c r="BR84" s="23">
        <f>EXP(-LN(2)/2)*BR83+(1-EXP(-LN(2)/2))/(LN(2)/2)*BL84*BO84*VLOOKUP('Données projet'!$B$11,Paramètres!$A$1:$I$89,3,0)*0.475*44/12</f>
        <v>9.1811398352556695E-7</v>
      </c>
      <c r="BS84" s="24">
        <f t="shared" si="63"/>
        <v>30.10678312609236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5.4</v>
      </c>
      <c r="BY84" s="13">
        <f>IF('Données projet'!$A$114&gt;35,BY83+BX84-CG83,IF(A84&lt;'Données projet'!$A$114,$BV$205^A84,IF(A84='Données projet'!$A$114,'Données projet'!$B$114,BY83+BX84-CG83)))</f>
        <v>437.4000000000002</v>
      </c>
      <c r="BZ84" s="14">
        <f>BY84*VLOOKUP('Données projet'!$B$12,Paramètres!$A$1:$I$89,3,0)*VLOOKUP('Données projet'!$B$12,Paramètres!$A$1:$I$89,5,0)</f>
        <v>261.56520000000012</v>
      </c>
      <c r="CA84" s="14">
        <f t="shared" si="93"/>
        <v>63.055898711509336</v>
      </c>
      <c r="CB84" s="22">
        <f t="shared" si="64"/>
        <v>565.38174692254552</v>
      </c>
      <c r="CC84" s="62">
        <f t="shared" si="65"/>
        <v>824.95195818493426</v>
      </c>
      <c r="CD84" s="62">
        <f ca="1">AVERAGE(OFFSET($CC$3,0,0,'Données projet'!$E$12+1,1))-AVERAGE(OFFSET($H$3,0,0,'Données projet'!$E$12+1,1))</f>
        <v>437.94016462147999</v>
      </c>
      <c r="CE84" s="62">
        <f t="shared" si="94"/>
        <v>281.88254003380348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1.7255709486345249E-7</v>
      </c>
      <c r="CN84" s="24">
        <f t="shared" si="66"/>
        <v>1.7255709486345249E-7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5.6</v>
      </c>
      <c r="CT84" s="13">
        <f>IF('Données projet'!$A$140&gt;35,CT83+CS84-DB83,IF(A84&lt;'Données projet'!$A$140,$CQ$205^A84,IF(A84='Données projet'!$A$140,'Données projet'!$B$140,CT83+CS84-DB83)))</f>
        <v>246.60000000000014</v>
      </c>
      <c r="CU84" s="18">
        <f>CT84*VLOOKUP('Données projet'!$B$13,Paramètres!$A$1:$I$89,3,0)*VLOOKUP('Données projet'!$B$13,Paramètres!$A$1:$I$89,5,0)</f>
        <v>280.82808000000017</v>
      </c>
      <c r="CV84" s="14">
        <f t="shared" si="95"/>
        <v>67.141975901776362</v>
      </c>
      <c r="CW84" s="22">
        <f t="shared" si="67"/>
        <v>606.04784736226065</v>
      </c>
      <c r="CX84" s="62">
        <f t="shared" si="68"/>
        <v>865.61805862464939</v>
      </c>
      <c r="CY84" s="62">
        <f ca="1">AVERAGE(OFFSET($CX$3,0,0,'Données projet'!$E$13+1,1))-AVERAGE(OFFSET($H$3,0,0,'Données projet'!$E$13+1,1))</f>
        <v>520.23742527061836</v>
      </c>
      <c r="CZ84" s="62">
        <f t="shared" si="96"/>
        <v>321.35925479331274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6.8</v>
      </c>
      <c r="DO84" s="13">
        <f>IF('Données projet'!$A$166&gt;35,DO83+DN84-DW83,IF(A84&lt;'Données projet'!$A$166,$DL$205^A84,IF(A84='Données projet'!$A$166,'Données projet'!$B$166,DO83+DN84-DW83)))</f>
        <v>298.8</v>
      </c>
      <c r="DP84" s="18">
        <f>DO84*VLOOKUP('Données projet'!$B$14,Paramètres!$A$1:$I$89,3,0)*VLOOKUP('Données projet'!$B$14,Paramètres!$A$1:$I$89,5,0)</f>
        <v>302.98320000000007</v>
      </c>
      <c r="DQ84" s="14">
        <f t="shared" si="97"/>
        <v>71.801496173397709</v>
      </c>
      <c r="DR84" s="22">
        <f t="shared" si="70"/>
        <v>652.75001250200114</v>
      </c>
      <c r="DS84" s="62">
        <f t="shared" si="71"/>
        <v>912.32022376438999</v>
      </c>
      <c r="DT84" s="62">
        <f ca="1">AVERAGE(OFFSET($DS$3,0,0,'Données projet'!$E$14+1,1))-AVERAGE(OFFSET($H$3,0,0,'Données projet'!$E$14+1,1))</f>
        <v>547.89540791313675</v>
      </c>
      <c r="DU84" s="62">
        <f t="shared" si="98"/>
        <v>345.19555189302378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5.6843418860808015E-14</v>
      </c>
      <c r="EK84" s="18">
        <f>EJ84*VLOOKUP('Données projet'!$B$15,Paramètres!$A$1:$I$89,3,0)*VLOOKUP('Données projet'!$B$15,Paramètres!$A$1:$I$89,5,0)</f>
        <v>5.9412741393316544E-14</v>
      </c>
      <c r="EL84" s="14">
        <f t="shared" si="99"/>
        <v>9.483138037075782E-13</v>
      </c>
      <c r="EM84" s="22">
        <f t="shared" si="73"/>
        <v>1.7551237327173916E-12</v>
      </c>
      <c r="EN84" s="62">
        <f t="shared" si="74"/>
        <v>259.57021126239056</v>
      </c>
      <c r="EO84" s="62">
        <f ca="1">AVERAGE(OFFSET($EN$3,0,0,'Données projet'!$E$15+1,1))-AVERAGE(OFFSET($H$3,0,0,'Données projet'!$E$15+1,1))</f>
        <v>418.23737352070503</v>
      </c>
      <c r="EP84" s="62">
        <f t="shared" si="100"/>
        <v>496.10742685332968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1.1368683772161603E-13</v>
      </c>
      <c r="FF84" s="18">
        <f>FE84*VLOOKUP('Données projet'!$B$16,Paramètres!$A$1:$I$89,3,0)*VLOOKUP('Données projet'!$B$16,Paramètres!$A$1:$I$89,5,0)</f>
        <v>6.7984728957526396E-14</v>
      </c>
      <c r="FG84" s="14">
        <f t="shared" si="101"/>
        <v>1.0682447123141398E-12</v>
      </c>
      <c r="FH84" s="22">
        <f t="shared" si="76"/>
        <v>1.978932943548152E-12</v>
      </c>
      <c r="FI84" s="62">
        <f t="shared" si="77"/>
        <v>259.57021126239079</v>
      </c>
      <c r="FJ84" s="62">
        <f ca="1">AVERAGE(OFFSET($FI$3,0,0,'Données projet'!$E$16+1,1))-AVERAGE(OFFSET($H$3,0,0,'Données projet'!$E$16+1,1))</f>
        <v>341.70983624543067</v>
      </c>
      <c r="FK84" s="62">
        <f t="shared" si="102"/>
        <v>250.82562837973805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2.6115674812389583E-7</v>
      </c>
      <c r="FT84" s="24">
        <f t="shared" si="78"/>
        <v>2.6115674812389583E-7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11</v>
      </c>
      <c r="FZ84" s="13">
        <f>IF('Données projet'!$A$244&gt;35,FZ83+FY84-GH83,IF(A84&lt;'Données projet'!$A$244,$FW$205^A84,IF(A84='Données projet'!$A$244,'Données projet'!$B$244,FZ83+FY84-GH83)))</f>
        <v>375.99999999999972</v>
      </c>
      <c r="GA84" s="18">
        <f>FZ84*VLOOKUP('Données projet'!$B$17,Paramètres!$A$1:$I$89,3,0)*VLOOKUP('Données projet'!$B$17,Paramètres!$A$1:$I$89,5,0)</f>
        <v>175.96799999999988</v>
      </c>
      <c r="GB84" s="14">
        <f t="shared" si="103"/>
        <v>44.423961125650585</v>
      </c>
      <c r="GC84" s="22">
        <f t="shared" si="79"/>
        <v>383.8493322938412</v>
      </c>
      <c r="GD84" s="62">
        <f t="shared" si="80"/>
        <v>643.41954355623</v>
      </c>
      <c r="GE84" s="62">
        <f ca="1">AVERAGE(OFFSET($GD$3,0,0,'Données projet'!$E$17+1,1))-AVERAGE(OFFSET($H$3,0,0,'Données projet'!$E$17+1,1))</f>
        <v>368.69628434154333</v>
      </c>
      <c r="GF84" s="62">
        <f t="shared" si="104"/>
        <v>202.28197295839524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3</v>
      </c>
      <c r="GU84" s="13">
        <f>IF('Données projet'!$A$270&gt;35,GU83+GT84-HC83,IF(A84&lt;'Données projet'!$A$270,$GR$205^A84,IF(A84='Données projet'!$A$270,'Données projet'!$B$270,GU83+GT84-HC83)))</f>
        <v>222.99999999999991</v>
      </c>
      <c r="GV84" s="18">
        <f>GU84*VLOOKUP('Données projet'!$B$18,Paramètres!$A$1:$I$89,3,0)*VLOOKUP('Données projet'!$B$18,Paramètres!$A$1:$I$89,5,0)</f>
        <v>194.81279999999995</v>
      </c>
      <c r="GW84" s="14">
        <f t="shared" si="105"/>
        <v>48.602440540253859</v>
      </c>
      <c r="GX84" s="22">
        <f t="shared" si="82"/>
        <v>423.9482106076087</v>
      </c>
      <c r="GY84" s="62">
        <f t="shared" si="83"/>
        <v>683.5184218699975</v>
      </c>
      <c r="GZ84" s="62">
        <f ca="1">AVERAGE(OFFSET($GY$3,0,0,'Données projet'!$E$18+1,1))-AVERAGE(OFFSET($H$3,0,0,'Données projet'!$E$18+1,1))</f>
        <v>378.51861272969165</v>
      </c>
      <c r="HA84" s="62">
        <f t="shared" si="106"/>
        <v>387.42368617035459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0</v>
      </c>
      <c r="HH84" s="23">
        <f>EXP(-LN(2)/25)*HH83+(1-EXP(-LN(2)/25))/(LN(2)/25)*Calculateur!HC84*Calculateur!HE84*VLOOKUP('Données projet'!$B$18,Paramètres!$A$1:$I$89,3,0)*0.475*44/12</f>
        <v>0</v>
      </c>
      <c r="HI84" s="23">
        <f>EXP(-LN(2)/2)*HI83+(1-EXP(-LN(2)/2))/(LN(2)/2)*HC84*HF84*VLOOKUP('Données projet'!$B$18,Paramètres!$A$1:$I$89,3,0)*0.475*44/12</f>
        <v>0</v>
      </c>
      <c r="HJ84" s="24">
        <f t="shared" si="84"/>
        <v>0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135.66666666666666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5.4</v>
      </c>
      <c r="N85" s="14">
        <f>IF('Données projet'!$A$36&gt;35,N84+M85-V84,IF(A85&lt;'Données projet'!$A$36,$K$205^A85,IF(A85='Données projet'!$A$36,'Données projet'!$B$36,N84+M85-V84)))</f>
        <v>442.80000000000018</v>
      </c>
      <c r="O85" s="14">
        <f>N85*VLOOKUP('Données projet'!$B$9,Paramètres!$A$1:$I$89,3,0)*VLOOKUP('Données projet'!$B$9,Paramètres!$A$1:$I$89,5,0)</f>
        <v>264.79440000000017</v>
      </c>
      <c r="P85" s="14">
        <f t="shared" si="87"/>
        <v>63.743260954906233</v>
      </c>
      <c r="Q85" s="22">
        <f t="shared" si="54"/>
        <v>572.20309282979531</v>
      </c>
      <c r="R85" s="62">
        <f t="shared" si="55"/>
        <v>832.35901877708227</v>
      </c>
      <c r="S85" s="62">
        <f ca="1">AVERAGE(OFFSET($R$3,0,0,'Données projet'!$E$9+1,1))-AVERAGE(OFFSET($H$3,0,0,'Données projet'!$E$9+1,1))</f>
        <v>437.94016462147999</v>
      </c>
      <c r="T85" s="62">
        <f t="shared" si="88"/>
        <v>281.88254003380348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1.2201629191979763E-7</v>
      </c>
      <c r="AC85" s="24">
        <f t="shared" si="57"/>
        <v>1.2201629191979763E-7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252.20000000000013</v>
      </c>
      <c r="AJ85" s="14">
        <f>AI85*VLOOKUP('Données projet'!$B$10,Paramètres!$A$1:$I$89,3,0)*VLOOKUP('Données projet'!$B$10,Paramètres!$A$1:$I$89,5,0)</f>
        <v>228.19056000000012</v>
      </c>
      <c r="AK85" s="14">
        <f t="shared" si="89"/>
        <v>55.891258634424609</v>
      </c>
      <c r="AL85" s="22">
        <f t="shared" si="58"/>
        <v>494.77583412162312</v>
      </c>
      <c r="AM85" s="62">
        <f t="shared" si="59"/>
        <v>754.93176006891008</v>
      </c>
      <c r="AN85" s="62">
        <f ca="1">AVERAGE(OFFSET($AM$3,0,0,'Données projet'!$E$10+1,1))-AVERAGE(OFFSET($H$3,0,0,'Données projet'!$E$10+1,1))</f>
        <v>434.56763649859136</v>
      </c>
      <c r="AO85" s="62">
        <f t="shared" si="90"/>
        <v>271.90302066766264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1.1368683772161603E-13</v>
      </c>
      <c r="BE85" s="14">
        <f>BD85*VLOOKUP('Données projet'!$B$11,Paramètres!$A$1:$I$89,3,0)*VLOOKUP('Données projet'!$B$11,Paramètres!$A$1:$I$89,5,0)</f>
        <v>6.7984728957526396E-14</v>
      </c>
      <c r="BF85" s="14">
        <f t="shared" si="91"/>
        <v>1.0682447123141398E-12</v>
      </c>
      <c r="BG85" s="22">
        <f t="shared" si="61"/>
        <v>1.978932943548152E-12</v>
      </c>
      <c r="BH85" s="62">
        <f t="shared" si="62"/>
        <v>260.15592594728895</v>
      </c>
      <c r="BI85" s="62">
        <f ca="1">AVERAGE(OFFSET($BH$3,0,0,'Données projet'!$E$11+1,1))-AVERAGE(OFFSET($H$3,0,0,'Données projet'!$E$11+1,1))</f>
        <v>199.65420589615553</v>
      </c>
      <c r="BJ85" s="62">
        <f t="shared" si="92"/>
        <v>477.85821088970999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19.039209361754157</v>
      </c>
      <c r="BQ85" s="23">
        <f>EXP(-LN(2)/25)*BQ84+(1-EXP(-LN(2)/25))/(LN(2)/25)*Calculateur!BL85*Calculateur!BN85*VLOOKUP('Données projet'!$B$11,Paramètres!$A$1:$I$89,3,0)*0.475*44/12</f>
        <v>10.394528056918157</v>
      </c>
      <c r="BR85" s="23">
        <f>EXP(-LN(2)/2)*BR84+(1-EXP(-LN(2)/2))/(LN(2)/2)*BL85*BO85*VLOOKUP('Données projet'!$B$11,Paramètres!$A$1:$I$89,3,0)*0.475*44/12</f>
        <v>6.4920462365312265E-7</v>
      </c>
      <c r="BS85" s="24">
        <f t="shared" si="63"/>
        <v>29.433738067876938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5.4</v>
      </c>
      <c r="BY85" s="13">
        <f>IF('Données projet'!$A$114&gt;35,BY84+BX85-CG84,IF(A85&lt;'Données projet'!$A$114,$BV$205^A85,IF(A85='Données projet'!$A$114,'Données projet'!$B$114,BY84+BX85-CG84)))</f>
        <v>442.80000000000018</v>
      </c>
      <c r="BZ85" s="14">
        <f>BY85*VLOOKUP('Données projet'!$B$12,Paramètres!$A$1:$I$89,3,0)*VLOOKUP('Données projet'!$B$12,Paramètres!$A$1:$I$89,5,0)</f>
        <v>264.79440000000017</v>
      </c>
      <c r="CA85" s="14">
        <f t="shared" si="93"/>
        <v>63.743260954906233</v>
      </c>
      <c r="CB85" s="22">
        <f t="shared" si="64"/>
        <v>572.20309282979531</v>
      </c>
      <c r="CC85" s="62">
        <f t="shared" si="65"/>
        <v>832.35901877708227</v>
      </c>
      <c r="CD85" s="62">
        <f ca="1">AVERAGE(OFFSET($CC$3,0,0,'Données projet'!$E$12+1,1))-AVERAGE(OFFSET($H$3,0,0,'Données projet'!$E$12+1,1))</f>
        <v>437.94016462147999</v>
      </c>
      <c r="CE85" s="62">
        <f t="shared" si="94"/>
        <v>281.88254003380348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1.2201629191979763E-7</v>
      </c>
      <c r="CN85" s="24">
        <f t="shared" si="66"/>
        <v>1.2201629191979763E-7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5.6</v>
      </c>
      <c r="CT85" s="13">
        <f>IF('Données projet'!$A$140&gt;35,CT84+CS85-DB84,IF(A85&lt;'Données projet'!$A$140,$CQ$205^A85,IF(A85='Données projet'!$A$140,'Données projet'!$B$140,CT84+CS85-DB84)))</f>
        <v>252.20000000000013</v>
      </c>
      <c r="CU85" s="18">
        <f>CT85*VLOOKUP('Données projet'!$B$13,Paramètres!$A$1:$I$89,3,0)*VLOOKUP('Données projet'!$B$13,Paramètres!$A$1:$I$89,5,0)</f>
        <v>287.20536000000016</v>
      </c>
      <c r="CV85" s="14">
        <f t="shared" si="95"/>
        <v>68.487449599625734</v>
      </c>
      <c r="CW85" s="22">
        <f t="shared" si="67"/>
        <v>619.49831005268175</v>
      </c>
      <c r="CX85" s="62">
        <f t="shared" si="68"/>
        <v>879.65423599996871</v>
      </c>
      <c r="CY85" s="62">
        <f ca="1">AVERAGE(OFFSET($CX$3,0,0,'Données projet'!$E$13+1,1))-AVERAGE(OFFSET($H$3,0,0,'Données projet'!$E$13+1,1))</f>
        <v>520.23742527061836</v>
      </c>
      <c r="CZ85" s="62">
        <f t="shared" si="96"/>
        <v>321.35925479331274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6.8</v>
      </c>
      <c r="DO85" s="13">
        <f>IF('Données projet'!$A$166&gt;35,DO84+DN85-DW84,IF(A85&lt;'Données projet'!$A$166,$DL$205^A85,IF(A85='Données projet'!$A$166,'Données projet'!$B$166,DO84+DN85-DW84)))</f>
        <v>305.60000000000002</v>
      </c>
      <c r="DP85" s="18">
        <f>DO85*VLOOKUP('Données projet'!$B$14,Paramètres!$A$1:$I$89,3,0)*VLOOKUP('Données projet'!$B$14,Paramètres!$A$1:$I$89,5,0)</f>
        <v>309.87840000000006</v>
      </c>
      <c r="DQ85" s="14">
        <f t="shared" si="97"/>
        <v>73.243434672131556</v>
      </c>
      <c r="DR85" s="22">
        <f t="shared" si="70"/>
        <v>667.27052872062916</v>
      </c>
      <c r="DS85" s="62">
        <f t="shared" si="71"/>
        <v>927.42645466791612</v>
      </c>
      <c r="DT85" s="62">
        <f ca="1">AVERAGE(OFFSET($DS$3,0,0,'Données projet'!$E$14+1,1))-AVERAGE(OFFSET($H$3,0,0,'Données projet'!$E$14+1,1))</f>
        <v>547.89540791313675</v>
      </c>
      <c r="DU85" s="62">
        <f t="shared" si="98"/>
        <v>345.19555189302378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5.6843418860808015E-14</v>
      </c>
      <c r="EK85" s="18">
        <f>EJ85*VLOOKUP('Données projet'!$B$15,Paramètres!$A$1:$I$89,3,0)*VLOOKUP('Données projet'!$B$15,Paramètres!$A$1:$I$89,5,0)</f>
        <v>5.9412741393316544E-14</v>
      </c>
      <c r="EL85" s="14">
        <f t="shared" si="99"/>
        <v>9.483138037075782E-13</v>
      </c>
      <c r="EM85" s="22">
        <f t="shared" si="73"/>
        <v>1.7551237327173916E-12</v>
      </c>
      <c r="EN85" s="62">
        <f t="shared" si="74"/>
        <v>260.15592594728872</v>
      </c>
      <c r="EO85" s="62">
        <f ca="1">AVERAGE(OFFSET($EN$3,0,0,'Données projet'!$E$15+1,1))-AVERAGE(OFFSET($H$3,0,0,'Données projet'!$E$15+1,1))</f>
        <v>418.23737352070503</v>
      </c>
      <c r="EP85" s="62">
        <f t="shared" si="100"/>
        <v>496.10742685332968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1.1368683772161603E-13</v>
      </c>
      <c r="FF85" s="18">
        <f>FE85*VLOOKUP('Données projet'!$B$16,Paramètres!$A$1:$I$89,3,0)*VLOOKUP('Données projet'!$B$16,Paramètres!$A$1:$I$89,5,0)</f>
        <v>6.7984728957526396E-14</v>
      </c>
      <c r="FG85" s="14">
        <f t="shared" si="101"/>
        <v>1.0682447123141398E-12</v>
      </c>
      <c r="FH85" s="22">
        <f t="shared" si="76"/>
        <v>1.978932943548152E-12</v>
      </c>
      <c r="FI85" s="62">
        <f t="shared" si="77"/>
        <v>260.15592594728895</v>
      </c>
      <c r="FJ85" s="62">
        <f ca="1">AVERAGE(OFFSET($FI$3,0,0,'Données projet'!$E$16+1,1))-AVERAGE(OFFSET($H$3,0,0,'Données projet'!$E$16+1,1))</f>
        <v>341.70983624543067</v>
      </c>
      <c r="FK85" s="62">
        <f t="shared" si="102"/>
        <v>250.82562837973805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1.8466570755103391E-7</v>
      </c>
      <c r="FT85" s="24">
        <f t="shared" si="78"/>
        <v>1.8466570755103391E-7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11</v>
      </c>
      <c r="FZ85" s="13">
        <f>IF('Données projet'!$A$244&gt;35,FZ84+FY85-GH84,IF(A85&lt;'Données projet'!$A$244,$FW$205^A85,IF(A85='Données projet'!$A$244,'Données projet'!$B$244,FZ84+FY85-GH84)))</f>
        <v>386.99999999999972</v>
      </c>
      <c r="GA85" s="18">
        <f>FZ85*VLOOKUP('Données projet'!$B$17,Paramètres!$A$1:$I$89,3,0)*VLOOKUP('Données projet'!$B$17,Paramètres!$A$1:$I$89,5,0)</f>
        <v>181.11599999999984</v>
      </c>
      <c r="GB85" s="14">
        <f t="shared" si="103"/>
        <v>45.570386218758173</v>
      </c>
      <c r="GC85" s="22">
        <f t="shared" si="79"/>
        <v>394.81212266433687</v>
      </c>
      <c r="GD85" s="62">
        <f t="shared" si="80"/>
        <v>654.96804861162377</v>
      </c>
      <c r="GE85" s="62">
        <f ca="1">AVERAGE(OFFSET($GD$3,0,0,'Données projet'!$E$17+1,1))-AVERAGE(OFFSET($H$3,0,0,'Données projet'!$E$17+1,1))</f>
        <v>368.69628434154333</v>
      </c>
      <c r="GF85" s="62">
        <f t="shared" si="104"/>
        <v>202.28197295839524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3</v>
      </c>
      <c r="GU85" s="13">
        <f>IF('Données projet'!$A$270&gt;35,GU84+GT85-HC84,IF(A85&lt;'Données projet'!$A$270,$GR$205^A85,IF(A85='Données projet'!$A$270,'Données projet'!$B$270,GU84+GT85-HC84)))</f>
        <v>225.99999999999991</v>
      </c>
      <c r="GV85" s="18">
        <f>GU85*VLOOKUP('Données projet'!$B$18,Paramètres!$A$1:$I$89,3,0)*VLOOKUP('Données projet'!$B$18,Paramètres!$A$1:$I$89,5,0)</f>
        <v>197.43359999999996</v>
      </c>
      <c r="GW85" s="14">
        <f t="shared" si="105"/>
        <v>49.179727436837609</v>
      </c>
      <c r="GX85" s="22">
        <f t="shared" si="82"/>
        <v>429.51821195249204</v>
      </c>
      <c r="GY85" s="62">
        <f t="shared" si="83"/>
        <v>689.674137899779</v>
      </c>
      <c r="GZ85" s="62">
        <f ca="1">AVERAGE(OFFSET($GY$3,0,0,'Données projet'!$E$18+1,1))-AVERAGE(OFFSET($H$3,0,0,'Données projet'!$E$18+1,1))</f>
        <v>378.51861272969165</v>
      </c>
      <c r="HA85" s="62">
        <f t="shared" si="106"/>
        <v>387.42368617035459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0</v>
      </c>
      <c r="HH85" s="23">
        <f>EXP(-LN(2)/25)*HH84+(1-EXP(-LN(2)/25))/(LN(2)/25)*Calculateur!HC85*Calculateur!HE85*VLOOKUP('Données projet'!$B$18,Paramètres!$A$1:$I$89,3,0)*0.475*44/12</f>
        <v>0</v>
      </c>
      <c r="HI85" s="23">
        <f>EXP(-LN(2)/2)*HI84+(1-EXP(-LN(2)/2))/(LN(2)/2)*HC85*HF85*VLOOKUP('Données projet'!$B$18,Paramètres!$A$1:$I$89,3,0)*0.475*44/12</f>
        <v>0</v>
      </c>
      <c r="HJ85" s="24">
        <f t="shared" si="84"/>
        <v>0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135.66666666666666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5.4</v>
      </c>
      <c r="N86" s="14">
        <f>IF('Données projet'!$A$36&gt;35,N85+M86-V85,IF(A86&lt;'Données projet'!$A$36,$K$205^A86,IF(A86='Données projet'!$A$36,'Données projet'!$B$36,N85+M86-V85)))</f>
        <v>448.20000000000016</v>
      </c>
      <c r="O86" s="14">
        <f>N86*VLOOKUP('Données projet'!$B$9,Paramètres!$A$1:$I$89,3,0)*VLOOKUP('Données projet'!$B$9,Paramètres!$A$1:$I$89,5,0)</f>
        <v>268.0236000000001</v>
      </c>
      <c r="P86" s="14">
        <f t="shared" si="87"/>
        <v>64.429648145853221</v>
      </c>
      <c r="Q86" s="22">
        <f t="shared" si="54"/>
        <v>579.02274052069447</v>
      </c>
      <c r="R86" s="62">
        <f t="shared" si="55"/>
        <v>839.75422031255835</v>
      </c>
      <c r="S86" s="62">
        <f ca="1">AVERAGE(OFFSET($R$3,0,0,'Données projet'!$E$9+1,1))-AVERAGE(OFFSET($H$3,0,0,'Données projet'!$E$9+1,1))</f>
        <v>437.94016462147999</v>
      </c>
      <c r="T86" s="62">
        <f t="shared" si="88"/>
        <v>281.88254003380348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8.6278547431726247E-8</v>
      </c>
      <c r="AC86" s="24">
        <f t="shared" si="57"/>
        <v>8.6278547431726247E-8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257.80000000000013</v>
      </c>
      <c r="AJ86" s="14">
        <f>AI86*VLOOKUP('Données projet'!$B$10,Paramètres!$A$1:$I$89,3,0)*VLOOKUP('Données projet'!$B$10,Paramètres!$A$1:$I$89,5,0)</f>
        <v>233.25744000000009</v>
      </c>
      <c r="AK86" s="14">
        <f t="shared" si="89"/>
        <v>56.9864386904733</v>
      </c>
      <c r="AL86" s="22">
        <f t="shared" si="58"/>
        <v>505.50808871924113</v>
      </c>
      <c r="AM86" s="62">
        <f t="shared" si="59"/>
        <v>766.23956851110506</v>
      </c>
      <c r="AN86" s="62">
        <f ca="1">AVERAGE(OFFSET($AM$3,0,0,'Données projet'!$E$10+1,1))-AVERAGE(OFFSET($H$3,0,0,'Données projet'!$E$10+1,1))</f>
        <v>434.56763649859136</v>
      </c>
      <c r="AO86" s="62">
        <f t="shared" si="90"/>
        <v>271.90302066766264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1.1368683772161603E-13</v>
      </c>
      <c r="BE86" s="14">
        <f>BD86*VLOOKUP('Données projet'!$B$11,Paramètres!$A$1:$I$89,3,0)*VLOOKUP('Données projet'!$B$11,Paramètres!$A$1:$I$89,5,0)</f>
        <v>6.7984728957526396E-14</v>
      </c>
      <c r="BF86" s="14">
        <f t="shared" si="91"/>
        <v>1.0682447123141398E-12</v>
      </c>
      <c r="BG86" s="22">
        <f t="shared" si="61"/>
        <v>1.978932943548152E-12</v>
      </c>
      <c r="BH86" s="62">
        <f t="shared" si="62"/>
        <v>260.73147979186592</v>
      </c>
      <c r="BI86" s="62">
        <f ca="1">AVERAGE(OFFSET($BH$3,0,0,'Données projet'!$E$11+1,1))-AVERAGE(OFFSET($H$3,0,0,'Données projet'!$E$11+1,1))</f>
        <v>199.65420589615553</v>
      </c>
      <c r="BJ86" s="62">
        <f t="shared" si="92"/>
        <v>477.85821088970999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18.665862078941203</v>
      </c>
      <c r="BQ86" s="23">
        <f>EXP(-LN(2)/25)*BQ85+(1-EXP(-LN(2)/25))/(LN(2)/25)*Calculateur!BL86*Calculateur!BN86*VLOOKUP('Données projet'!$B$11,Paramètres!$A$1:$I$89,3,0)*0.475*44/12</f>
        <v>10.110289140577256</v>
      </c>
      <c r="BR86" s="23">
        <f>EXP(-LN(2)/2)*BR85+(1-EXP(-LN(2)/2))/(LN(2)/2)*BL86*BO86*VLOOKUP('Données projet'!$B$11,Paramètres!$A$1:$I$89,3,0)*0.475*44/12</f>
        <v>4.5905699176278358E-7</v>
      </c>
      <c r="BS86" s="24">
        <f t="shared" si="63"/>
        <v>28.776151678575452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5.4</v>
      </c>
      <c r="BY86" s="13">
        <f>IF('Données projet'!$A$114&gt;35,BY85+BX86-CG85,IF(A86&lt;'Données projet'!$A$114,$BV$205^A86,IF(A86='Données projet'!$A$114,'Données projet'!$B$114,BY85+BX86-CG85)))</f>
        <v>448.20000000000016</v>
      </c>
      <c r="BZ86" s="14">
        <f>BY86*VLOOKUP('Données projet'!$B$12,Paramètres!$A$1:$I$89,3,0)*VLOOKUP('Données projet'!$B$12,Paramètres!$A$1:$I$89,5,0)</f>
        <v>268.0236000000001</v>
      </c>
      <c r="CA86" s="14">
        <f t="shared" si="93"/>
        <v>64.429648145853221</v>
      </c>
      <c r="CB86" s="22">
        <f t="shared" si="64"/>
        <v>579.02274052069447</v>
      </c>
      <c r="CC86" s="62">
        <f t="shared" si="65"/>
        <v>839.75422031255835</v>
      </c>
      <c r="CD86" s="62">
        <f ca="1">AVERAGE(OFFSET($CC$3,0,0,'Données projet'!$E$12+1,1))-AVERAGE(OFFSET($H$3,0,0,'Données projet'!$E$12+1,1))</f>
        <v>437.94016462147999</v>
      </c>
      <c r="CE86" s="62">
        <f t="shared" si="94"/>
        <v>281.88254003380348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8.6278547431726247E-8</v>
      </c>
      <c r="CN86" s="24">
        <f t="shared" si="66"/>
        <v>8.6278547431726247E-8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5.6</v>
      </c>
      <c r="CT86" s="13">
        <f>IF('Données projet'!$A$140&gt;35,CT85+CS86-DB85,IF(A86&lt;'Données projet'!$A$140,$CQ$205^A86,IF(A86='Données projet'!$A$140,'Données projet'!$B$140,CT85+CS86-DB85)))</f>
        <v>257.80000000000013</v>
      </c>
      <c r="CU86" s="18">
        <f>CT86*VLOOKUP('Données projet'!$B$13,Paramètres!$A$1:$I$89,3,0)*VLOOKUP('Données projet'!$B$13,Paramètres!$A$1:$I$89,5,0)</f>
        <v>293.58264000000014</v>
      </c>
      <c r="CV86" s="14">
        <f t="shared" si="95"/>
        <v>69.829449953952192</v>
      </c>
      <c r="CW86" s="22">
        <f t="shared" si="67"/>
        <v>632.94272333646688</v>
      </c>
      <c r="CX86" s="62">
        <f t="shared" si="68"/>
        <v>893.67420312833087</v>
      </c>
      <c r="CY86" s="62">
        <f ca="1">AVERAGE(OFFSET($CX$3,0,0,'Données projet'!$E$13+1,1))-AVERAGE(OFFSET($H$3,0,0,'Données projet'!$E$13+1,1))</f>
        <v>520.23742527061836</v>
      </c>
      <c r="CZ86" s="62">
        <f t="shared" si="96"/>
        <v>321.35925479331274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6.8</v>
      </c>
      <c r="DO86" s="13">
        <f>IF('Données projet'!$A$166&gt;35,DO85+DN86-DW85,IF(A86&lt;'Données projet'!$A$166,$DL$205^A86,IF(A86='Données projet'!$A$166,'Données projet'!$B$166,DO85+DN86-DW85)))</f>
        <v>312.40000000000003</v>
      </c>
      <c r="DP86" s="18">
        <f>DO86*VLOOKUP('Données projet'!$B$14,Paramètres!$A$1:$I$89,3,0)*VLOOKUP('Données projet'!$B$14,Paramètres!$A$1:$I$89,5,0)</f>
        <v>316.77360000000004</v>
      </c>
      <c r="DQ86" s="14">
        <f t="shared" si="97"/>
        <v>74.681642981668006</v>
      </c>
      <c r="DR86" s="22">
        <f t="shared" si="70"/>
        <v>681.78454819307183</v>
      </c>
      <c r="DS86" s="62">
        <f t="shared" si="71"/>
        <v>942.51602798493582</v>
      </c>
      <c r="DT86" s="62">
        <f ca="1">AVERAGE(OFFSET($DS$3,0,0,'Données projet'!$E$14+1,1))-AVERAGE(OFFSET($H$3,0,0,'Données projet'!$E$14+1,1))</f>
        <v>547.89540791313675</v>
      </c>
      <c r="DU86" s="62">
        <f t="shared" si="98"/>
        <v>345.19555189302378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5.6843418860808015E-14</v>
      </c>
      <c r="EK86" s="18">
        <f>EJ86*VLOOKUP('Données projet'!$B$15,Paramètres!$A$1:$I$89,3,0)*VLOOKUP('Données projet'!$B$15,Paramètres!$A$1:$I$89,5,0)</f>
        <v>5.9412741393316544E-14</v>
      </c>
      <c r="EL86" s="14">
        <f t="shared" si="99"/>
        <v>9.483138037075782E-13</v>
      </c>
      <c r="EM86" s="22">
        <f t="shared" si="73"/>
        <v>1.7551237327173916E-12</v>
      </c>
      <c r="EN86" s="62">
        <f t="shared" si="74"/>
        <v>260.7314797918657</v>
      </c>
      <c r="EO86" s="62">
        <f ca="1">AVERAGE(OFFSET($EN$3,0,0,'Données projet'!$E$15+1,1))-AVERAGE(OFFSET($H$3,0,0,'Données projet'!$E$15+1,1))</f>
        <v>418.23737352070503</v>
      </c>
      <c r="EP86" s="62">
        <f t="shared" si="100"/>
        <v>496.10742685332968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1.1368683772161603E-13</v>
      </c>
      <c r="FF86" s="18">
        <f>FE86*VLOOKUP('Données projet'!$B$16,Paramètres!$A$1:$I$89,3,0)*VLOOKUP('Données projet'!$B$16,Paramètres!$A$1:$I$89,5,0)</f>
        <v>6.7984728957526396E-14</v>
      </c>
      <c r="FG86" s="14">
        <f t="shared" si="101"/>
        <v>1.0682447123141398E-12</v>
      </c>
      <c r="FH86" s="22">
        <f t="shared" si="76"/>
        <v>1.978932943548152E-12</v>
      </c>
      <c r="FI86" s="62">
        <f t="shared" si="77"/>
        <v>260.73147979186592</v>
      </c>
      <c r="FJ86" s="62">
        <f ca="1">AVERAGE(OFFSET($FI$3,0,0,'Données projet'!$E$16+1,1))-AVERAGE(OFFSET($H$3,0,0,'Données projet'!$E$16+1,1))</f>
        <v>341.70983624543067</v>
      </c>
      <c r="FK86" s="62">
        <f t="shared" si="102"/>
        <v>250.82562837973805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1.3057837406194791E-7</v>
      </c>
      <c r="FT86" s="24">
        <f t="shared" si="78"/>
        <v>1.3057837406194791E-7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11</v>
      </c>
      <c r="FZ86" s="13">
        <f>IF('Données projet'!$A$244&gt;35,FZ85+FY86-GH85,IF(A86&lt;'Données projet'!$A$244,$FW$205^A86,IF(A86='Données projet'!$A$244,'Données projet'!$B$244,FZ85+FY86-GH85)))</f>
        <v>397.99999999999972</v>
      </c>
      <c r="GA86" s="18">
        <f>FZ86*VLOOKUP('Données projet'!$B$17,Paramètres!$A$1:$I$89,3,0)*VLOOKUP('Données projet'!$B$17,Paramètres!$A$1:$I$89,5,0)</f>
        <v>186.26399999999987</v>
      </c>
      <c r="GB86" s="14">
        <f t="shared" si="103"/>
        <v>46.713024062159668</v>
      </c>
      <c r="GC86" s="22">
        <f t="shared" si="79"/>
        <v>405.76831690826111</v>
      </c>
      <c r="GD86" s="62">
        <f t="shared" si="80"/>
        <v>666.49979670012499</v>
      </c>
      <c r="GE86" s="62">
        <f ca="1">AVERAGE(OFFSET($GD$3,0,0,'Données projet'!$E$17+1,1))-AVERAGE(OFFSET($H$3,0,0,'Données projet'!$E$17+1,1))</f>
        <v>368.69628434154333</v>
      </c>
      <c r="GF86" s="62">
        <f t="shared" si="104"/>
        <v>202.28197295839524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3</v>
      </c>
      <c r="GU86" s="13">
        <f>IF('Données projet'!$A$270&gt;35,GU85+GT86-HC85,IF(A86&lt;'Données projet'!$A$270,$GR$205^A86,IF(A86='Données projet'!$A$270,'Données projet'!$B$270,GU85+GT86-HC85)))</f>
        <v>228.99999999999991</v>
      </c>
      <c r="GV86" s="18">
        <f>GU86*VLOOKUP('Données projet'!$B$18,Paramètres!$A$1:$I$89,3,0)*VLOOKUP('Données projet'!$B$18,Paramètres!$A$1:$I$89,5,0)</f>
        <v>200.05439999999993</v>
      </c>
      <c r="GW86" s="14">
        <f t="shared" si="105"/>
        <v>49.756123009618186</v>
      </c>
      <c r="GX86" s="22">
        <f t="shared" si="82"/>
        <v>435.0866609084182</v>
      </c>
      <c r="GY86" s="62">
        <f t="shared" si="83"/>
        <v>695.81814070028213</v>
      </c>
      <c r="GZ86" s="62">
        <f ca="1">AVERAGE(OFFSET($GY$3,0,0,'Données projet'!$E$18+1,1))-AVERAGE(OFFSET($H$3,0,0,'Données projet'!$E$18+1,1))</f>
        <v>378.51861272969165</v>
      </c>
      <c r="HA86" s="62">
        <f t="shared" si="106"/>
        <v>387.42368617035459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0</v>
      </c>
      <c r="HH86" s="23">
        <f>EXP(-LN(2)/25)*HH85+(1-EXP(-LN(2)/25))/(LN(2)/25)*Calculateur!HC86*Calculateur!HE86*VLOOKUP('Données projet'!$B$18,Paramètres!$A$1:$I$89,3,0)*0.475*44/12</f>
        <v>0</v>
      </c>
      <c r="HI86" s="23">
        <f>EXP(-LN(2)/2)*HI85+(1-EXP(-LN(2)/2))/(LN(2)/2)*HC86*HF86*VLOOKUP('Données projet'!$B$18,Paramètres!$A$1:$I$89,3,0)*0.475*44/12</f>
        <v>0</v>
      </c>
      <c r="HJ86" s="24">
        <f t="shared" si="84"/>
        <v>0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135.66666666666666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5.4</v>
      </c>
      <c r="N87" s="14">
        <f>IF('Données projet'!$A$36&gt;35,N86+M87-V86,IF(A87&lt;'Données projet'!$A$36,$K$205^A87,IF(A87='Données projet'!$A$36,'Données projet'!$B$36,N86+M87-V86)))</f>
        <v>453.60000000000014</v>
      </c>
      <c r="O87" s="14">
        <f>N87*VLOOKUP('Données projet'!$B$9,Paramètres!$A$1:$I$89,3,0)*VLOOKUP('Données projet'!$B$9,Paramètres!$A$1:$I$89,5,0)</f>
        <v>271.25280000000009</v>
      </c>
      <c r="P87" s="14">
        <f t="shared" si="87"/>
        <v>65.115073390838916</v>
      </c>
      <c r="Q87" s="22">
        <f t="shared" si="54"/>
        <v>585.8407128223779</v>
      </c>
      <c r="R87" s="62">
        <f t="shared" si="55"/>
        <v>847.13776188636098</v>
      </c>
      <c r="S87" s="62">
        <f ca="1">AVERAGE(OFFSET($R$3,0,0,'Données projet'!$E$9+1,1))-AVERAGE(OFFSET($H$3,0,0,'Données projet'!$E$9+1,1))</f>
        <v>437.94016462147999</v>
      </c>
      <c r="T87" s="62">
        <f t="shared" si="88"/>
        <v>281.88254003380348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6.1008145959898813E-8</v>
      </c>
      <c r="AC87" s="24">
        <f t="shared" si="57"/>
        <v>6.1008145959898813E-8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263.40000000000015</v>
      </c>
      <c r="AJ87" s="14">
        <f>AI87*VLOOKUP('Données projet'!$B$10,Paramètres!$A$1:$I$89,3,0)*VLOOKUP('Données projet'!$B$10,Paramètres!$A$1:$I$89,5,0)</f>
        <v>238.32432000000011</v>
      </c>
      <c r="AK87" s="14">
        <f t="shared" si="89"/>
        <v>58.078852882738808</v>
      </c>
      <c r="AL87" s="22">
        <f t="shared" si="58"/>
        <v>516.23552610410366</v>
      </c>
      <c r="AM87" s="62">
        <f t="shared" si="59"/>
        <v>777.53257516808685</v>
      </c>
      <c r="AN87" s="62">
        <f ca="1">AVERAGE(OFFSET($AM$3,0,0,'Données projet'!$E$10+1,1))-AVERAGE(OFFSET($H$3,0,0,'Données projet'!$E$10+1,1))</f>
        <v>434.56763649859136</v>
      </c>
      <c r="AO87" s="62">
        <f t="shared" si="90"/>
        <v>271.90302066766264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1.1368683772161603E-13</v>
      </c>
      <c r="BE87" s="14">
        <f>BD87*VLOOKUP('Données projet'!$B$11,Paramètres!$A$1:$I$89,3,0)*VLOOKUP('Données projet'!$B$11,Paramètres!$A$1:$I$89,5,0)</f>
        <v>6.7984728957526396E-14</v>
      </c>
      <c r="BF87" s="14">
        <f t="shared" si="91"/>
        <v>1.0682447123141398E-12</v>
      </c>
      <c r="BG87" s="22">
        <f t="shared" si="61"/>
        <v>1.978932943548152E-12</v>
      </c>
      <c r="BH87" s="62">
        <f t="shared" si="62"/>
        <v>261.29704906398513</v>
      </c>
      <c r="BI87" s="62">
        <f ca="1">AVERAGE(OFFSET($BH$3,0,0,'Données projet'!$E$11+1,1))-AVERAGE(OFFSET($H$3,0,0,'Données projet'!$E$11+1,1))</f>
        <v>199.65420589615553</v>
      </c>
      <c r="BJ87" s="62">
        <f t="shared" si="92"/>
        <v>477.85821088970999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18.299835908624853</v>
      </c>
      <c r="BQ87" s="23">
        <f>EXP(-LN(2)/25)*BQ86+(1-EXP(-LN(2)/25))/(LN(2)/25)*Calculateur!BL87*Calculateur!BN87*VLOOKUP('Données projet'!$B$11,Paramètres!$A$1:$I$89,3,0)*0.475*44/12</f>
        <v>9.833822752351173</v>
      </c>
      <c r="BR87" s="23">
        <f>EXP(-LN(2)/2)*BR86+(1-EXP(-LN(2)/2))/(LN(2)/2)*BL87*BO87*VLOOKUP('Données projet'!$B$11,Paramètres!$A$1:$I$89,3,0)*0.475*44/12</f>
        <v>3.2460231182656138E-7</v>
      </c>
      <c r="BS87" s="24">
        <f t="shared" si="63"/>
        <v>28.133658985578336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5.4</v>
      </c>
      <c r="BY87" s="13">
        <f>IF('Données projet'!$A$114&gt;35,BY86+BX87-CG86,IF(A87&lt;'Données projet'!$A$114,$BV$205^A87,IF(A87='Données projet'!$A$114,'Données projet'!$B$114,BY86+BX87-CG86)))</f>
        <v>453.60000000000014</v>
      </c>
      <c r="BZ87" s="14">
        <f>BY87*VLOOKUP('Données projet'!$B$12,Paramètres!$A$1:$I$89,3,0)*VLOOKUP('Données projet'!$B$12,Paramètres!$A$1:$I$89,5,0)</f>
        <v>271.25280000000009</v>
      </c>
      <c r="CA87" s="14">
        <f t="shared" si="93"/>
        <v>65.115073390838916</v>
      </c>
      <c r="CB87" s="22">
        <f t="shared" si="64"/>
        <v>585.8407128223779</v>
      </c>
      <c r="CC87" s="62">
        <f t="shared" si="65"/>
        <v>847.13776188636098</v>
      </c>
      <c r="CD87" s="62">
        <f ca="1">AVERAGE(OFFSET($CC$3,0,0,'Données projet'!$E$12+1,1))-AVERAGE(OFFSET($H$3,0,0,'Données projet'!$E$12+1,1))</f>
        <v>437.94016462147999</v>
      </c>
      <c r="CE87" s="62">
        <f t="shared" si="94"/>
        <v>281.88254003380348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6.1008145959898813E-8</v>
      </c>
      <c r="CN87" s="24">
        <f t="shared" si="66"/>
        <v>6.1008145959898813E-8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5.6</v>
      </c>
      <c r="CT87" s="13">
        <f>IF('Données projet'!$A$140&gt;35,CT86+CS87-DB86,IF(A87&lt;'Données projet'!$A$140,$CQ$205^A87,IF(A87='Données projet'!$A$140,'Données projet'!$B$140,CT86+CS87-DB86)))</f>
        <v>263.40000000000015</v>
      </c>
      <c r="CU87" s="18">
        <f>CT87*VLOOKUP('Données projet'!$B$13,Paramètres!$A$1:$I$89,3,0)*VLOOKUP('Données projet'!$B$13,Paramètres!$A$1:$I$89,5,0)</f>
        <v>299.95992000000018</v>
      </c>
      <c r="CV87" s="14">
        <f t="shared" si="95"/>
        <v>71.168061102862964</v>
      </c>
      <c r="CW87" s="22">
        <f t="shared" si="67"/>
        <v>646.3812337541533</v>
      </c>
      <c r="CX87" s="62">
        <f t="shared" si="68"/>
        <v>907.67828281813649</v>
      </c>
      <c r="CY87" s="62">
        <f ca="1">AVERAGE(OFFSET($CX$3,0,0,'Données projet'!$E$13+1,1))-AVERAGE(OFFSET($H$3,0,0,'Données projet'!$E$13+1,1))</f>
        <v>520.23742527061836</v>
      </c>
      <c r="CZ87" s="62">
        <f t="shared" si="96"/>
        <v>321.35925479331274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6.8</v>
      </c>
      <c r="DO87" s="13">
        <f>IF('Données projet'!$A$166&gt;35,DO86+DN87-DW86,IF(A87&lt;'Données projet'!$A$166,$DL$205^A87,IF(A87='Données projet'!$A$166,'Données projet'!$B$166,DO86+DN87-DW86)))</f>
        <v>319.20000000000005</v>
      </c>
      <c r="DP87" s="18">
        <f>DO87*VLOOKUP('Données projet'!$B$14,Paramètres!$A$1:$I$89,3,0)*VLOOKUP('Données projet'!$B$14,Paramètres!$A$1:$I$89,5,0)</f>
        <v>323.66880000000009</v>
      </c>
      <c r="DQ87" s="14">
        <f t="shared" si="97"/>
        <v>76.11621164769852</v>
      </c>
      <c r="DR87" s="22">
        <f t="shared" si="70"/>
        <v>696.29222861974176</v>
      </c>
      <c r="DS87" s="62">
        <f t="shared" si="71"/>
        <v>957.58927768372496</v>
      </c>
      <c r="DT87" s="62">
        <f ca="1">AVERAGE(OFFSET($DS$3,0,0,'Données projet'!$E$14+1,1))-AVERAGE(OFFSET($H$3,0,0,'Données projet'!$E$14+1,1))</f>
        <v>547.89540791313675</v>
      </c>
      <c r="DU87" s="62">
        <f t="shared" si="98"/>
        <v>345.19555189302378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5.6843418860808015E-14</v>
      </c>
      <c r="EK87" s="18">
        <f>EJ87*VLOOKUP('Données projet'!$B$15,Paramètres!$A$1:$I$89,3,0)*VLOOKUP('Données projet'!$B$15,Paramètres!$A$1:$I$89,5,0)</f>
        <v>5.9412741393316544E-14</v>
      </c>
      <c r="EL87" s="14">
        <f t="shared" si="99"/>
        <v>9.483138037075782E-13</v>
      </c>
      <c r="EM87" s="22">
        <f t="shared" si="73"/>
        <v>1.7551237327173916E-12</v>
      </c>
      <c r="EN87" s="62">
        <f t="shared" si="74"/>
        <v>261.2970490639849</v>
      </c>
      <c r="EO87" s="62">
        <f ca="1">AVERAGE(OFFSET($EN$3,0,0,'Données projet'!$E$15+1,1))-AVERAGE(OFFSET($H$3,0,0,'Données projet'!$E$15+1,1))</f>
        <v>418.23737352070503</v>
      </c>
      <c r="EP87" s="62">
        <f t="shared" si="100"/>
        <v>496.10742685332968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1.1368683772161603E-13</v>
      </c>
      <c r="FF87" s="18">
        <f>FE87*VLOOKUP('Données projet'!$B$16,Paramètres!$A$1:$I$89,3,0)*VLOOKUP('Données projet'!$B$16,Paramètres!$A$1:$I$89,5,0)</f>
        <v>6.7984728957526396E-14</v>
      </c>
      <c r="FG87" s="14">
        <f t="shared" si="101"/>
        <v>1.0682447123141398E-12</v>
      </c>
      <c r="FH87" s="22">
        <f t="shared" si="76"/>
        <v>1.978932943548152E-12</v>
      </c>
      <c r="FI87" s="62">
        <f t="shared" si="77"/>
        <v>261.29704906398513</v>
      </c>
      <c r="FJ87" s="62">
        <f ca="1">AVERAGE(OFFSET($FI$3,0,0,'Données projet'!$E$16+1,1))-AVERAGE(OFFSET($H$3,0,0,'Données projet'!$E$16+1,1))</f>
        <v>341.70983624543067</v>
      </c>
      <c r="FK87" s="62">
        <f t="shared" si="102"/>
        <v>250.82562837973805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9.2332853775516956E-8</v>
      </c>
      <c r="FT87" s="24">
        <f t="shared" si="78"/>
        <v>9.2332853775516956E-8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>
        <f>VLOOKUP(A87,'Données projet'!$A$243:$I$263,2,0)</f>
        <v>409</v>
      </c>
      <c r="FX87" s="13">
        <f>VLOOKUP(A87,'Données projet'!$A$243:$I$263,9,0)</f>
        <v>11</v>
      </c>
      <c r="FY87" s="13">
        <f t="array" ref="FY87">INDEX(FX:FX,MIN(IF(ISNUMBER(FX87:FX283),ROW(FX87:FX283),"")))</f>
        <v>11</v>
      </c>
      <c r="FZ87" s="13">
        <f>IF('Données projet'!$A$244&gt;35,FZ86+FY87-GH86,IF(A87&lt;'Données projet'!$A$244,$FW$205^A87,IF(A87='Données projet'!$A$244,'Données projet'!$B$244,FZ86+FY87-GH86)))</f>
        <v>408.99999999999972</v>
      </c>
      <c r="GA87" s="18">
        <f>FZ87*VLOOKUP('Données projet'!$B$17,Paramètres!$A$1:$I$89,3,0)*VLOOKUP('Données projet'!$B$17,Paramètres!$A$1:$I$89,5,0)</f>
        <v>191.41199999999986</v>
      </c>
      <c r="GB87" s="14">
        <f t="shared" si="103"/>
        <v>47.851991354818139</v>
      </c>
      <c r="GC87" s="22">
        <f t="shared" si="79"/>
        <v>416.71811827630808</v>
      </c>
      <c r="GD87" s="62">
        <f t="shared" si="80"/>
        <v>678.01516734029121</v>
      </c>
      <c r="GE87" s="62">
        <f ca="1">AVERAGE(OFFSET($GD$3,0,0,'Données projet'!$E$17+1,1))-AVERAGE(OFFSET($H$3,0,0,'Données projet'!$E$17+1,1))</f>
        <v>368.69628434154333</v>
      </c>
      <c r="GF87" s="62">
        <f t="shared" si="104"/>
        <v>202.28197295839524</v>
      </c>
      <c r="GG87" s="16">
        <f>IF(ISNA(VLOOKUP(A87,'Données projet'!$A$243:$I$263,3,0)),0,VLOOKUP(A87,'Données projet'!$A$243:$I$263,3,0))</f>
        <v>9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3</v>
      </c>
      <c r="GU87" s="13">
        <f>IF('Données projet'!$A$270&gt;35,GU86+GT87-HC86,IF(A87&lt;'Données projet'!$A$270,$GR$205^A87,IF(A87='Données projet'!$A$270,'Données projet'!$B$270,GU86+GT87-HC86)))</f>
        <v>231.99999999999991</v>
      </c>
      <c r="GV87" s="18">
        <f>GU87*VLOOKUP('Données projet'!$B$18,Paramètres!$A$1:$I$89,3,0)*VLOOKUP('Données projet'!$B$18,Paramètres!$A$1:$I$89,5,0)</f>
        <v>202.67519999999993</v>
      </c>
      <c r="GW87" s="14">
        <f t="shared" si="105"/>
        <v>50.33164028531364</v>
      </c>
      <c r="GX87" s="22">
        <f t="shared" si="82"/>
        <v>440.65358016358778</v>
      </c>
      <c r="GY87" s="62">
        <f t="shared" si="83"/>
        <v>701.95062922757097</v>
      </c>
      <c r="GZ87" s="62">
        <f ca="1">AVERAGE(OFFSET($GY$3,0,0,'Données projet'!$E$18+1,1))-AVERAGE(OFFSET($H$3,0,0,'Données projet'!$E$18+1,1))</f>
        <v>378.51861272969165</v>
      </c>
      <c r="HA87" s="62">
        <f t="shared" si="106"/>
        <v>387.42368617035459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0</v>
      </c>
      <c r="HH87" s="23">
        <f>EXP(-LN(2)/25)*HH86+(1-EXP(-LN(2)/25))/(LN(2)/25)*Calculateur!HC87*Calculateur!HE87*VLOOKUP('Données projet'!$B$18,Paramètres!$A$1:$I$89,3,0)*0.475*44/12</f>
        <v>0</v>
      </c>
      <c r="HI87" s="23">
        <f>EXP(-LN(2)/2)*HI86+(1-EXP(-LN(2)/2))/(LN(2)/2)*HC87*HF87*VLOOKUP('Données projet'!$B$18,Paramètres!$A$1:$I$89,3,0)*0.475*44/12</f>
        <v>0</v>
      </c>
      <c r="HJ87" s="24">
        <f t="shared" si="84"/>
        <v>0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135.66666666666666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5.4</v>
      </c>
      <c r="N88" s="14">
        <f>IF('Données projet'!$A$36&gt;35,N87+M88-V87,IF(A88&lt;'Données projet'!$A$36,$K$205^A88,IF(A88='Données projet'!$A$36,'Données projet'!$B$36,N87+M88-V87)))</f>
        <v>459.00000000000011</v>
      </c>
      <c r="O88" s="14">
        <f>N88*VLOOKUP('Données projet'!$B$9,Paramètres!$A$1:$I$89,3,0)*VLOOKUP('Données projet'!$B$9,Paramètres!$A$1:$I$89,5,0)</f>
        <v>274.48200000000008</v>
      </c>
      <c r="P88" s="14">
        <f t="shared" si="87"/>
        <v>65.799549466335947</v>
      </c>
      <c r="Q88" s="22">
        <f t="shared" si="54"/>
        <v>592.65703198720189</v>
      </c>
      <c r="R88" s="62">
        <f t="shared" si="55"/>
        <v>854.50983896085654</v>
      </c>
      <c r="S88" s="62">
        <f ca="1">AVERAGE(OFFSET($R$3,0,0,'Données projet'!$E$9+1,1))-AVERAGE(OFFSET($H$3,0,0,'Données projet'!$E$9+1,1))</f>
        <v>437.94016462147999</v>
      </c>
      <c r="T88" s="62">
        <f t="shared" si="88"/>
        <v>281.88254003380348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4.3139273715863123E-8</v>
      </c>
      <c r="AC88" s="24">
        <f t="shared" si="57"/>
        <v>4.3139273715863123E-8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5.6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269.00000000000017</v>
      </c>
      <c r="AJ88" s="14">
        <f>AI88*VLOOKUP('Données projet'!$B$10,Paramètres!$A$1:$I$89,3,0)*VLOOKUP('Données projet'!$B$10,Paramètres!$A$1:$I$89,5,0)</f>
        <v>243.39120000000017</v>
      </c>
      <c r="AK88" s="14">
        <f t="shared" si="89"/>
        <v>59.168566788241577</v>
      </c>
      <c r="AL88" s="22">
        <f t="shared" si="58"/>
        <v>526.95826048952097</v>
      </c>
      <c r="AM88" s="62">
        <f t="shared" si="59"/>
        <v>788.8110674631755</v>
      </c>
      <c r="AN88" s="62">
        <f ca="1">AVERAGE(OFFSET($AM$3,0,0,'Données projet'!$E$10+1,1))-AVERAGE(OFFSET($H$3,0,0,'Données projet'!$E$10+1,1))</f>
        <v>434.56763649859136</v>
      </c>
      <c r="AO88" s="62">
        <f t="shared" si="90"/>
        <v>271.90302066766264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1.1368683772161603E-13</v>
      </c>
      <c r="BE88" s="14">
        <f>BD88*VLOOKUP('Données projet'!$B$11,Paramètres!$A$1:$I$89,3,0)*VLOOKUP('Données projet'!$B$11,Paramètres!$A$1:$I$89,5,0)</f>
        <v>6.7984728957526396E-14</v>
      </c>
      <c r="BF88" s="14">
        <f t="shared" si="91"/>
        <v>1.0682447123141398E-12</v>
      </c>
      <c r="BG88" s="22">
        <f t="shared" si="61"/>
        <v>1.978932943548152E-12</v>
      </c>
      <c r="BH88" s="62">
        <f t="shared" si="62"/>
        <v>261.85280697365658</v>
      </c>
      <c r="BI88" s="62">
        <f ca="1">AVERAGE(OFFSET($BH$3,0,0,'Données projet'!$E$11+1,1))-AVERAGE(OFFSET($H$3,0,0,'Données projet'!$E$11+1,1))</f>
        <v>199.65420589615553</v>
      </c>
      <c r="BJ88" s="62">
        <f t="shared" si="92"/>
        <v>477.85821088970999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17.940987288254487</v>
      </c>
      <c r="BQ88" s="23">
        <f>EXP(-LN(2)/25)*BQ87+(1-EXP(-LN(2)/25))/(LN(2)/25)*Calculateur!BL88*Calculateur!BN88*VLOOKUP('Données projet'!$B$11,Paramètres!$A$1:$I$89,3,0)*0.475*44/12</f>
        <v>9.5649163520498668</v>
      </c>
      <c r="BR88" s="23">
        <f>EXP(-LN(2)/2)*BR87+(1-EXP(-LN(2)/2))/(LN(2)/2)*BL88*BO88*VLOOKUP('Données projet'!$B$11,Paramètres!$A$1:$I$89,3,0)*0.475*44/12</f>
        <v>2.2952849588139182E-7</v>
      </c>
      <c r="BS88" s="24">
        <f t="shared" si="63"/>
        <v>27.505903869832849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5.4</v>
      </c>
      <c r="BY88" s="13">
        <f>IF('Données projet'!$A$114&gt;35,BY87+BX88-CG87,IF(A88&lt;'Données projet'!$A$114,$BV$205^A88,IF(A88='Données projet'!$A$114,'Données projet'!$B$114,BY87+BX88-CG87)))</f>
        <v>459.00000000000011</v>
      </c>
      <c r="BZ88" s="14">
        <f>BY88*VLOOKUP('Données projet'!$B$12,Paramètres!$A$1:$I$89,3,0)*VLOOKUP('Données projet'!$B$12,Paramètres!$A$1:$I$89,5,0)</f>
        <v>274.48200000000008</v>
      </c>
      <c r="CA88" s="14">
        <f t="shared" si="93"/>
        <v>65.799549466335947</v>
      </c>
      <c r="CB88" s="22">
        <f t="shared" si="64"/>
        <v>592.65703198720189</v>
      </c>
      <c r="CC88" s="62">
        <f t="shared" si="65"/>
        <v>854.50983896085654</v>
      </c>
      <c r="CD88" s="62">
        <f ca="1">AVERAGE(OFFSET($CC$3,0,0,'Données projet'!$E$12+1,1))-AVERAGE(OFFSET($H$3,0,0,'Données projet'!$E$12+1,1))</f>
        <v>437.94016462147999</v>
      </c>
      <c r="CE88" s="62">
        <f t="shared" si="94"/>
        <v>281.88254003380348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4.3139273715863123E-8</v>
      </c>
      <c r="CN88" s="24">
        <f t="shared" si="66"/>
        <v>4.3139273715863123E-8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269</v>
      </c>
      <c r="CR88" s="13">
        <f>VLOOKUP(A88,'Données projet'!$A$139:$I$159,9,0)</f>
        <v>5.6</v>
      </c>
      <c r="CS88" s="13">
        <f t="array" ref="CS88">INDEX(CR:CR,MIN(IF(ISNUMBER(CR88:CR284),ROW(CR88:CR284),"")))</f>
        <v>5.6</v>
      </c>
      <c r="CT88" s="13">
        <f>IF('Données projet'!$A$140&gt;35,CT87+CS88-DB87,IF(A88&lt;'Données projet'!$A$140,$CQ$205^A88,IF(A88='Données projet'!$A$140,'Données projet'!$B$140,CT87+CS88-DB87)))</f>
        <v>269.00000000000017</v>
      </c>
      <c r="CU88" s="18">
        <f>CT88*VLOOKUP('Données projet'!$B$13,Paramètres!$A$1:$I$89,3,0)*VLOOKUP('Données projet'!$B$13,Paramètres!$A$1:$I$89,5,0)</f>
        <v>306.33720000000022</v>
      </c>
      <c r="CV88" s="14">
        <f t="shared" si="95"/>
        <v>72.503363402445984</v>
      </c>
      <c r="CW88" s="22">
        <f t="shared" si="67"/>
        <v>659.81398125926046</v>
      </c>
      <c r="CX88" s="62">
        <f t="shared" si="68"/>
        <v>921.666788232915</v>
      </c>
      <c r="CY88" s="62">
        <f ca="1">AVERAGE(OFFSET($CX$3,0,0,'Données projet'!$E$13+1,1))-AVERAGE(OFFSET($H$3,0,0,'Données projet'!$E$13+1,1))</f>
        <v>520.23742527061836</v>
      </c>
      <c r="CZ88" s="62">
        <f t="shared" si="96"/>
        <v>321.35925479331274</v>
      </c>
      <c r="DA88" s="16">
        <f>IF(ISNA(VLOOKUP(A88,'Données projet'!$A$139:$I$159,3,0)),0,VLOOKUP(A88,'Données projet'!$A$139:$I$159,3,0))</f>
        <v>13</v>
      </c>
      <c r="DB88" s="16">
        <f>IF(ISNA(VLOOKUP(A88,'Données projet'!$A$139:$I$159,4,0)),0,VLOOKUP(A88,'Données projet'!$A$139:$I$159,4,0))</f>
        <v>21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326</v>
      </c>
      <c r="DM88" s="13">
        <f>VLOOKUP(A88,'Données projet'!$A$165:$I$185,9,0)</f>
        <v>6.8</v>
      </c>
      <c r="DN88" s="13">
        <f t="array" ref="DN88">INDEX(DM:DM,MIN(IF(ISNUMBER(DM88:DM284),ROW(DM88:DM284),"")))</f>
        <v>6.8</v>
      </c>
      <c r="DO88" s="13">
        <f>IF('Données projet'!$A$166&gt;35,DO87+DN88-DW87,IF(A88&lt;'Données projet'!$A$166,$DL$205^A88,IF(A88='Données projet'!$A$166,'Données projet'!$B$166,DO87+DN88-DW87)))</f>
        <v>326.00000000000006</v>
      </c>
      <c r="DP88" s="18">
        <f>DO88*VLOOKUP('Données projet'!$B$14,Paramètres!$A$1:$I$89,3,0)*VLOOKUP('Données projet'!$B$14,Paramètres!$A$1:$I$89,5,0)</f>
        <v>330.56400000000008</v>
      </c>
      <c r="DQ88" s="14">
        <f t="shared" si="97"/>
        <v>77.547227137682853</v>
      </c>
      <c r="DR88" s="22">
        <f t="shared" si="70"/>
        <v>710.79372059813113</v>
      </c>
      <c r="DS88" s="62">
        <f t="shared" si="71"/>
        <v>972.64652757178578</v>
      </c>
      <c r="DT88" s="62">
        <f ca="1">AVERAGE(OFFSET($DS$3,0,0,'Données projet'!$E$14+1,1))-AVERAGE(OFFSET($H$3,0,0,'Données projet'!$E$14+1,1))</f>
        <v>547.89540791313675</v>
      </c>
      <c r="DU88" s="62">
        <f t="shared" si="98"/>
        <v>345.19555189302378</v>
      </c>
      <c r="DV88" s="16">
        <f>IF(ISNA(VLOOKUP(A88,'Données projet'!$A$165:$I$185,3,0)),0,VLOOKUP(A88,'Données projet'!$A$165:$I$185,3,0))</f>
        <v>14</v>
      </c>
      <c r="DW88" s="16">
        <f>IF(ISNA(VLOOKUP(A88,'Données projet'!$A$165:$I$185,4,0)),0,VLOOKUP(A88,'Données projet'!$A$165:$I$185,4,0))</f>
        <v>28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5.6843418860808015E-14</v>
      </c>
      <c r="EK88" s="18">
        <f>EJ88*VLOOKUP('Données projet'!$B$15,Paramètres!$A$1:$I$89,3,0)*VLOOKUP('Données projet'!$B$15,Paramètres!$A$1:$I$89,5,0)</f>
        <v>5.9412741393316544E-14</v>
      </c>
      <c r="EL88" s="14">
        <f t="shared" si="99"/>
        <v>9.483138037075782E-13</v>
      </c>
      <c r="EM88" s="22">
        <f t="shared" si="73"/>
        <v>1.7551237327173916E-12</v>
      </c>
      <c r="EN88" s="62">
        <f t="shared" si="74"/>
        <v>261.85280697365636</v>
      </c>
      <c r="EO88" s="62">
        <f ca="1">AVERAGE(OFFSET($EN$3,0,0,'Données projet'!$E$15+1,1))-AVERAGE(OFFSET($H$3,0,0,'Données projet'!$E$15+1,1))</f>
        <v>418.23737352070503</v>
      </c>
      <c r="EP88" s="62">
        <f t="shared" si="100"/>
        <v>496.10742685332968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1.1368683772161603E-13</v>
      </c>
      <c r="FF88" s="18">
        <f>FE88*VLOOKUP('Données projet'!$B$16,Paramètres!$A$1:$I$89,3,0)*VLOOKUP('Données projet'!$B$16,Paramètres!$A$1:$I$89,5,0)</f>
        <v>6.7984728957526396E-14</v>
      </c>
      <c r="FG88" s="14">
        <f t="shared" si="101"/>
        <v>1.0682447123141398E-12</v>
      </c>
      <c r="FH88" s="22">
        <f t="shared" si="76"/>
        <v>1.978932943548152E-12</v>
      </c>
      <c r="FI88" s="62">
        <f t="shared" si="77"/>
        <v>261.85280697365658</v>
      </c>
      <c r="FJ88" s="62">
        <f ca="1">AVERAGE(OFFSET($FI$3,0,0,'Données projet'!$E$16+1,1))-AVERAGE(OFFSET($H$3,0,0,'Données projet'!$E$16+1,1))</f>
        <v>341.70983624543067</v>
      </c>
      <c r="FK88" s="62">
        <f t="shared" si="102"/>
        <v>250.82562837973805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6.5289187030973957E-8</v>
      </c>
      <c r="FT88" s="24">
        <f t="shared" si="78"/>
        <v>6.5289187030973957E-8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>
        <f>VLOOKUP(A88,'Données projet'!$A$243:$I$263,2,0)</f>
        <v>420</v>
      </c>
      <c r="FX88" s="13">
        <f>VLOOKUP(A88,'Données projet'!$A$243:$I$263,9,0)</f>
        <v>11</v>
      </c>
      <c r="FY88" s="13">
        <f t="array" ref="FY88">INDEX(FX:FX,MIN(IF(ISNUMBER(FX88:FX284),ROW(FX88:FX284),"")))</f>
        <v>11</v>
      </c>
      <c r="FZ88" s="13">
        <f>IF('Données projet'!$A$244&gt;35,FZ87+FY88-GH87,IF(A88&lt;'Données projet'!$A$244,$FW$205^A88,IF(A88='Données projet'!$A$244,'Données projet'!$B$244,FZ87+FY88-GH87)))</f>
        <v>419.99999999999972</v>
      </c>
      <c r="GA88" s="18">
        <f>FZ88*VLOOKUP('Données projet'!$B$17,Paramètres!$A$1:$I$89,3,0)*VLOOKUP('Données projet'!$B$17,Paramètres!$A$1:$I$89,5,0)</f>
        <v>196.55999999999989</v>
      </c>
      <c r="GB88" s="14">
        <f t="shared" si="103"/>
        <v>48.987398161128091</v>
      </c>
      <c r="GC88" s="22">
        <f t="shared" si="79"/>
        <v>427.66171846396452</v>
      </c>
      <c r="GD88" s="62">
        <f t="shared" si="80"/>
        <v>689.51452543761911</v>
      </c>
      <c r="GE88" s="62">
        <f ca="1">AVERAGE(OFFSET($GD$3,0,0,'Données projet'!$E$17+1,1))-AVERAGE(OFFSET($H$3,0,0,'Données projet'!$E$17+1,1))</f>
        <v>368.69628434154333</v>
      </c>
      <c r="GF88" s="62">
        <f t="shared" si="104"/>
        <v>202.28197295839524</v>
      </c>
      <c r="GG88" s="16">
        <f>IF(ISNA(VLOOKUP(A88,'Données projet'!$A$243:$I$263,3,0)),0,VLOOKUP(A88,'Données projet'!$A$243:$I$263,3,0))</f>
        <v>10</v>
      </c>
      <c r="GH88" s="16">
        <f>IF(ISNA(VLOOKUP(A88,'Données projet'!$A$243:$I$263,4,0)),0,VLOOKUP(A88,'Données projet'!$A$243:$I$263,4,0))</f>
        <v>95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>
        <f>VLOOKUP(A88,'Données projet'!$A$269:$I$289,2,0)</f>
        <v>235</v>
      </c>
      <c r="GS88" s="13">
        <f>VLOOKUP(A88,'Données projet'!$A$269:$I$289,9,0)</f>
        <v>3</v>
      </c>
      <c r="GT88" s="13">
        <f t="array" ref="GT88">INDEX(GS:GS,MIN(IF(ISNUMBER(GS88:GS284),ROW(GS88:GS284),"")))</f>
        <v>3</v>
      </c>
      <c r="GU88" s="13">
        <f>IF('Données projet'!$A$270&gt;35,GU87+GT88-HC87,IF(A88&lt;'Données projet'!$A$270,$GR$205^A88,IF(A88='Données projet'!$A$270,'Données projet'!$B$270,GU87+GT88-HC87)))</f>
        <v>234.99999999999991</v>
      </c>
      <c r="GV88" s="18">
        <f>GU88*VLOOKUP('Données projet'!$B$18,Paramètres!$A$1:$I$89,3,0)*VLOOKUP('Données projet'!$B$18,Paramètres!$A$1:$I$89,5,0)</f>
        <v>205.29599999999996</v>
      </c>
      <c r="GW88" s="14">
        <f t="shared" si="105"/>
        <v>50.906291934375353</v>
      </c>
      <c r="GX88" s="22">
        <f t="shared" si="82"/>
        <v>446.21899178570357</v>
      </c>
      <c r="GY88" s="62">
        <f t="shared" si="83"/>
        <v>708.07179875935822</v>
      </c>
      <c r="GZ88" s="62">
        <f ca="1">AVERAGE(OFFSET($GY$3,0,0,'Données projet'!$E$18+1,1))-AVERAGE(OFFSET($H$3,0,0,'Données projet'!$E$18+1,1))</f>
        <v>378.51861272969165</v>
      </c>
      <c r="HA88" s="62">
        <f t="shared" si="106"/>
        <v>387.42368617035459</v>
      </c>
      <c r="HB88" s="16">
        <f>IF(ISNA(VLOOKUP(A88,'Données projet'!$A$269:$I$289,3,0)),0,VLOOKUP(A88,'Données projet'!$A$269:$I$289,3,0))</f>
        <v>14</v>
      </c>
      <c r="HC88" s="16">
        <f>IF(ISNA(VLOOKUP(A88,'Données projet'!$A$269:$I$289,4,0)),0,VLOOKUP(A88,'Données projet'!$A$269:$I$289,4,0))</f>
        <v>12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0</v>
      </c>
      <c r="HH88" s="23">
        <f>EXP(-LN(2)/25)*HH87+(1-EXP(-LN(2)/25))/(LN(2)/25)*Calculateur!HC88*Calculateur!HE88*VLOOKUP('Données projet'!$B$18,Paramètres!$A$1:$I$89,3,0)*0.475*44/12</f>
        <v>0</v>
      </c>
      <c r="HI88" s="23">
        <f>EXP(-LN(2)/2)*HI87+(1-EXP(-LN(2)/2))/(LN(2)/2)*HC88*HF88*VLOOKUP('Données projet'!$B$18,Paramètres!$A$1:$I$89,3,0)*0.475*44/12</f>
        <v>0</v>
      </c>
      <c r="HJ88" s="24">
        <f t="shared" si="84"/>
        <v>0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135.66666666666666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464.40000000000009</v>
      </c>
      <c r="O89" s="14">
        <f>N89*VLOOKUP('Données projet'!$B$9,Paramètres!$A$1:$I$89,3,0)*VLOOKUP('Données projet'!$B$9,Paramètres!$A$1:$I$89,5,0)</f>
        <v>277.71120000000008</v>
      </c>
      <c r="P89" s="14">
        <f t="shared" si="87"/>
        <v>66.483088830894033</v>
      </c>
      <c r="Q89" s="22">
        <f t="shared" si="54"/>
        <v>599.47171971380715</v>
      </c>
      <c r="R89" s="62">
        <f t="shared" si="55"/>
        <v>861.87064343988891</v>
      </c>
      <c r="S89" s="62">
        <f ca="1">AVERAGE(OFFSET($R$3,0,0,'Données projet'!$E$9+1,1))-AVERAGE(OFFSET($H$3,0,0,'Données projet'!$E$9+1,1))</f>
        <v>437.94016462147999</v>
      </c>
      <c r="T89" s="62">
        <f t="shared" si="88"/>
        <v>281.88254003380348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3.0504072979949406E-8</v>
      </c>
      <c r="AC89" s="24">
        <f t="shared" si="57"/>
        <v>3.0504072979949406E-8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253.40000000000015</v>
      </c>
      <c r="AJ89" s="14">
        <f>AI89*VLOOKUP('Données projet'!$B$10,Paramètres!$A$1:$I$89,3,0)*VLOOKUP('Données projet'!$B$10,Paramètres!$A$1:$I$89,5,0)</f>
        <v>229.27632000000011</v>
      </c>
      <c r="AK89" s="14">
        <f t="shared" si="89"/>
        <v>56.126176307517476</v>
      </c>
      <c r="AL89" s="22">
        <f t="shared" si="58"/>
        <v>497.07601440225977</v>
      </c>
      <c r="AM89" s="62">
        <f t="shared" si="59"/>
        <v>759.47493812834148</v>
      </c>
      <c r="AN89" s="62">
        <f ca="1">AVERAGE(OFFSET($AM$3,0,0,'Données projet'!$E$10+1,1))-AVERAGE(OFFSET($H$3,0,0,'Données projet'!$E$10+1,1))</f>
        <v>434.56763649859136</v>
      </c>
      <c r="AO89" s="62">
        <f t="shared" si="90"/>
        <v>271.90302066766264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1.1368683772161603E-13</v>
      </c>
      <c r="BE89" s="14">
        <f>BD89*VLOOKUP('Données projet'!$B$11,Paramètres!$A$1:$I$89,3,0)*VLOOKUP('Données projet'!$B$11,Paramètres!$A$1:$I$89,5,0)</f>
        <v>6.7984728957526396E-14</v>
      </c>
      <c r="BF89" s="14">
        <f t="shared" si="91"/>
        <v>1.0682447123141398E-12</v>
      </c>
      <c r="BG89" s="22">
        <f t="shared" si="61"/>
        <v>1.978932943548152E-12</v>
      </c>
      <c r="BH89" s="62">
        <f t="shared" si="62"/>
        <v>262.39892372608369</v>
      </c>
      <c r="BI89" s="62">
        <f ca="1">AVERAGE(OFFSET($BH$3,0,0,'Données projet'!$E$11+1,1))-AVERAGE(OFFSET($H$3,0,0,'Données projet'!$E$11+1,1))</f>
        <v>199.65420589615553</v>
      </c>
      <c r="BJ89" s="62">
        <f t="shared" si="92"/>
        <v>477.85821088970999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17.589175470453537</v>
      </c>
      <c r="BQ89" s="23">
        <f>EXP(-LN(2)/25)*BQ88+(1-EXP(-LN(2)/25))/(LN(2)/25)*Calculateur!BL89*Calculateur!BN89*VLOOKUP('Données projet'!$B$11,Paramètres!$A$1:$I$89,3,0)*0.475*44/12</f>
        <v>9.3033632114059728</v>
      </c>
      <c r="BR89" s="23">
        <f>EXP(-LN(2)/2)*BR88+(1-EXP(-LN(2)/2))/(LN(2)/2)*BL89*BO89*VLOOKUP('Données projet'!$B$11,Paramètres!$A$1:$I$89,3,0)*0.475*44/12</f>
        <v>1.6230115591328072E-7</v>
      </c>
      <c r="BS89" s="24">
        <f t="shared" si="63"/>
        <v>26.892538844160665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5.4</v>
      </c>
      <c r="BY89" s="13">
        <f>IF('Données projet'!$A$114&gt;35,BY88+BX89-CG88,IF(A89&lt;'Données projet'!$A$114,$BV$205^A89,IF(A89='Données projet'!$A$114,'Données projet'!$B$114,BY88+BX89-CG88)))</f>
        <v>464.40000000000009</v>
      </c>
      <c r="BZ89" s="14">
        <f>BY89*VLOOKUP('Données projet'!$B$12,Paramètres!$A$1:$I$89,3,0)*VLOOKUP('Données projet'!$B$12,Paramètres!$A$1:$I$89,5,0)</f>
        <v>277.71120000000008</v>
      </c>
      <c r="CA89" s="14">
        <f t="shared" si="93"/>
        <v>66.483088830894033</v>
      </c>
      <c r="CB89" s="22">
        <f t="shared" si="64"/>
        <v>599.47171971380715</v>
      </c>
      <c r="CC89" s="62">
        <f t="shared" si="65"/>
        <v>861.87064343988891</v>
      </c>
      <c r="CD89" s="62">
        <f ca="1">AVERAGE(OFFSET($CC$3,0,0,'Données projet'!$E$12+1,1))-AVERAGE(OFFSET($H$3,0,0,'Données projet'!$E$12+1,1))</f>
        <v>437.94016462147999</v>
      </c>
      <c r="CE89" s="62">
        <f t="shared" si="94"/>
        <v>281.88254003380348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3.0504072979949406E-8</v>
      </c>
      <c r="CN89" s="24">
        <f t="shared" si="66"/>
        <v>3.0504072979949406E-8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5.4</v>
      </c>
      <c r="CT89" s="13">
        <f>IF('Données projet'!$A$140&gt;35,CT88+CS89-DB88,IF(A89&lt;'Données projet'!$A$140,$CQ$205^A89,IF(A89='Données projet'!$A$140,'Données projet'!$B$140,CT88+CS89-DB88)))</f>
        <v>253.40000000000015</v>
      </c>
      <c r="CU89" s="18">
        <f>CT89*VLOOKUP('Données projet'!$B$13,Paramètres!$A$1:$I$89,3,0)*VLOOKUP('Données projet'!$B$13,Paramètres!$A$1:$I$89,5,0)</f>
        <v>288.5719200000002</v>
      </c>
      <c r="CV89" s="14">
        <f t="shared" si="95"/>
        <v>68.775310576263308</v>
      </c>
      <c r="CW89" s="22">
        <f t="shared" si="67"/>
        <v>622.37975992032568</v>
      </c>
      <c r="CX89" s="62">
        <f t="shared" si="68"/>
        <v>884.77868364640744</v>
      </c>
      <c r="CY89" s="62">
        <f ca="1">AVERAGE(OFFSET($CX$3,0,0,'Données projet'!$E$13+1,1))-AVERAGE(OFFSET($H$3,0,0,'Données projet'!$E$13+1,1))</f>
        <v>520.23742527061836</v>
      </c>
      <c r="CZ89" s="62">
        <f t="shared" si="96"/>
        <v>321.35925479331274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6.4</v>
      </c>
      <c r="DO89" s="13">
        <f>IF('Données projet'!$A$166&gt;35,DO88+DN89-DW88,IF(A89&lt;'Données projet'!$A$166,$DL$205^A89,IF(A89='Données projet'!$A$166,'Données projet'!$B$166,DO88+DN89-DW88)))</f>
        <v>304.40000000000003</v>
      </c>
      <c r="DP89" s="18">
        <f>DO89*VLOOKUP('Données projet'!$B$14,Paramètres!$A$1:$I$89,3,0)*VLOOKUP('Données projet'!$B$14,Paramètres!$A$1:$I$89,5,0)</f>
        <v>308.66160000000008</v>
      </c>
      <c r="DQ89" s="14">
        <f t="shared" si="97"/>
        <v>72.98924863505313</v>
      </c>
      <c r="DR89" s="22">
        <f t="shared" si="70"/>
        <v>664.70856137271755</v>
      </c>
      <c r="DS89" s="62">
        <f t="shared" si="71"/>
        <v>927.10748509879932</v>
      </c>
      <c r="DT89" s="62">
        <f ca="1">AVERAGE(OFFSET($DS$3,0,0,'Données projet'!$E$14+1,1))-AVERAGE(OFFSET($H$3,0,0,'Données projet'!$E$14+1,1))</f>
        <v>547.89540791313675</v>
      </c>
      <c r="DU89" s="62">
        <f t="shared" si="98"/>
        <v>345.19555189302378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5.6843418860808015E-14</v>
      </c>
      <c r="EK89" s="18">
        <f>EJ89*VLOOKUP('Données projet'!$B$15,Paramètres!$A$1:$I$89,3,0)*VLOOKUP('Données projet'!$B$15,Paramètres!$A$1:$I$89,5,0)</f>
        <v>5.9412741393316544E-14</v>
      </c>
      <c r="EL89" s="14">
        <f t="shared" si="99"/>
        <v>9.483138037075782E-13</v>
      </c>
      <c r="EM89" s="22">
        <f t="shared" si="73"/>
        <v>1.7551237327173916E-12</v>
      </c>
      <c r="EN89" s="62">
        <f t="shared" si="74"/>
        <v>262.39892372608347</v>
      </c>
      <c r="EO89" s="62">
        <f ca="1">AVERAGE(OFFSET($EN$3,0,0,'Données projet'!$E$15+1,1))-AVERAGE(OFFSET($H$3,0,0,'Données projet'!$E$15+1,1))</f>
        <v>418.23737352070503</v>
      </c>
      <c r="EP89" s="62">
        <f t="shared" si="100"/>
        <v>496.10742685332968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1.1368683772161603E-13</v>
      </c>
      <c r="FF89" s="18">
        <f>FE89*VLOOKUP('Données projet'!$B$16,Paramètres!$A$1:$I$89,3,0)*VLOOKUP('Données projet'!$B$16,Paramètres!$A$1:$I$89,5,0)</f>
        <v>6.7984728957526396E-14</v>
      </c>
      <c r="FG89" s="14">
        <f t="shared" si="101"/>
        <v>1.0682447123141398E-12</v>
      </c>
      <c r="FH89" s="22">
        <f t="shared" si="76"/>
        <v>1.978932943548152E-12</v>
      </c>
      <c r="FI89" s="62">
        <f t="shared" si="77"/>
        <v>262.39892372608369</v>
      </c>
      <c r="FJ89" s="62">
        <f ca="1">AVERAGE(OFFSET($FI$3,0,0,'Données projet'!$E$16+1,1))-AVERAGE(OFFSET($H$3,0,0,'Données projet'!$E$16+1,1))</f>
        <v>341.70983624543067</v>
      </c>
      <c r="FK89" s="62">
        <f t="shared" si="102"/>
        <v>250.82562837973805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4.6166426887758478E-8</v>
      </c>
      <c r="FT89" s="24">
        <f t="shared" si="78"/>
        <v>4.6166426887758478E-8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>
        <f>VLOOKUP(A89,'Données projet'!$A$243:$I$263,2,0)</f>
        <v>336</v>
      </c>
      <c r="FX89" s="13">
        <f>VLOOKUP(A89,'Données projet'!$A$243:$I$263,9,0)</f>
        <v>11</v>
      </c>
      <c r="FY89" s="13">
        <f t="array" ref="FY89">INDEX(FX:FX,MIN(IF(ISNUMBER(FX89:FX285),ROW(FX89:FX285),"")))</f>
        <v>11</v>
      </c>
      <c r="FZ89" s="13">
        <f>IF('Données projet'!$A$244&gt;35,FZ88+FY89-GH88,IF(A89&lt;'Données projet'!$A$244,$FW$205^A89,IF(A89='Données projet'!$A$244,'Données projet'!$B$244,FZ88+FY89-GH88)))</f>
        <v>335.99999999999972</v>
      </c>
      <c r="GA89" s="18">
        <f>FZ89*VLOOKUP('Données projet'!$B$17,Paramètres!$A$1:$I$89,3,0)*VLOOKUP('Données projet'!$B$17,Paramètres!$A$1:$I$89,5,0)</f>
        <v>157.24799999999988</v>
      </c>
      <c r="GB89" s="14">
        <f t="shared" si="103"/>
        <v>40.22116874434861</v>
      </c>
      <c r="GC89" s="22">
        <f t="shared" si="79"/>
        <v>343.92546889640693</v>
      </c>
      <c r="GD89" s="62">
        <f t="shared" si="80"/>
        <v>606.32439262248863</v>
      </c>
      <c r="GE89" s="62">
        <f ca="1">AVERAGE(OFFSET($GD$3,0,0,'Données projet'!$E$17+1,1))-AVERAGE(OFFSET($H$3,0,0,'Données projet'!$E$17+1,1))</f>
        <v>368.69628434154333</v>
      </c>
      <c r="GF89" s="62">
        <f t="shared" si="104"/>
        <v>202.28197295839524</v>
      </c>
      <c r="GG89" s="16">
        <f>IF(ISNA(VLOOKUP(A89,'Données projet'!$A$243:$I$263,3,0)),0,VLOOKUP(A89,'Données projet'!$A$243:$I$263,3,0))</f>
        <v>11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2.6</v>
      </c>
      <c r="GU89" s="13">
        <f>IF('Données projet'!$A$270&gt;35,GU88+GT89-HC88,IF(A89&lt;'Données projet'!$A$270,$GR$205^A89,IF(A89='Données projet'!$A$270,'Données projet'!$B$270,GU88+GT89-HC88)))</f>
        <v>225.59999999999991</v>
      </c>
      <c r="GV89" s="18">
        <f>GU89*VLOOKUP('Données projet'!$B$18,Paramètres!$A$1:$I$89,3,0)*VLOOKUP('Données projet'!$B$18,Paramètres!$A$1:$I$89,5,0)</f>
        <v>197.08415999999994</v>
      </c>
      <c r="GW89" s="14">
        <f t="shared" si="105"/>
        <v>49.102807637925878</v>
      </c>
      <c r="GX89" s="22">
        <f t="shared" si="82"/>
        <v>428.77563530272073</v>
      </c>
      <c r="GY89" s="62">
        <f t="shared" si="83"/>
        <v>691.17455902880238</v>
      </c>
      <c r="GZ89" s="62">
        <f ca="1">AVERAGE(OFFSET($GY$3,0,0,'Données projet'!$E$18+1,1))-AVERAGE(OFFSET($H$3,0,0,'Données projet'!$E$18+1,1))</f>
        <v>378.51861272969165</v>
      </c>
      <c r="HA89" s="62">
        <f t="shared" si="106"/>
        <v>387.42368617035459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0</v>
      </c>
      <c r="HH89" s="23">
        <f>EXP(-LN(2)/25)*HH88+(1-EXP(-LN(2)/25))/(LN(2)/25)*Calculateur!HC89*Calculateur!HE89*VLOOKUP('Données projet'!$B$18,Paramètres!$A$1:$I$89,3,0)*0.475*44/12</f>
        <v>0</v>
      </c>
      <c r="HI89" s="23">
        <f>EXP(-LN(2)/2)*HI88+(1-EXP(-LN(2)/2))/(LN(2)/2)*HC89*HF89*VLOOKUP('Données projet'!$B$18,Paramètres!$A$1:$I$89,3,0)*0.475*44/12</f>
        <v>0</v>
      </c>
      <c r="HJ89" s="24">
        <f t="shared" si="84"/>
        <v>0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135.66666666666666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469.80000000000007</v>
      </c>
      <c r="O90" s="14">
        <f>N90*VLOOKUP('Données projet'!$B$9,Paramètres!$A$1:$I$89,3,0)*VLOOKUP('Données projet'!$B$9,Paramètres!$A$1:$I$89,5,0)</f>
        <v>280.94040000000007</v>
      </c>
      <c r="P90" s="14">
        <f t="shared" si="87"/>
        <v>67.165703636653262</v>
      </c>
      <c r="Q90" s="22">
        <f t="shared" si="54"/>
        <v>606.28479716717118</v>
      </c>
      <c r="R90" s="62">
        <f t="shared" si="55"/>
        <v>869.22036374095956</v>
      </c>
      <c r="S90" s="62">
        <f ca="1">AVERAGE(OFFSET($R$3,0,0,'Données projet'!$E$9+1,1))-AVERAGE(OFFSET($H$3,0,0,'Données projet'!$E$9+1,1))</f>
        <v>437.94016462147999</v>
      </c>
      <c r="T90" s="62">
        <f t="shared" si="88"/>
        <v>281.88254003380348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2.1569636857931562E-8</v>
      </c>
      <c r="AC90" s="24">
        <f t="shared" si="57"/>
        <v>2.1569636857931562E-8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258.80000000000013</v>
      </c>
      <c r="AJ90" s="14">
        <f>AI90*VLOOKUP('Données projet'!$B$10,Paramètres!$A$1:$I$89,3,0)*VLOOKUP('Données projet'!$B$10,Paramètres!$A$1:$I$89,5,0)</f>
        <v>234.16224000000011</v>
      </c>
      <c r="AK90" s="14">
        <f t="shared" si="89"/>
        <v>57.181713578143096</v>
      </c>
      <c r="AL90" s="22">
        <f t="shared" si="58"/>
        <v>507.42405248193273</v>
      </c>
      <c r="AM90" s="62">
        <f t="shared" si="59"/>
        <v>770.35961905572117</v>
      </c>
      <c r="AN90" s="62">
        <f ca="1">AVERAGE(OFFSET($AM$3,0,0,'Données projet'!$E$10+1,1))-AVERAGE(OFFSET($H$3,0,0,'Données projet'!$E$10+1,1))</f>
        <v>434.56763649859136</v>
      </c>
      <c r="AO90" s="62">
        <f t="shared" si="90"/>
        <v>271.90302066766264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1.1368683772161603E-13</v>
      </c>
      <c r="BE90" s="14">
        <f>BD90*VLOOKUP('Données projet'!$B$11,Paramètres!$A$1:$I$89,3,0)*VLOOKUP('Données projet'!$B$11,Paramètres!$A$1:$I$89,5,0)</f>
        <v>6.7984728957526396E-14</v>
      </c>
      <c r="BF90" s="14">
        <f t="shared" si="91"/>
        <v>1.0682447123141398E-12</v>
      </c>
      <c r="BG90" s="22">
        <f t="shared" si="61"/>
        <v>1.978932943548152E-12</v>
      </c>
      <c r="BH90" s="62">
        <f t="shared" si="62"/>
        <v>262.93556657379042</v>
      </c>
      <c r="BI90" s="62">
        <f ca="1">AVERAGE(OFFSET($BH$3,0,0,'Données projet'!$E$11+1,1))-AVERAGE(OFFSET($H$3,0,0,'Données projet'!$E$11+1,1))</f>
        <v>199.65420589615553</v>
      </c>
      <c r="BJ90" s="62">
        <f t="shared" si="92"/>
        <v>477.85821088970999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17.244262467815645</v>
      </c>
      <c r="BQ90" s="23">
        <f>EXP(-LN(2)/25)*BQ89+(1-EXP(-LN(2)/25))/(LN(2)/25)*Calculateur!BL90*Calculateur!BN90*VLOOKUP('Données projet'!$B$11,Paramètres!$A$1:$I$89,3,0)*0.475*44/12</f>
        <v>9.0489622551474689</v>
      </c>
      <c r="BR90" s="23">
        <f>EXP(-LN(2)/2)*BR89+(1-EXP(-LN(2)/2))/(LN(2)/2)*BL90*BO90*VLOOKUP('Données projet'!$B$11,Paramètres!$A$1:$I$89,3,0)*0.475*44/12</f>
        <v>1.1476424794069594E-7</v>
      </c>
      <c r="BS90" s="24">
        <f t="shared" si="63"/>
        <v>26.293224837727362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5.4</v>
      </c>
      <c r="BY90" s="13">
        <f>IF('Données projet'!$A$114&gt;35,BY89+BX90-CG89,IF(A90&lt;'Données projet'!$A$114,$BV$205^A90,IF(A90='Données projet'!$A$114,'Données projet'!$B$114,BY89+BX90-CG89)))</f>
        <v>469.80000000000007</v>
      </c>
      <c r="BZ90" s="14">
        <f>BY90*VLOOKUP('Données projet'!$B$12,Paramètres!$A$1:$I$89,3,0)*VLOOKUP('Données projet'!$B$12,Paramètres!$A$1:$I$89,5,0)</f>
        <v>280.94040000000007</v>
      </c>
      <c r="CA90" s="14">
        <f t="shared" si="93"/>
        <v>67.165703636653262</v>
      </c>
      <c r="CB90" s="22">
        <f t="shared" si="64"/>
        <v>606.28479716717118</v>
      </c>
      <c r="CC90" s="62">
        <f t="shared" si="65"/>
        <v>869.22036374095956</v>
      </c>
      <c r="CD90" s="62">
        <f ca="1">AVERAGE(OFFSET($CC$3,0,0,'Données projet'!$E$12+1,1))-AVERAGE(OFFSET($H$3,0,0,'Données projet'!$E$12+1,1))</f>
        <v>437.94016462147999</v>
      </c>
      <c r="CE90" s="62">
        <f t="shared" si="94"/>
        <v>281.88254003380348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2.1569636857931562E-8</v>
      </c>
      <c r="CN90" s="24">
        <f t="shared" si="66"/>
        <v>2.1569636857931562E-8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5.4</v>
      </c>
      <c r="CT90" s="13">
        <f>IF('Données projet'!$A$140&gt;35,CT89+CS90-DB89,IF(A90&lt;'Données projet'!$A$140,$CQ$205^A90,IF(A90='Données projet'!$A$140,'Données projet'!$B$140,CT89+CS90-DB89)))</f>
        <v>258.80000000000013</v>
      </c>
      <c r="CU90" s="18">
        <f>CT90*VLOOKUP('Données projet'!$B$13,Paramètres!$A$1:$I$89,3,0)*VLOOKUP('Données projet'!$B$13,Paramètres!$A$1:$I$89,5,0)</f>
        <v>294.72144000000014</v>
      </c>
      <c r="CV90" s="14">
        <f t="shared" si="95"/>
        <v>70.068733866215368</v>
      </c>
      <c r="CW90" s="22">
        <f t="shared" si="67"/>
        <v>635.3428861503254</v>
      </c>
      <c r="CX90" s="62">
        <f t="shared" si="68"/>
        <v>898.27845272411378</v>
      </c>
      <c r="CY90" s="62">
        <f ca="1">AVERAGE(OFFSET($CX$3,0,0,'Données projet'!$E$13+1,1))-AVERAGE(OFFSET($H$3,0,0,'Données projet'!$E$13+1,1))</f>
        <v>520.23742527061836</v>
      </c>
      <c r="CZ90" s="62">
        <f t="shared" si="96"/>
        <v>321.35925479331274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6.4</v>
      </c>
      <c r="DO90" s="13">
        <f>IF('Données projet'!$A$166&gt;35,DO89+DN90-DW89,IF(A90&lt;'Données projet'!$A$166,$DL$205^A90,IF(A90='Données projet'!$A$166,'Données projet'!$B$166,DO89+DN90-DW89)))</f>
        <v>310.8</v>
      </c>
      <c r="DP90" s="18">
        <f>DO90*VLOOKUP('Données projet'!$B$14,Paramètres!$A$1:$I$89,3,0)*VLOOKUP('Données projet'!$B$14,Paramètres!$A$1:$I$89,5,0)</f>
        <v>315.15120000000002</v>
      </c>
      <c r="DQ90" s="14">
        <f t="shared" si="97"/>
        <v>74.343571754005879</v>
      </c>
      <c r="DR90" s="22">
        <f t="shared" si="70"/>
        <v>678.37006080489357</v>
      </c>
      <c r="DS90" s="62">
        <f t="shared" si="71"/>
        <v>941.30562737868195</v>
      </c>
      <c r="DT90" s="62">
        <f ca="1">AVERAGE(OFFSET($DS$3,0,0,'Données projet'!$E$14+1,1))-AVERAGE(OFFSET($H$3,0,0,'Données projet'!$E$14+1,1))</f>
        <v>547.89540791313675</v>
      </c>
      <c r="DU90" s="62">
        <f t="shared" si="98"/>
        <v>345.19555189302378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5.6843418860808015E-14</v>
      </c>
      <c r="EK90" s="18">
        <f>EJ90*VLOOKUP('Données projet'!$B$15,Paramètres!$A$1:$I$89,3,0)*VLOOKUP('Données projet'!$B$15,Paramètres!$A$1:$I$89,5,0)</f>
        <v>5.9412741393316544E-14</v>
      </c>
      <c r="EL90" s="14">
        <f t="shared" si="99"/>
        <v>9.483138037075782E-13</v>
      </c>
      <c r="EM90" s="22">
        <f t="shared" si="73"/>
        <v>1.7551237327173916E-12</v>
      </c>
      <c r="EN90" s="62">
        <f t="shared" si="74"/>
        <v>262.9355665737902</v>
      </c>
      <c r="EO90" s="62">
        <f ca="1">AVERAGE(OFFSET($EN$3,0,0,'Données projet'!$E$15+1,1))-AVERAGE(OFFSET($H$3,0,0,'Données projet'!$E$15+1,1))</f>
        <v>418.23737352070503</v>
      </c>
      <c r="EP90" s="62">
        <f t="shared" si="100"/>
        <v>496.10742685332968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1.1368683772161603E-13</v>
      </c>
      <c r="FF90" s="18">
        <f>FE90*VLOOKUP('Données projet'!$B$16,Paramètres!$A$1:$I$89,3,0)*VLOOKUP('Données projet'!$B$16,Paramètres!$A$1:$I$89,5,0)</f>
        <v>6.7984728957526396E-14</v>
      </c>
      <c r="FG90" s="14">
        <f t="shared" si="101"/>
        <v>1.0682447123141398E-12</v>
      </c>
      <c r="FH90" s="22">
        <f t="shared" si="76"/>
        <v>1.978932943548152E-12</v>
      </c>
      <c r="FI90" s="62">
        <f t="shared" si="77"/>
        <v>262.93556657379042</v>
      </c>
      <c r="FJ90" s="62">
        <f ca="1">AVERAGE(OFFSET($FI$3,0,0,'Données projet'!$E$16+1,1))-AVERAGE(OFFSET($H$3,0,0,'Données projet'!$E$16+1,1))</f>
        <v>341.70983624543067</v>
      </c>
      <c r="FK90" s="62">
        <f t="shared" si="102"/>
        <v>250.82562837973805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3.2644593515486978E-8</v>
      </c>
      <c r="FT90" s="24">
        <f t="shared" si="78"/>
        <v>3.2644593515486978E-8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10</v>
      </c>
      <c r="FZ90" s="13">
        <f>IF('Données projet'!$A$244&gt;35,FZ89+FY90-GH89,IF(A90&lt;'Données projet'!$A$244,$FW$205^A90,IF(A90='Données projet'!$A$244,'Données projet'!$B$244,FZ89+FY90-GH89)))</f>
        <v>345.99999999999972</v>
      </c>
      <c r="GA90" s="18">
        <f>FZ90*VLOOKUP('Données projet'!$B$17,Paramètres!$A$1:$I$89,3,0)*VLOOKUP('Données projet'!$B$17,Paramètres!$A$1:$I$89,5,0)</f>
        <v>161.92799999999986</v>
      </c>
      <c r="GB90" s="14">
        <f t="shared" si="103"/>
        <v>41.277077571585316</v>
      </c>
      <c r="GC90" s="22">
        <f t="shared" si="79"/>
        <v>353.91551010384416</v>
      </c>
      <c r="GD90" s="62">
        <f t="shared" si="80"/>
        <v>616.85107667763259</v>
      </c>
      <c r="GE90" s="62">
        <f ca="1">AVERAGE(OFFSET($GD$3,0,0,'Données projet'!$E$17+1,1))-AVERAGE(OFFSET($H$3,0,0,'Données projet'!$E$17+1,1))</f>
        <v>368.69628434154333</v>
      </c>
      <c r="GF90" s="62">
        <f t="shared" si="104"/>
        <v>202.28197295839524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2.6</v>
      </c>
      <c r="GU90" s="13">
        <f>IF('Données projet'!$A$270&gt;35,GU89+GT90-HC89,IF(A90&lt;'Données projet'!$A$270,$GR$205^A90,IF(A90='Données projet'!$A$270,'Données projet'!$B$270,GU89+GT90-HC89)))</f>
        <v>228.1999999999999</v>
      </c>
      <c r="GV90" s="18">
        <f>GU90*VLOOKUP('Données projet'!$B$18,Paramètres!$A$1:$I$89,3,0)*VLOOKUP('Données projet'!$B$18,Paramètres!$A$1:$I$89,5,0)</f>
        <v>199.35551999999996</v>
      </c>
      <c r="GW90" s="14">
        <f t="shared" si="105"/>
        <v>49.602503932783179</v>
      </c>
      <c r="GX90" s="22">
        <f t="shared" si="82"/>
        <v>433.60189168293056</v>
      </c>
      <c r="GY90" s="62">
        <f t="shared" si="83"/>
        <v>696.53745825671899</v>
      </c>
      <c r="GZ90" s="62">
        <f ca="1">AVERAGE(OFFSET($GY$3,0,0,'Données projet'!$E$18+1,1))-AVERAGE(OFFSET($H$3,0,0,'Données projet'!$E$18+1,1))</f>
        <v>378.51861272969165</v>
      </c>
      <c r="HA90" s="62">
        <f t="shared" si="106"/>
        <v>387.42368617035459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0</v>
      </c>
      <c r="HH90" s="23">
        <f>EXP(-LN(2)/25)*HH89+(1-EXP(-LN(2)/25))/(LN(2)/25)*Calculateur!HC90*Calculateur!HE90*VLOOKUP('Données projet'!$B$18,Paramètres!$A$1:$I$89,3,0)*0.475*44/12</f>
        <v>0</v>
      </c>
      <c r="HI90" s="23">
        <f>EXP(-LN(2)/2)*HI89+(1-EXP(-LN(2)/2))/(LN(2)/2)*HC90*HF90*VLOOKUP('Données projet'!$B$18,Paramètres!$A$1:$I$89,3,0)*0.475*44/12</f>
        <v>0</v>
      </c>
      <c r="HJ90" s="24">
        <f t="shared" si="84"/>
        <v>0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135.66666666666666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475.20000000000005</v>
      </c>
      <c r="O91" s="14">
        <f>N91*VLOOKUP('Données projet'!$B$9,Paramètres!$A$1:$I$89,3,0)*VLOOKUP('Données projet'!$B$9,Paramètres!$A$1:$I$89,5,0)</f>
        <v>284.16960000000006</v>
      </c>
      <c r="P91" s="14">
        <f t="shared" si="87"/>
        <v>67.847405740313931</v>
      </c>
      <c r="Q91" s="22">
        <f t="shared" si="54"/>
        <v>613.0962849977135</v>
      </c>
      <c r="R91" s="62">
        <f t="shared" si="55"/>
        <v>876.55918486555458</v>
      </c>
      <c r="S91" s="62">
        <f ca="1">AVERAGE(OFFSET($R$3,0,0,'Données projet'!$E$9+1,1))-AVERAGE(OFFSET($H$3,0,0,'Données projet'!$E$9+1,1))</f>
        <v>437.94016462147999</v>
      </c>
      <c r="T91" s="62">
        <f t="shared" si="88"/>
        <v>281.88254003380348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1.5252036489974703E-8</v>
      </c>
      <c r="AC91" s="24">
        <f t="shared" si="57"/>
        <v>1.5252036489974703E-8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264.2000000000001</v>
      </c>
      <c r="AJ91" s="14">
        <f>AI91*VLOOKUP('Données projet'!$B$10,Paramètres!$A$1:$I$89,3,0)*VLOOKUP('Données projet'!$B$10,Paramètres!$A$1:$I$89,5,0)</f>
        <v>239.04816000000008</v>
      </c>
      <c r="AK91" s="14">
        <f t="shared" si="89"/>
        <v>58.234690128947342</v>
      </c>
      <c r="AL91" s="22">
        <f t="shared" si="58"/>
        <v>517.76763064125009</v>
      </c>
      <c r="AM91" s="62">
        <f t="shared" si="59"/>
        <v>781.23053050909118</v>
      </c>
      <c r="AN91" s="62">
        <f ca="1">AVERAGE(OFFSET($AM$3,0,0,'Données projet'!$E$10+1,1))-AVERAGE(OFFSET($H$3,0,0,'Données projet'!$E$10+1,1))</f>
        <v>434.56763649859136</v>
      </c>
      <c r="AO91" s="62">
        <f t="shared" si="90"/>
        <v>271.90302066766264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1.1368683772161603E-13</v>
      </c>
      <c r="BE91" s="14">
        <f>BD91*VLOOKUP('Données projet'!$B$11,Paramètres!$A$1:$I$89,3,0)*VLOOKUP('Données projet'!$B$11,Paramètres!$A$1:$I$89,5,0)</f>
        <v>6.7984728957526396E-14</v>
      </c>
      <c r="BF91" s="14">
        <f t="shared" si="91"/>
        <v>1.0682447123141398E-12</v>
      </c>
      <c r="BG91" s="22">
        <f t="shared" si="61"/>
        <v>1.978932943548152E-12</v>
      </c>
      <c r="BH91" s="62">
        <f t="shared" si="62"/>
        <v>263.46289986784308</v>
      </c>
      <c r="BI91" s="62">
        <f ca="1">AVERAGE(OFFSET($BH$3,0,0,'Données projet'!$E$11+1,1))-AVERAGE(OFFSET($H$3,0,0,'Données projet'!$E$11+1,1))</f>
        <v>199.65420589615553</v>
      </c>
      <c r="BJ91" s="62">
        <f t="shared" si="92"/>
        <v>477.85821088970999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16.906112998783325</v>
      </c>
      <c r="BQ91" s="23">
        <f>EXP(-LN(2)/25)*BQ90+(1-EXP(-LN(2)/25))/(LN(2)/25)*Calculateur!BL91*Calculateur!BN91*VLOOKUP('Données projet'!$B$11,Paramètres!$A$1:$I$89,3,0)*0.475*44/12</f>
        <v>8.8015179064162172</v>
      </c>
      <c r="BR91" s="23">
        <f>EXP(-LN(2)/2)*BR90+(1-EXP(-LN(2)/2))/(LN(2)/2)*BL91*BO91*VLOOKUP('Données projet'!$B$11,Paramètres!$A$1:$I$89,3,0)*0.475*44/12</f>
        <v>8.1150577956640371E-8</v>
      </c>
      <c r="BS91" s="24">
        <f t="shared" si="63"/>
        <v>25.707630986350122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5.4</v>
      </c>
      <c r="BY91" s="13">
        <f>IF('Données projet'!$A$114&gt;35,BY90+BX91-CG90,IF(A91&lt;'Données projet'!$A$114,$BV$205^A91,IF(A91='Données projet'!$A$114,'Données projet'!$B$114,BY90+BX91-CG90)))</f>
        <v>475.20000000000005</v>
      </c>
      <c r="BZ91" s="14">
        <f>BY91*VLOOKUP('Données projet'!$B$12,Paramètres!$A$1:$I$89,3,0)*VLOOKUP('Données projet'!$B$12,Paramètres!$A$1:$I$89,5,0)</f>
        <v>284.16960000000006</v>
      </c>
      <c r="CA91" s="14">
        <f t="shared" si="93"/>
        <v>67.847405740313931</v>
      </c>
      <c r="CB91" s="22">
        <f t="shared" si="64"/>
        <v>613.0962849977135</v>
      </c>
      <c r="CC91" s="62">
        <f t="shared" si="65"/>
        <v>876.55918486555458</v>
      </c>
      <c r="CD91" s="62">
        <f ca="1">AVERAGE(OFFSET($CC$3,0,0,'Données projet'!$E$12+1,1))-AVERAGE(OFFSET($H$3,0,0,'Données projet'!$E$12+1,1))</f>
        <v>437.94016462147999</v>
      </c>
      <c r="CE91" s="62">
        <f t="shared" si="94"/>
        <v>281.88254003380348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1.5252036489974703E-8</v>
      </c>
      <c r="CN91" s="24">
        <f t="shared" si="66"/>
        <v>1.5252036489974703E-8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5.4</v>
      </c>
      <c r="CT91" s="13">
        <f>IF('Données projet'!$A$140&gt;35,CT90+CS91-DB90,IF(A91&lt;'Données projet'!$A$140,$CQ$205^A91,IF(A91='Données projet'!$A$140,'Données projet'!$B$140,CT90+CS91-DB90)))</f>
        <v>264.2000000000001</v>
      </c>
      <c r="CU91" s="18">
        <f>CT91*VLOOKUP('Données projet'!$B$13,Paramètres!$A$1:$I$89,3,0)*VLOOKUP('Données projet'!$B$13,Paramètres!$A$1:$I$89,5,0)</f>
        <v>300.87096000000014</v>
      </c>
      <c r="CV91" s="14">
        <f t="shared" si="95"/>
        <v>71.359019327927484</v>
      </c>
      <c r="CW91" s="22">
        <f t="shared" si="67"/>
        <v>648.30054732947394</v>
      </c>
      <c r="CX91" s="62">
        <f t="shared" si="68"/>
        <v>911.76344719731503</v>
      </c>
      <c r="CY91" s="62">
        <f ca="1">AVERAGE(OFFSET($CX$3,0,0,'Données projet'!$E$13+1,1))-AVERAGE(OFFSET($H$3,0,0,'Données projet'!$E$13+1,1))</f>
        <v>520.23742527061836</v>
      </c>
      <c r="CZ91" s="62">
        <f t="shared" si="96"/>
        <v>321.35925479331274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6.4</v>
      </c>
      <c r="DO91" s="13">
        <f>IF('Données projet'!$A$166&gt;35,DO90+DN91-DW90,IF(A91&lt;'Données projet'!$A$166,$DL$205^A91,IF(A91='Données projet'!$A$166,'Données projet'!$B$166,DO90+DN91-DW90)))</f>
        <v>317.2</v>
      </c>
      <c r="DP91" s="18">
        <f>DO91*VLOOKUP('Données projet'!$B$14,Paramètres!$A$1:$I$89,3,0)*VLOOKUP('Données projet'!$B$14,Paramètres!$A$1:$I$89,5,0)</f>
        <v>321.64080000000001</v>
      </c>
      <c r="DQ91" s="14">
        <f t="shared" si="97"/>
        <v>75.694652325793228</v>
      </c>
      <c r="DR91" s="22">
        <f t="shared" si="70"/>
        <v>692.0259128007566</v>
      </c>
      <c r="DS91" s="62">
        <f t="shared" si="71"/>
        <v>955.48881266859769</v>
      </c>
      <c r="DT91" s="62">
        <f ca="1">AVERAGE(OFFSET($DS$3,0,0,'Données projet'!$E$14+1,1))-AVERAGE(OFFSET($H$3,0,0,'Données projet'!$E$14+1,1))</f>
        <v>547.89540791313675</v>
      </c>
      <c r="DU91" s="62">
        <f t="shared" si="98"/>
        <v>345.19555189302378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5.6843418860808015E-14</v>
      </c>
      <c r="EK91" s="18">
        <f>EJ91*VLOOKUP('Données projet'!$B$15,Paramètres!$A$1:$I$89,3,0)*VLOOKUP('Données projet'!$B$15,Paramètres!$A$1:$I$89,5,0)</f>
        <v>5.9412741393316544E-14</v>
      </c>
      <c r="EL91" s="14">
        <f t="shared" si="99"/>
        <v>9.483138037075782E-13</v>
      </c>
      <c r="EM91" s="22">
        <f t="shared" si="73"/>
        <v>1.7551237327173916E-12</v>
      </c>
      <c r="EN91" s="62">
        <f t="shared" si="74"/>
        <v>263.46289986784285</v>
      </c>
      <c r="EO91" s="62">
        <f ca="1">AVERAGE(OFFSET($EN$3,0,0,'Données projet'!$E$15+1,1))-AVERAGE(OFFSET($H$3,0,0,'Données projet'!$E$15+1,1))</f>
        <v>418.23737352070503</v>
      </c>
      <c r="EP91" s="62">
        <f t="shared" si="100"/>
        <v>496.10742685332968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1.1368683772161603E-13</v>
      </c>
      <c r="FF91" s="18">
        <f>FE91*VLOOKUP('Données projet'!$B$16,Paramètres!$A$1:$I$89,3,0)*VLOOKUP('Données projet'!$B$16,Paramètres!$A$1:$I$89,5,0)</f>
        <v>6.7984728957526396E-14</v>
      </c>
      <c r="FG91" s="14">
        <f t="shared" si="101"/>
        <v>1.0682447123141398E-12</v>
      </c>
      <c r="FH91" s="22">
        <f t="shared" si="76"/>
        <v>1.978932943548152E-12</v>
      </c>
      <c r="FI91" s="62">
        <f t="shared" si="77"/>
        <v>263.46289986784308</v>
      </c>
      <c r="FJ91" s="62">
        <f ca="1">AVERAGE(OFFSET($FI$3,0,0,'Données projet'!$E$16+1,1))-AVERAGE(OFFSET($H$3,0,0,'Données projet'!$E$16+1,1))</f>
        <v>341.70983624543067</v>
      </c>
      <c r="FK91" s="62">
        <f t="shared" si="102"/>
        <v>250.82562837973805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2.3083213443879239E-8</v>
      </c>
      <c r="FT91" s="24">
        <f t="shared" si="78"/>
        <v>2.3083213443879239E-8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10</v>
      </c>
      <c r="FZ91" s="13">
        <f>IF('Données projet'!$A$244&gt;35,FZ90+FY91-GH90,IF(A91&lt;'Données projet'!$A$244,$FW$205^A91,IF(A91='Données projet'!$A$244,'Données projet'!$B$244,FZ90+FY91-GH90)))</f>
        <v>355.99999999999972</v>
      </c>
      <c r="GA91" s="18">
        <f>FZ91*VLOOKUP('Données projet'!$B$17,Paramètres!$A$1:$I$89,3,0)*VLOOKUP('Données projet'!$B$17,Paramètres!$A$1:$I$89,5,0)</f>
        <v>166.60799999999986</v>
      </c>
      <c r="GB91" s="14">
        <f t="shared" si="103"/>
        <v>42.329439597357599</v>
      </c>
      <c r="GC91" s="22">
        <f t="shared" si="79"/>
        <v>363.8993739653975</v>
      </c>
      <c r="GD91" s="62">
        <f t="shared" si="80"/>
        <v>627.36227383323853</v>
      </c>
      <c r="GE91" s="62">
        <f ca="1">AVERAGE(OFFSET($GD$3,0,0,'Données projet'!$E$17+1,1))-AVERAGE(OFFSET($H$3,0,0,'Données projet'!$E$17+1,1))</f>
        <v>368.69628434154333</v>
      </c>
      <c r="GF91" s="62">
        <f t="shared" si="104"/>
        <v>202.28197295839524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2.6</v>
      </c>
      <c r="GU91" s="13">
        <f>IF('Données projet'!$A$270&gt;35,GU90+GT91-HC90,IF(A91&lt;'Données projet'!$A$270,$GR$205^A91,IF(A91='Données projet'!$A$270,'Données projet'!$B$270,GU90+GT91-HC90)))</f>
        <v>230.7999999999999</v>
      </c>
      <c r="GV91" s="18">
        <f>GU91*VLOOKUP('Données projet'!$B$18,Paramètres!$A$1:$I$89,3,0)*VLOOKUP('Données projet'!$B$18,Paramètres!$A$1:$I$89,5,0)</f>
        <v>201.62687999999994</v>
      </c>
      <c r="GW91" s="14">
        <f t="shared" si="105"/>
        <v>50.101537951964936</v>
      </c>
      <c r="GX91" s="22">
        <f t="shared" si="82"/>
        <v>438.42699459967213</v>
      </c>
      <c r="GY91" s="62">
        <f t="shared" si="83"/>
        <v>701.88989446751316</v>
      </c>
      <c r="GZ91" s="62">
        <f ca="1">AVERAGE(OFFSET($GY$3,0,0,'Données projet'!$E$18+1,1))-AVERAGE(OFFSET($H$3,0,0,'Données projet'!$E$18+1,1))</f>
        <v>378.51861272969165</v>
      </c>
      <c r="HA91" s="62">
        <f t="shared" si="106"/>
        <v>387.42368617035459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0</v>
      </c>
      <c r="HH91" s="23">
        <f>EXP(-LN(2)/25)*HH90+(1-EXP(-LN(2)/25))/(LN(2)/25)*Calculateur!HC91*Calculateur!HE91*VLOOKUP('Données projet'!$B$18,Paramètres!$A$1:$I$89,3,0)*0.475*44/12</f>
        <v>0</v>
      </c>
      <c r="HI91" s="23">
        <f>EXP(-LN(2)/2)*HI90+(1-EXP(-LN(2)/2))/(LN(2)/2)*HC91*HF91*VLOOKUP('Données projet'!$B$18,Paramètres!$A$1:$I$89,3,0)*0.475*44/12</f>
        <v>0</v>
      </c>
      <c r="HJ91" s="24">
        <f t="shared" si="84"/>
        <v>0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135.66666666666666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480.6</v>
      </c>
      <c r="O92" s="14">
        <f>N92*VLOOKUP('Données projet'!$B$9,Paramètres!$A$1:$I$89,3,0)*VLOOKUP('Données projet'!$B$9,Paramètres!$A$1:$I$89,5,0)</f>
        <v>287.39880000000005</v>
      </c>
      <c r="P92" s="14">
        <f t="shared" si="87"/>
        <v>68.528206713592894</v>
      </c>
      <c r="Q92" s="22">
        <f t="shared" si="54"/>
        <v>619.90620335950769</v>
      </c>
      <c r="R92" s="62">
        <f t="shared" si="55"/>
        <v>883.88728846769027</v>
      </c>
      <c r="S92" s="62">
        <f ca="1">AVERAGE(OFFSET($R$3,0,0,'Données projet'!$E$9+1,1))-AVERAGE(OFFSET($H$3,0,0,'Données projet'!$E$9+1,1))</f>
        <v>437.94016462147999</v>
      </c>
      <c r="T92" s="62">
        <f t="shared" si="88"/>
        <v>281.88254003380348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1.0784818428965781E-8</v>
      </c>
      <c r="AC92" s="24">
        <f t="shared" si="57"/>
        <v>1.0784818428965781E-8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269.60000000000008</v>
      </c>
      <c r="AJ92" s="14">
        <f>AI92*VLOOKUP('Données projet'!$B$10,Paramètres!$A$1:$I$89,3,0)*VLOOKUP('Données projet'!$B$10,Paramètres!$A$1:$I$89,5,0)</f>
        <v>243.93408000000005</v>
      </c>
      <c r="AK92" s="14">
        <f t="shared" si="89"/>
        <v>59.28516432961765</v>
      </c>
      <c r="AL92" s="22">
        <f t="shared" si="58"/>
        <v>528.10685054075077</v>
      </c>
      <c r="AM92" s="62">
        <f t="shared" si="59"/>
        <v>792.08793564893335</v>
      </c>
      <c r="AN92" s="62">
        <f ca="1">AVERAGE(OFFSET($AM$3,0,0,'Données projet'!$E$10+1,1))-AVERAGE(OFFSET($H$3,0,0,'Données projet'!$E$10+1,1))</f>
        <v>434.56763649859136</v>
      </c>
      <c r="AO92" s="62">
        <f t="shared" si="90"/>
        <v>271.90302066766264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1.1368683772161603E-13</v>
      </c>
      <c r="BE92" s="14">
        <f>BD92*VLOOKUP('Données projet'!$B$11,Paramètres!$A$1:$I$89,3,0)*VLOOKUP('Données projet'!$B$11,Paramètres!$A$1:$I$89,5,0)</f>
        <v>6.7984728957526396E-14</v>
      </c>
      <c r="BF92" s="14">
        <f t="shared" si="91"/>
        <v>1.0682447123141398E-12</v>
      </c>
      <c r="BG92" s="22">
        <f t="shared" si="61"/>
        <v>1.978932943548152E-12</v>
      </c>
      <c r="BH92" s="62">
        <f t="shared" si="62"/>
        <v>263.98108510818452</v>
      </c>
      <c r="BI92" s="62">
        <f ca="1">AVERAGE(OFFSET($BH$3,0,0,'Données projet'!$E$11+1,1))-AVERAGE(OFFSET($H$3,0,0,'Données projet'!$E$11+1,1))</f>
        <v>199.65420589615553</v>
      </c>
      <c r="BJ92" s="62">
        <f t="shared" si="92"/>
        <v>477.85821088970999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16.574594434587915</v>
      </c>
      <c r="BQ92" s="23">
        <f>EXP(-LN(2)/25)*BQ91+(1-EXP(-LN(2)/25))/(LN(2)/25)*Calculateur!BL92*Calculateur!BN92*VLOOKUP('Données projet'!$B$11,Paramètres!$A$1:$I$89,3,0)*0.475*44/12</f>
        <v>8.5608399364135543</v>
      </c>
      <c r="BR92" s="23">
        <f>EXP(-LN(2)/2)*BR91+(1-EXP(-LN(2)/2))/(LN(2)/2)*BL92*BO92*VLOOKUP('Données projet'!$B$11,Paramètres!$A$1:$I$89,3,0)*0.475*44/12</f>
        <v>5.7382123970347974E-8</v>
      </c>
      <c r="BS92" s="24">
        <f t="shared" si="63"/>
        <v>25.135434428383594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5.4</v>
      </c>
      <c r="BY92" s="13">
        <f>IF('Données projet'!$A$114&gt;35,BY91+BX92-CG91,IF(A92&lt;'Données projet'!$A$114,$BV$205^A92,IF(A92='Données projet'!$A$114,'Données projet'!$B$114,BY91+BX92-CG91)))</f>
        <v>480.6</v>
      </c>
      <c r="BZ92" s="14">
        <f>BY92*VLOOKUP('Données projet'!$B$12,Paramètres!$A$1:$I$89,3,0)*VLOOKUP('Données projet'!$B$12,Paramètres!$A$1:$I$89,5,0)</f>
        <v>287.39880000000005</v>
      </c>
      <c r="CA92" s="14">
        <f t="shared" si="93"/>
        <v>68.528206713592894</v>
      </c>
      <c r="CB92" s="22">
        <f t="shared" si="64"/>
        <v>619.90620335950769</v>
      </c>
      <c r="CC92" s="62">
        <f t="shared" si="65"/>
        <v>883.88728846769027</v>
      </c>
      <c r="CD92" s="62">
        <f ca="1">AVERAGE(OFFSET($CC$3,0,0,'Données projet'!$E$12+1,1))-AVERAGE(OFFSET($H$3,0,0,'Données projet'!$E$12+1,1))</f>
        <v>437.94016462147999</v>
      </c>
      <c r="CE92" s="62">
        <f t="shared" si="94"/>
        <v>281.88254003380348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1.0784818428965781E-8</v>
      </c>
      <c r="CN92" s="24">
        <f t="shared" si="66"/>
        <v>1.0784818428965781E-8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5.4</v>
      </c>
      <c r="CT92" s="13">
        <f>IF('Données projet'!$A$140&gt;35,CT91+CS92-DB91,IF(A92&lt;'Données projet'!$A$140,$CQ$205^A92,IF(A92='Données projet'!$A$140,'Données projet'!$B$140,CT91+CS92-DB91)))</f>
        <v>269.60000000000008</v>
      </c>
      <c r="CU92" s="18">
        <f>CT92*VLOOKUP('Données projet'!$B$13,Paramètres!$A$1:$I$89,3,0)*VLOOKUP('Données projet'!$B$13,Paramètres!$A$1:$I$89,5,0)</f>
        <v>307.02048000000008</v>
      </c>
      <c r="CV92" s="14">
        <f t="shared" si="95"/>
        <v>72.646238485840712</v>
      </c>
      <c r="CW92" s="22">
        <f t="shared" si="67"/>
        <v>661.25286802950598</v>
      </c>
      <c r="CX92" s="62">
        <f t="shared" si="68"/>
        <v>925.23395313768856</v>
      </c>
      <c r="CY92" s="62">
        <f ca="1">AVERAGE(OFFSET($CX$3,0,0,'Données projet'!$E$13+1,1))-AVERAGE(OFFSET($H$3,0,0,'Données projet'!$E$13+1,1))</f>
        <v>520.23742527061836</v>
      </c>
      <c r="CZ92" s="62">
        <f t="shared" si="96"/>
        <v>321.35925479331274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6.4</v>
      </c>
      <c r="DO92" s="13">
        <f>IF('Données projet'!$A$166&gt;35,DO91+DN92-DW91,IF(A92&lt;'Données projet'!$A$166,$DL$205^A92,IF(A92='Données projet'!$A$166,'Données projet'!$B$166,DO91+DN92-DW91)))</f>
        <v>323.59999999999997</v>
      </c>
      <c r="DP92" s="18">
        <f>DO92*VLOOKUP('Données projet'!$B$14,Paramètres!$A$1:$I$89,3,0)*VLOOKUP('Données projet'!$B$14,Paramètres!$A$1:$I$89,5,0)</f>
        <v>328.13039999999995</v>
      </c>
      <c r="DQ92" s="14">
        <f t="shared" si="97"/>
        <v>77.042563313388285</v>
      </c>
      <c r="DR92" s="22">
        <f t="shared" si="70"/>
        <v>705.67624443748446</v>
      </c>
      <c r="DS92" s="62">
        <f t="shared" si="71"/>
        <v>969.65732954566693</v>
      </c>
      <c r="DT92" s="62">
        <f ca="1">AVERAGE(OFFSET($DS$3,0,0,'Données projet'!$E$14+1,1))-AVERAGE(OFFSET($H$3,0,0,'Données projet'!$E$14+1,1))</f>
        <v>547.89540791313675</v>
      </c>
      <c r="DU92" s="62">
        <f t="shared" si="98"/>
        <v>345.19555189302378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5.6843418860808015E-14</v>
      </c>
      <c r="EK92" s="18">
        <f>EJ92*VLOOKUP('Données projet'!$B$15,Paramètres!$A$1:$I$89,3,0)*VLOOKUP('Données projet'!$B$15,Paramètres!$A$1:$I$89,5,0)</f>
        <v>5.9412741393316544E-14</v>
      </c>
      <c r="EL92" s="14">
        <f t="shared" si="99"/>
        <v>9.483138037075782E-13</v>
      </c>
      <c r="EM92" s="22">
        <f t="shared" si="73"/>
        <v>1.7551237327173916E-12</v>
      </c>
      <c r="EN92" s="62">
        <f t="shared" si="74"/>
        <v>263.98108510818429</v>
      </c>
      <c r="EO92" s="62">
        <f ca="1">AVERAGE(OFFSET($EN$3,0,0,'Données projet'!$E$15+1,1))-AVERAGE(OFFSET($H$3,0,0,'Données projet'!$E$15+1,1))</f>
        <v>418.23737352070503</v>
      </c>
      <c r="EP92" s="62">
        <f t="shared" si="100"/>
        <v>496.10742685332968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1.1368683772161603E-13</v>
      </c>
      <c r="FF92" s="18">
        <f>FE92*VLOOKUP('Données projet'!$B$16,Paramètres!$A$1:$I$89,3,0)*VLOOKUP('Données projet'!$B$16,Paramètres!$A$1:$I$89,5,0)</f>
        <v>6.7984728957526396E-14</v>
      </c>
      <c r="FG92" s="14">
        <f t="shared" si="101"/>
        <v>1.0682447123141398E-12</v>
      </c>
      <c r="FH92" s="22">
        <f t="shared" si="76"/>
        <v>1.978932943548152E-12</v>
      </c>
      <c r="FI92" s="62">
        <f t="shared" si="77"/>
        <v>263.98108510818452</v>
      </c>
      <c r="FJ92" s="62">
        <f ca="1">AVERAGE(OFFSET($FI$3,0,0,'Données projet'!$E$16+1,1))-AVERAGE(OFFSET($H$3,0,0,'Données projet'!$E$16+1,1))</f>
        <v>341.70983624543067</v>
      </c>
      <c r="FK92" s="62">
        <f t="shared" si="102"/>
        <v>250.82562837973805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1.6322296757743489E-8</v>
      </c>
      <c r="FT92" s="24">
        <f t="shared" si="78"/>
        <v>1.6322296757743489E-8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10</v>
      </c>
      <c r="FZ92" s="13">
        <f>IF('Données projet'!$A$244&gt;35,FZ91+FY92-GH91,IF(A92&lt;'Données projet'!$A$244,$FW$205^A92,IF(A92='Données projet'!$A$244,'Données projet'!$B$244,FZ91+FY92-GH91)))</f>
        <v>365.99999999999972</v>
      </c>
      <c r="GA92" s="18">
        <f>FZ92*VLOOKUP('Données projet'!$B$17,Paramètres!$A$1:$I$89,3,0)*VLOOKUP('Données projet'!$B$17,Paramètres!$A$1:$I$89,5,0)</f>
        <v>171.2879999999999</v>
      </c>
      <c r="GB92" s="14">
        <f t="shared" si="103"/>
        <v>43.378365895721338</v>
      </c>
      <c r="GC92" s="22">
        <f t="shared" si="79"/>
        <v>373.8772539350478</v>
      </c>
      <c r="GD92" s="62">
        <f t="shared" si="80"/>
        <v>637.85833904323033</v>
      </c>
      <c r="GE92" s="62">
        <f ca="1">AVERAGE(OFFSET($GD$3,0,0,'Données projet'!$E$17+1,1))-AVERAGE(OFFSET($H$3,0,0,'Données projet'!$E$17+1,1))</f>
        <v>368.69628434154333</v>
      </c>
      <c r="GF92" s="62">
        <f t="shared" si="104"/>
        <v>202.28197295839524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2.6</v>
      </c>
      <c r="GU92" s="13">
        <f>IF('Données projet'!$A$270&gt;35,GU91+GT92-HC91,IF(A92&lt;'Données projet'!$A$270,$GR$205^A92,IF(A92='Données projet'!$A$270,'Données projet'!$B$270,GU91+GT92-HC91)))</f>
        <v>233.39999999999989</v>
      </c>
      <c r="GV92" s="18">
        <f>GU92*VLOOKUP('Données projet'!$B$18,Paramètres!$A$1:$I$89,3,0)*VLOOKUP('Données projet'!$B$18,Paramètres!$A$1:$I$89,5,0)</f>
        <v>203.89823999999993</v>
      </c>
      <c r="GW92" s="14">
        <f t="shared" si="105"/>
        <v>50.59991801943017</v>
      </c>
      <c r="GX92" s="22">
        <f t="shared" si="82"/>
        <v>443.25095855050739</v>
      </c>
      <c r="GY92" s="62">
        <f t="shared" si="83"/>
        <v>707.23204365868992</v>
      </c>
      <c r="GZ92" s="62">
        <f ca="1">AVERAGE(OFFSET($GY$3,0,0,'Données projet'!$E$18+1,1))-AVERAGE(OFFSET($H$3,0,0,'Données projet'!$E$18+1,1))</f>
        <v>378.51861272969165</v>
      </c>
      <c r="HA92" s="62">
        <f t="shared" si="106"/>
        <v>387.42368617035459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0</v>
      </c>
      <c r="HH92" s="23">
        <f>EXP(-LN(2)/25)*HH91+(1-EXP(-LN(2)/25))/(LN(2)/25)*Calculateur!HC92*Calculateur!HE92*VLOOKUP('Données projet'!$B$18,Paramètres!$A$1:$I$89,3,0)*0.475*44/12</f>
        <v>0</v>
      </c>
      <c r="HI92" s="23">
        <f>EXP(-LN(2)/2)*HI91+(1-EXP(-LN(2)/2))/(LN(2)/2)*HC92*HF92*VLOOKUP('Données projet'!$B$18,Paramètres!$A$1:$I$89,3,0)*0.475*44/12</f>
        <v>0</v>
      </c>
      <c r="HJ92" s="24">
        <f t="shared" si="84"/>
        <v>0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135.66666666666666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486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486</v>
      </c>
      <c r="O93" s="14">
        <f>N93*VLOOKUP('Données projet'!$B$9,Paramètres!$A$1:$I$89,3,0)*VLOOKUP('Données projet'!$B$9,Paramètres!$A$1:$I$89,5,0)</f>
        <v>290.62799999999999</v>
      </c>
      <c r="P93" s="14">
        <f t="shared" si="87"/>
        <v>69.208117853196882</v>
      </c>
      <c r="Q93" s="22">
        <f t="shared" si="54"/>
        <v>626.71457192765126</v>
      </c>
      <c r="R93" s="62">
        <f t="shared" si="55"/>
        <v>891.20485292074409</v>
      </c>
      <c r="S93" s="62">
        <f ca="1">AVERAGE(OFFSET($R$3,0,0,'Données projet'!$E$9+1,1))-AVERAGE(OFFSET($H$3,0,0,'Données projet'!$E$9+1,1))</f>
        <v>437.94016462147999</v>
      </c>
      <c r="T93" s="62">
        <f t="shared" si="88"/>
        <v>281.88254003380348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24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7.6260182449873516E-9</v>
      </c>
      <c r="AC93" s="24">
        <f t="shared" si="57"/>
        <v>7.6260182449873516E-9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275.00000000000006</v>
      </c>
      <c r="AJ93" s="14">
        <f>AI93*VLOOKUP('Données projet'!$B$10,Paramètres!$A$1:$I$89,3,0)*VLOOKUP('Données projet'!$B$10,Paramètres!$A$1:$I$89,5,0)</f>
        <v>248.82000000000005</v>
      </c>
      <c r="AK93" s="14">
        <f t="shared" si="89"/>
        <v>60.333192077890068</v>
      </c>
      <c r="AL93" s="22">
        <f t="shared" si="58"/>
        <v>538.44180953565865</v>
      </c>
      <c r="AM93" s="62">
        <f t="shared" si="59"/>
        <v>802.93209052875136</v>
      </c>
      <c r="AN93" s="62">
        <f ca="1">AVERAGE(OFFSET($AM$3,0,0,'Données projet'!$E$10+1,1))-AVERAGE(OFFSET($H$3,0,0,'Données projet'!$E$10+1,1))</f>
        <v>434.56763649859136</v>
      </c>
      <c r="AO93" s="62">
        <f t="shared" si="90"/>
        <v>271.90302066766264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1.1368683772161603E-13</v>
      </c>
      <c r="BE93" s="14">
        <f>BD93*VLOOKUP('Données projet'!$B$11,Paramètres!$A$1:$I$89,3,0)*VLOOKUP('Données projet'!$B$11,Paramètres!$A$1:$I$89,5,0)</f>
        <v>6.7984728957526396E-14</v>
      </c>
      <c r="BF93" s="14">
        <f t="shared" si="91"/>
        <v>1.0682447123141398E-12</v>
      </c>
      <c r="BG93" s="22">
        <f t="shared" si="61"/>
        <v>1.978932943548152E-12</v>
      </c>
      <c r="BH93" s="62">
        <f t="shared" si="62"/>
        <v>264.49028099309476</v>
      </c>
      <c r="BI93" s="62">
        <f ca="1">AVERAGE(OFFSET($BH$3,0,0,'Données projet'!$E$11+1,1))-AVERAGE(OFFSET($H$3,0,0,'Données projet'!$E$11+1,1))</f>
        <v>199.65420589615553</v>
      </c>
      <c r="BJ93" s="62">
        <f t="shared" si="92"/>
        <v>477.85821088970999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16.249576747230019</v>
      </c>
      <c r="BQ93" s="23">
        <f>EXP(-LN(2)/25)*BQ92+(1-EXP(-LN(2)/25))/(LN(2)/25)*Calculateur!BL93*Calculateur!BN93*VLOOKUP('Données projet'!$B$11,Paramètres!$A$1:$I$89,3,0)*0.475*44/12</f>
        <v>8.3267433181573196</v>
      </c>
      <c r="BR93" s="23">
        <f>EXP(-LN(2)/2)*BR92+(1-EXP(-LN(2)/2))/(LN(2)/2)*BL93*BO93*VLOOKUP('Données projet'!$B$11,Paramètres!$A$1:$I$89,3,0)*0.475*44/12</f>
        <v>4.0575288978320192E-8</v>
      </c>
      <c r="BS93" s="24">
        <f t="shared" si="63"/>
        <v>24.57632010596263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486</v>
      </c>
      <c r="BW93" s="13">
        <f>VLOOKUP(A93,'Données projet'!$A$113:$I$133,9,0)</f>
        <v>5.4</v>
      </c>
      <c r="BX93" s="13">
        <f t="array" ref="BX93">INDEX(BW:BW,MIN(IF(ISNUMBER(BW93:BW289),ROW(BW93:BW289),"")))</f>
        <v>5.4</v>
      </c>
      <c r="BY93" s="13">
        <f>IF('Données projet'!$A$114&gt;35,BY92+BX93-CG92,IF(A93&lt;'Données projet'!$A$114,$BV$205^A93,IF(A93='Données projet'!$A$114,'Données projet'!$B$114,BY92+BX93-CG92)))</f>
        <v>486</v>
      </c>
      <c r="BZ93" s="14">
        <f>BY93*VLOOKUP('Données projet'!$B$12,Paramètres!$A$1:$I$89,3,0)*VLOOKUP('Données projet'!$B$12,Paramètres!$A$1:$I$89,5,0)</f>
        <v>290.62799999999999</v>
      </c>
      <c r="CA93" s="14">
        <f t="shared" si="93"/>
        <v>69.208117853196882</v>
      </c>
      <c r="CB93" s="22">
        <f t="shared" si="64"/>
        <v>626.71457192765126</v>
      </c>
      <c r="CC93" s="62">
        <f t="shared" si="65"/>
        <v>891.20485292074409</v>
      </c>
      <c r="CD93" s="62">
        <f ca="1">AVERAGE(OFFSET($CC$3,0,0,'Données projet'!$E$12+1,1))-AVERAGE(OFFSET($H$3,0,0,'Données projet'!$E$12+1,1))</f>
        <v>437.94016462147999</v>
      </c>
      <c r="CE93" s="62">
        <f t="shared" si="94"/>
        <v>281.88254003380348</v>
      </c>
      <c r="CF93" s="16">
        <f>IF(ISNA(VLOOKUP(A93,'Données projet'!$A$113:$I$133,3,0)),0,VLOOKUP(A93,'Données projet'!$A$113:$I$133,3,0))</f>
        <v>8</v>
      </c>
      <c r="CG93" s="16">
        <f>IF(ISNA(VLOOKUP(A93,'Données projet'!$A$113:$I$133,4,0)),0,VLOOKUP(A93,'Données projet'!$A$113:$I$133,4,0))</f>
        <v>24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7.6260182449873516E-9</v>
      </c>
      <c r="CN93" s="24">
        <f t="shared" si="66"/>
        <v>7.6260182449873516E-9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275</v>
      </c>
      <c r="CR93" s="13">
        <f>VLOOKUP(A93,'Données projet'!$A$139:$I$159,9,0)</f>
        <v>5.4</v>
      </c>
      <c r="CS93" s="13">
        <f t="array" ref="CS93">INDEX(CR:CR,MIN(IF(ISNUMBER(CR93:CR289),ROW(CR93:CR289),"")))</f>
        <v>5.4</v>
      </c>
      <c r="CT93" s="13">
        <f>IF('Données projet'!$A$140&gt;35,CT92+CS93-DB92,IF(A93&lt;'Données projet'!$A$140,$CQ$205^A93,IF(A93='Données projet'!$A$140,'Données projet'!$B$140,CT92+CS93-DB92)))</f>
        <v>275.00000000000006</v>
      </c>
      <c r="CU93" s="18">
        <f>CT93*VLOOKUP('Données projet'!$B$13,Paramètres!$A$1:$I$89,3,0)*VLOOKUP('Données projet'!$B$13,Paramètres!$A$1:$I$89,5,0)</f>
        <v>313.17000000000007</v>
      </c>
      <c r="CV93" s="14">
        <f t="shared" si="95"/>
        <v>73.930459835341907</v>
      </c>
      <c r="CW93" s="22">
        <f t="shared" si="67"/>
        <v>674.19996754655403</v>
      </c>
      <c r="CX93" s="62">
        <f t="shared" si="68"/>
        <v>938.69024853964675</v>
      </c>
      <c r="CY93" s="62">
        <f ca="1">AVERAGE(OFFSET($CX$3,0,0,'Données projet'!$E$13+1,1))-AVERAGE(OFFSET($H$3,0,0,'Données projet'!$E$13+1,1))</f>
        <v>520.23742527061836</v>
      </c>
      <c r="CZ93" s="62">
        <f t="shared" si="96"/>
        <v>321.35925479331274</v>
      </c>
      <c r="DA93" s="16">
        <f>IF(ISNA(VLOOKUP(A93,'Données projet'!$A$139:$I$159,3,0)),0,VLOOKUP(A93,'Données projet'!$A$139:$I$159,3,0))</f>
        <v>14</v>
      </c>
      <c r="DB93" s="16">
        <f>IF(ISNA(VLOOKUP(A93,'Données projet'!$A$139:$I$159,4,0)),0,VLOOKUP(A93,'Données projet'!$A$139:$I$159,4,0))</f>
        <v>21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330</v>
      </c>
      <c r="DM93" s="13">
        <f>VLOOKUP(A93,'Données projet'!$A$165:$I$185,9,0)</f>
        <v>6.4</v>
      </c>
      <c r="DN93" s="13">
        <f t="array" ref="DN93">INDEX(DM:DM,MIN(IF(ISNUMBER(DM93:DM289),ROW(DM93:DM289),"")))</f>
        <v>6.4</v>
      </c>
      <c r="DO93" s="13">
        <f>IF('Données projet'!$A$166&gt;35,DO92+DN93-DW92,IF(A93&lt;'Données projet'!$A$166,$DL$205^A93,IF(A93='Données projet'!$A$166,'Données projet'!$B$166,DO92+DN93-DW92)))</f>
        <v>329.99999999999994</v>
      </c>
      <c r="DP93" s="18">
        <f>DO93*VLOOKUP('Données projet'!$B$14,Paramètres!$A$1:$I$89,3,0)*VLOOKUP('Données projet'!$B$14,Paramètres!$A$1:$I$89,5,0)</f>
        <v>334.61999999999995</v>
      </c>
      <c r="DQ93" s="14">
        <f t="shared" si="97"/>
        <v>78.387374628661505</v>
      </c>
      <c r="DR93" s="22">
        <f t="shared" si="70"/>
        <v>719.32117747825203</v>
      </c>
      <c r="DS93" s="62">
        <f t="shared" si="71"/>
        <v>983.81145847134485</v>
      </c>
      <c r="DT93" s="62">
        <f ca="1">AVERAGE(OFFSET($DS$3,0,0,'Données projet'!$E$14+1,1))-AVERAGE(OFFSET($H$3,0,0,'Données projet'!$E$14+1,1))</f>
        <v>547.89540791313675</v>
      </c>
      <c r="DU93" s="62">
        <f t="shared" si="98"/>
        <v>345.19555189302378</v>
      </c>
      <c r="DV93" s="16">
        <f>IF(ISNA(VLOOKUP(A93,'Données projet'!$A$165:$I$185,3,0)),0,VLOOKUP(A93,'Données projet'!$A$165:$I$185,3,0))</f>
        <v>15</v>
      </c>
      <c r="DW93" s="16">
        <f>IF(ISNA(VLOOKUP(A93,'Données projet'!$A$165:$I$185,4,0)),0,VLOOKUP(A93,'Données projet'!$A$165:$I$185,4,0))</f>
        <v>28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5.6843418860808015E-14</v>
      </c>
      <c r="EK93" s="18">
        <f>EJ93*VLOOKUP('Données projet'!$B$15,Paramètres!$A$1:$I$89,3,0)*VLOOKUP('Données projet'!$B$15,Paramètres!$A$1:$I$89,5,0)</f>
        <v>5.9412741393316544E-14</v>
      </c>
      <c r="EL93" s="14">
        <f t="shared" si="99"/>
        <v>9.483138037075782E-13</v>
      </c>
      <c r="EM93" s="22">
        <f t="shared" si="73"/>
        <v>1.7551237327173916E-12</v>
      </c>
      <c r="EN93" s="62">
        <f t="shared" si="74"/>
        <v>264.49028099309453</v>
      </c>
      <c r="EO93" s="62">
        <f ca="1">AVERAGE(OFFSET($EN$3,0,0,'Données projet'!$E$15+1,1))-AVERAGE(OFFSET($H$3,0,0,'Données projet'!$E$15+1,1))</f>
        <v>418.23737352070503</v>
      </c>
      <c r="EP93" s="62">
        <f t="shared" si="100"/>
        <v>496.10742685332968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1.1368683772161603E-13</v>
      </c>
      <c r="FF93" s="18">
        <f>FE93*VLOOKUP('Données projet'!$B$16,Paramètres!$A$1:$I$89,3,0)*VLOOKUP('Données projet'!$B$16,Paramètres!$A$1:$I$89,5,0)</f>
        <v>6.7984728957526396E-14</v>
      </c>
      <c r="FG93" s="14">
        <f t="shared" si="101"/>
        <v>1.0682447123141398E-12</v>
      </c>
      <c r="FH93" s="22">
        <f t="shared" si="76"/>
        <v>1.978932943548152E-12</v>
      </c>
      <c r="FI93" s="62">
        <f t="shared" si="77"/>
        <v>264.49028099309476</v>
      </c>
      <c r="FJ93" s="62">
        <f ca="1">AVERAGE(OFFSET($FI$3,0,0,'Données projet'!$E$16+1,1))-AVERAGE(OFFSET($H$3,0,0,'Données projet'!$E$16+1,1))</f>
        <v>341.70983624543067</v>
      </c>
      <c r="FK93" s="62">
        <f t="shared" si="102"/>
        <v>250.82562837973805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1.154160672193962E-8</v>
      </c>
      <c r="FT93" s="24">
        <f t="shared" si="78"/>
        <v>1.154160672193962E-8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10</v>
      </c>
      <c r="FZ93" s="13">
        <f>IF('Données projet'!$A$244&gt;35,FZ92+FY93-GH92,IF(A93&lt;'Données projet'!$A$244,$FW$205^A93,IF(A93='Données projet'!$A$244,'Données projet'!$B$244,FZ92+FY93-GH92)))</f>
        <v>375.99999999999972</v>
      </c>
      <c r="GA93" s="18">
        <f>FZ93*VLOOKUP('Données projet'!$B$17,Paramètres!$A$1:$I$89,3,0)*VLOOKUP('Données projet'!$B$17,Paramètres!$A$1:$I$89,5,0)</f>
        <v>175.96799999999988</v>
      </c>
      <c r="GB93" s="14">
        <f t="shared" si="103"/>
        <v>44.423961125650585</v>
      </c>
      <c r="GC93" s="22">
        <f t="shared" si="79"/>
        <v>383.8493322938412</v>
      </c>
      <c r="GD93" s="62">
        <f t="shared" si="80"/>
        <v>648.33961328693397</v>
      </c>
      <c r="GE93" s="62">
        <f ca="1">AVERAGE(OFFSET($GD$3,0,0,'Données projet'!$E$17+1,1))-AVERAGE(OFFSET($H$3,0,0,'Données projet'!$E$17+1,1))</f>
        <v>368.69628434154333</v>
      </c>
      <c r="GF93" s="62">
        <f t="shared" si="104"/>
        <v>202.28197295839524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>
        <f>VLOOKUP(A93,'Données projet'!$A$269:$I$289,2,0)</f>
        <v>236</v>
      </c>
      <c r="GS93" s="13">
        <f>VLOOKUP(A93,'Données projet'!$A$269:$I$289,9,0)</f>
        <v>2.6</v>
      </c>
      <c r="GT93" s="13">
        <f t="array" ref="GT93">INDEX(GS:GS,MIN(IF(ISNUMBER(GS93:GS289),ROW(GS93:GS289),"")))</f>
        <v>2.6</v>
      </c>
      <c r="GU93" s="13">
        <f>IF('Données projet'!$A$270&gt;35,GU92+GT93-HC92,IF(A93&lt;'Données projet'!$A$270,$GR$205^A93,IF(A93='Données projet'!$A$270,'Données projet'!$B$270,GU92+GT93-HC92)))</f>
        <v>235.99999999999989</v>
      </c>
      <c r="GV93" s="18">
        <f>GU93*VLOOKUP('Données projet'!$B$18,Paramètres!$A$1:$I$89,3,0)*VLOOKUP('Données projet'!$B$18,Paramètres!$A$1:$I$89,5,0)</f>
        <v>206.16959999999992</v>
      </c>
      <c r="GW93" s="14">
        <f t="shared" si="105"/>
        <v>51.097652263007333</v>
      </c>
      <c r="GX93" s="22">
        <f t="shared" si="82"/>
        <v>448.07379769140431</v>
      </c>
      <c r="GY93" s="62">
        <f t="shared" si="83"/>
        <v>712.56407868449708</v>
      </c>
      <c r="GZ93" s="62">
        <f ca="1">AVERAGE(OFFSET($GY$3,0,0,'Données projet'!$E$18+1,1))-AVERAGE(OFFSET($H$3,0,0,'Données projet'!$E$18+1,1))</f>
        <v>378.51861272969165</v>
      </c>
      <c r="HA93" s="62">
        <f t="shared" si="106"/>
        <v>387.42368617035459</v>
      </c>
      <c r="HB93" s="16">
        <f>IF(ISNA(VLOOKUP(A93,'Données projet'!$A$269:$I$289,3,0)),0,VLOOKUP(A93,'Données projet'!$A$269:$I$289,3,0))</f>
        <v>15</v>
      </c>
      <c r="HC93" s="16">
        <f>IF(ISNA(VLOOKUP(A93,'Données projet'!$A$269:$I$289,4,0)),0,VLOOKUP(A93,'Données projet'!$A$269:$I$289,4,0))</f>
        <v>236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0</v>
      </c>
      <c r="HH93" s="23">
        <f>EXP(-LN(2)/25)*HH92+(1-EXP(-LN(2)/25))/(LN(2)/25)*Calculateur!HC93*Calculateur!HE93*VLOOKUP('Données projet'!$B$18,Paramètres!$A$1:$I$89,3,0)*0.475*44/12</f>
        <v>0</v>
      </c>
      <c r="HI93" s="23">
        <f>EXP(-LN(2)/2)*HI92+(1-EXP(-LN(2)/2))/(LN(2)/2)*HC93*HF93*VLOOKUP('Données projet'!$B$18,Paramètres!$A$1:$I$89,3,0)*0.475*44/12</f>
        <v>0</v>
      </c>
      <c r="HJ93" s="24">
        <f t="shared" si="84"/>
        <v>0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135.66666666666666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5.3</v>
      </c>
      <c r="N94" s="14">
        <f>IF('Données projet'!$A$36&gt;35,N93+M94-V93,IF(A94&lt;'Données projet'!$A$36,$K$205^A94,IF(A94='Données projet'!$A$36,'Données projet'!$B$36,N93+M94-V93)))</f>
        <v>467.3</v>
      </c>
      <c r="O94" s="14">
        <f>N94*VLOOKUP('Données projet'!$B$9,Paramètres!$A$1:$I$89,3,0)*VLOOKUP('Données projet'!$B$9,Paramètres!$A$1:$I$89,5,0)</f>
        <v>279.44540000000006</v>
      </c>
      <c r="P94" s="14">
        <f t="shared" si="87"/>
        <v>66.849792437407487</v>
      </c>
      <c r="Q94" s="22">
        <f t="shared" si="54"/>
        <v>603.13079349515147</v>
      </c>
      <c r="R94" s="62">
        <f t="shared" si="55"/>
        <v>868.12143696294265</v>
      </c>
      <c r="S94" s="62">
        <f ca="1">AVERAGE(OFFSET($R$3,0,0,'Données projet'!$E$9+1,1))-AVERAGE(OFFSET($H$3,0,0,'Données projet'!$E$9+1,1))</f>
        <v>437.94016462147999</v>
      </c>
      <c r="T94" s="62">
        <f t="shared" si="88"/>
        <v>281.88254003380348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5.3924092144828904E-9</v>
      </c>
      <c r="AC94" s="24">
        <f t="shared" si="57"/>
        <v>5.3924092144828904E-9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259.00000000000006</v>
      </c>
      <c r="AJ94" s="14">
        <f>AI94*VLOOKUP('Données projet'!$B$10,Paramètres!$A$1:$I$89,3,0)*VLOOKUP('Données projet'!$B$10,Paramètres!$A$1:$I$89,5,0)</f>
        <v>234.34320000000005</v>
      </c>
      <c r="AK94" s="14">
        <f t="shared" si="89"/>
        <v>57.220758006491664</v>
      </c>
      <c r="AL94" s="22">
        <f t="shared" si="58"/>
        <v>507.80722686130639</v>
      </c>
      <c r="AM94" s="62">
        <f t="shared" si="59"/>
        <v>772.79787032909758</v>
      </c>
      <c r="AN94" s="62">
        <f ca="1">AVERAGE(OFFSET($AM$3,0,0,'Données projet'!$E$10+1,1))-AVERAGE(OFFSET($H$3,0,0,'Données projet'!$E$10+1,1))</f>
        <v>434.56763649859136</v>
      </c>
      <c r="AO94" s="62">
        <f t="shared" si="90"/>
        <v>271.90302066766264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1.1368683772161603E-13</v>
      </c>
      <c r="BE94" s="14">
        <f>BD94*VLOOKUP('Données projet'!$B$11,Paramètres!$A$1:$I$89,3,0)*VLOOKUP('Données projet'!$B$11,Paramètres!$A$1:$I$89,5,0)</f>
        <v>6.7984728957526396E-14</v>
      </c>
      <c r="BF94" s="14">
        <f t="shared" si="91"/>
        <v>1.0682447123141398E-12</v>
      </c>
      <c r="BG94" s="22">
        <f t="shared" si="61"/>
        <v>1.978932943548152E-12</v>
      </c>
      <c r="BH94" s="62">
        <f t="shared" si="62"/>
        <v>264.99064346779318</v>
      </c>
      <c r="BI94" s="62">
        <f ca="1">AVERAGE(OFFSET($BH$3,0,0,'Données projet'!$E$11+1,1))-AVERAGE(OFFSET($H$3,0,0,'Données projet'!$E$11+1,1))</f>
        <v>199.65420589615553</v>
      </c>
      <c r="BJ94" s="62">
        <f t="shared" si="92"/>
        <v>477.85821088970999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15.930932458479999</v>
      </c>
      <c r="BQ94" s="23">
        <f>EXP(-LN(2)/25)*BQ93+(1-EXP(-LN(2)/25))/(LN(2)/25)*Calculateur!BL94*Calculateur!BN94*VLOOKUP('Données projet'!$B$11,Paramètres!$A$1:$I$89,3,0)*0.475*44/12</f>
        <v>8.0990480842379071</v>
      </c>
      <c r="BR94" s="23">
        <f>EXP(-LN(2)/2)*BR93+(1-EXP(-LN(2)/2))/(LN(2)/2)*BL94*BO94*VLOOKUP('Données projet'!$B$11,Paramètres!$A$1:$I$89,3,0)*0.475*44/12</f>
        <v>2.869106198517399E-8</v>
      </c>
      <c r="BS94" s="24">
        <f t="shared" si="63"/>
        <v>24.02998057140897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5.3</v>
      </c>
      <c r="BY94" s="13">
        <f>IF('Données projet'!$A$114&gt;35,BY93+BX94-CG93,IF(A94&lt;'Données projet'!$A$114,$BV$205^A94,IF(A94='Données projet'!$A$114,'Données projet'!$B$114,BY93+BX94-CG93)))</f>
        <v>467.3</v>
      </c>
      <c r="BZ94" s="14">
        <f>BY94*VLOOKUP('Données projet'!$B$12,Paramètres!$A$1:$I$89,3,0)*VLOOKUP('Données projet'!$B$12,Paramètres!$A$1:$I$89,5,0)</f>
        <v>279.44540000000006</v>
      </c>
      <c r="CA94" s="14">
        <f t="shared" si="93"/>
        <v>66.849792437407487</v>
      </c>
      <c r="CB94" s="22">
        <f t="shared" si="64"/>
        <v>603.13079349515147</v>
      </c>
      <c r="CC94" s="62">
        <f t="shared" si="65"/>
        <v>868.12143696294265</v>
      </c>
      <c r="CD94" s="62">
        <f ca="1">AVERAGE(OFFSET($CC$3,0,0,'Données projet'!$E$12+1,1))-AVERAGE(OFFSET($H$3,0,0,'Données projet'!$E$12+1,1))</f>
        <v>437.94016462147999</v>
      </c>
      <c r="CE94" s="62">
        <f t="shared" si="94"/>
        <v>281.88254003380348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5.3924092144828904E-9</v>
      </c>
      <c r="CN94" s="24">
        <f t="shared" si="66"/>
        <v>5.3924092144828904E-9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5</v>
      </c>
      <c r="CT94" s="13">
        <f>IF('Données projet'!$A$140&gt;35,CT93+CS94-DB93,IF(A94&lt;'Données projet'!$A$140,$CQ$205^A94,IF(A94='Données projet'!$A$140,'Données projet'!$B$140,CT93+CS94-DB93)))</f>
        <v>259.00000000000006</v>
      </c>
      <c r="CU94" s="18">
        <f>CT94*VLOOKUP('Données projet'!$B$13,Paramètres!$A$1:$I$89,3,0)*VLOOKUP('Données projet'!$B$13,Paramètres!$A$1:$I$89,5,0)</f>
        <v>294.94920000000008</v>
      </c>
      <c r="CV94" s="14">
        <f t="shared" si="95"/>
        <v>70.116577722016785</v>
      </c>
      <c r="CW94" s="22">
        <f t="shared" si="67"/>
        <v>635.82289619917935</v>
      </c>
      <c r="CX94" s="62">
        <f t="shared" si="68"/>
        <v>900.81353966697054</v>
      </c>
      <c r="CY94" s="62">
        <f ca="1">AVERAGE(OFFSET($CX$3,0,0,'Données projet'!$E$13+1,1))-AVERAGE(OFFSET($H$3,0,0,'Données projet'!$E$13+1,1))</f>
        <v>520.23742527061836</v>
      </c>
      <c r="CZ94" s="62">
        <f t="shared" si="96"/>
        <v>321.35925479331274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6</v>
      </c>
      <c r="DO94" s="13">
        <f>IF('Données projet'!$A$166&gt;35,DO93+DN94-DW93,IF(A94&lt;'Données projet'!$A$166,$DL$205^A94,IF(A94='Données projet'!$A$166,'Données projet'!$B$166,DO93+DN94-DW93)))</f>
        <v>307.99999999999994</v>
      </c>
      <c r="DP94" s="18">
        <f>DO94*VLOOKUP('Données projet'!$B$14,Paramètres!$A$1:$I$89,3,0)*VLOOKUP('Données projet'!$B$14,Paramètres!$A$1:$I$89,5,0)</f>
        <v>312.31199999999995</v>
      </c>
      <c r="DQ94" s="14">
        <f t="shared" si="97"/>
        <v>73.751458791112015</v>
      </c>
      <c r="DR94" s="22">
        <f t="shared" si="70"/>
        <v>672.39385739452007</v>
      </c>
      <c r="DS94" s="62">
        <f t="shared" si="71"/>
        <v>937.38450086231126</v>
      </c>
      <c r="DT94" s="62">
        <f ca="1">AVERAGE(OFFSET($DS$3,0,0,'Données projet'!$E$14+1,1))-AVERAGE(OFFSET($H$3,0,0,'Données projet'!$E$14+1,1))</f>
        <v>547.89540791313675</v>
      </c>
      <c r="DU94" s="62">
        <f t="shared" si="98"/>
        <v>345.19555189302378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5.6843418860808015E-14</v>
      </c>
      <c r="EK94" s="18">
        <f>EJ94*VLOOKUP('Données projet'!$B$15,Paramètres!$A$1:$I$89,3,0)*VLOOKUP('Données projet'!$B$15,Paramètres!$A$1:$I$89,5,0)</f>
        <v>5.9412741393316544E-14</v>
      </c>
      <c r="EL94" s="14">
        <f t="shared" si="99"/>
        <v>9.483138037075782E-13</v>
      </c>
      <c r="EM94" s="22">
        <f t="shared" si="73"/>
        <v>1.7551237327173916E-12</v>
      </c>
      <c r="EN94" s="62">
        <f t="shared" si="74"/>
        <v>264.99064346779295</v>
      </c>
      <c r="EO94" s="62">
        <f ca="1">AVERAGE(OFFSET($EN$3,0,0,'Données projet'!$E$15+1,1))-AVERAGE(OFFSET($H$3,0,0,'Données projet'!$E$15+1,1))</f>
        <v>418.23737352070503</v>
      </c>
      <c r="EP94" s="62">
        <f t="shared" si="100"/>
        <v>496.10742685332968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1.1368683772161603E-13</v>
      </c>
      <c r="FF94" s="18">
        <f>FE94*VLOOKUP('Données projet'!$B$16,Paramètres!$A$1:$I$89,3,0)*VLOOKUP('Données projet'!$B$16,Paramètres!$A$1:$I$89,5,0)</f>
        <v>6.7984728957526396E-14</v>
      </c>
      <c r="FG94" s="14">
        <f t="shared" si="101"/>
        <v>1.0682447123141398E-12</v>
      </c>
      <c r="FH94" s="22">
        <f t="shared" si="76"/>
        <v>1.978932943548152E-12</v>
      </c>
      <c r="FI94" s="62">
        <f t="shared" si="77"/>
        <v>264.99064346779318</v>
      </c>
      <c r="FJ94" s="62">
        <f ca="1">AVERAGE(OFFSET($FI$3,0,0,'Données projet'!$E$16+1,1))-AVERAGE(OFFSET($H$3,0,0,'Données projet'!$E$16+1,1))</f>
        <v>341.70983624543067</v>
      </c>
      <c r="FK94" s="62">
        <f t="shared" si="102"/>
        <v>250.82562837973805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8.1611483788717446E-9</v>
      </c>
      <c r="FT94" s="24">
        <f t="shared" si="78"/>
        <v>8.1611483788717446E-9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10</v>
      </c>
      <c r="FZ94" s="13">
        <f>IF('Données projet'!$A$244&gt;35,FZ93+FY94-GH93,IF(A94&lt;'Données projet'!$A$244,$FW$205^A94,IF(A94='Données projet'!$A$244,'Données projet'!$B$244,FZ93+FY94-GH93)))</f>
        <v>385.99999999999972</v>
      </c>
      <c r="GA94" s="18">
        <f>FZ94*VLOOKUP('Données projet'!$B$17,Paramètres!$A$1:$I$89,3,0)*VLOOKUP('Données projet'!$B$17,Paramètres!$A$1:$I$89,5,0)</f>
        <v>180.64799999999988</v>
      </c>
      <c r="GB94" s="14">
        <f t="shared" si="103"/>
        <v>45.466324062169747</v>
      </c>
      <c r="GC94" s="22">
        <f t="shared" si="79"/>
        <v>393.81578107494539</v>
      </c>
      <c r="GD94" s="62">
        <f t="shared" si="80"/>
        <v>658.80642454273652</v>
      </c>
      <c r="GE94" s="62">
        <f ca="1">AVERAGE(OFFSET($GD$3,0,0,'Données projet'!$E$17+1,1))-AVERAGE(OFFSET($H$3,0,0,'Données projet'!$E$17+1,1))</f>
        <v>368.69628434154333</v>
      </c>
      <c r="GF94" s="62">
        <f t="shared" si="104"/>
        <v>202.28197295839524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-1.1368683772161603E-13</v>
      </c>
      <c r="GV94" s="18">
        <f>GU94*VLOOKUP('Données projet'!$B$18,Paramètres!$A$1:$I$89,3,0)*VLOOKUP('Données projet'!$B$18,Paramètres!$A$1:$I$89,5,0)</f>
        <v>-9.9316821433603781E-14</v>
      </c>
      <c r="GW94" s="14" t="e">
        <f t="shared" si="105"/>
        <v>#NUM!</v>
      </c>
      <c r="GX94" s="22" t="e">
        <f t="shared" si="82"/>
        <v>#NUM!</v>
      </c>
      <c r="GY94" s="62" t="e">
        <f t="shared" si="83"/>
        <v>#NUM!</v>
      </c>
      <c r="GZ94" s="62">
        <f ca="1">AVERAGE(OFFSET($GY$3,0,0,'Données projet'!$E$18+1,1))-AVERAGE(OFFSET($H$3,0,0,'Données projet'!$E$18+1,1))</f>
        <v>378.51861272969165</v>
      </c>
      <c r="HA94" s="62">
        <f t="shared" si="106"/>
        <v>387.42368617035459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0</v>
      </c>
      <c r="HH94" s="23">
        <f>EXP(-LN(2)/25)*HH93+(1-EXP(-LN(2)/25))/(LN(2)/25)*Calculateur!HC94*Calculateur!HE94*VLOOKUP('Données projet'!$B$18,Paramètres!$A$1:$I$89,3,0)*0.475*44/12</f>
        <v>0</v>
      </c>
      <c r="HI94" s="23">
        <f>EXP(-LN(2)/2)*HI93+(1-EXP(-LN(2)/2))/(LN(2)/2)*HC94*HF94*VLOOKUP('Données projet'!$B$18,Paramètres!$A$1:$I$89,3,0)*0.475*44/12</f>
        <v>0</v>
      </c>
      <c r="HJ94" s="24">
        <f t="shared" si="84"/>
        <v>0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135.66666666666666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5.3</v>
      </c>
      <c r="N95" s="14">
        <f>IF('Données projet'!$A$36&gt;35,N94+M95-V94,IF(A95&lt;'Données projet'!$A$36,$K$205^A95,IF(A95='Données projet'!$A$36,'Données projet'!$B$36,N94+M95-V94)))</f>
        <v>472.6</v>
      </c>
      <c r="O95" s="14">
        <f>N95*VLOOKUP('Données projet'!$B$9,Paramètres!$A$1:$I$89,3,0)*VLOOKUP('Données projet'!$B$9,Paramètres!$A$1:$I$89,5,0)</f>
        <v>282.6148</v>
      </c>
      <c r="P95" s="14">
        <f t="shared" si="87"/>
        <v>67.519291995071626</v>
      </c>
      <c r="Q95" s="22">
        <f t="shared" si="54"/>
        <v>609.81687689141643</v>
      </c>
      <c r="R95" s="62">
        <f t="shared" si="55"/>
        <v>875.29920266361296</v>
      </c>
      <c r="S95" s="62">
        <f ca="1">AVERAGE(OFFSET($R$3,0,0,'Données projet'!$E$9+1,1))-AVERAGE(OFFSET($H$3,0,0,'Données projet'!$E$9+1,1))</f>
        <v>437.94016462147999</v>
      </c>
      <c r="T95" s="62">
        <f t="shared" si="88"/>
        <v>281.88254003380348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3.8130091224936758E-9</v>
      </c>
      <c r="AC95" s="24">
        <f t="shared" si="57"/>
        <v>3.8130091224936758E-9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264.00000000000006</v>
      </c>
      <c r="AJ95" s="14">
        <f>AI95*VLOOKUP('Données projet'!$B$10,Paramètres!$A$1:$I$89,3,0)*VLOOKUP('Données projet'!$B$10,Paramètres!$A$1:$I$89,5,0)</f>
        <v>238.86720000000005</v>
      </c>
      <c r="AK95" s="14">
        <f t="shared" si="89"/>
        <v>58.195735973104156</v>
      </c>
      <c r="AL95" s="22">
        <f t="shared" si="58"/>
        <v>517.3846134864898</v>
      </c>
      <c r="AM95" s="62">
        <f t="shared" si="59"/>
        <v>782.86693925868633</v>
      </c>
      <c r="AN95" s="62">
        <f ca="1">AVERAGE(OFFSET($AM$3,0,0,'Données projet'!$E$10+1,1))-AVERAGE(OFFSET($H$3,0,0,'Données projet'!$E$10+1,1))</f>
        <v>434.56763649859136</v>
      </c>
      <c r="AO95" s="62">
        <f t="shared" si="90"/>
        <v>271.90302066766264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1.1368683772161603E-13</v>
      </c>
      <c r="BE95" s="14">
        <f>BD95*VLOOKUP('Données projet'!$B$11,Paramètres!$A$1:$I$89,3,0)*VLOOKUP('Données projet'!$B$11,Paramètres!$A$1:$I$89,5,0)</f>
        <v>6.7984728957526396E-14</v>
      </c>
      <c r="BF95" s="14">
        <f t="shared" si="91"/>
        <v>1.0682447123141398E-12</v>
      </c>
      <c r="BG95" s="22">
        <f t="shared" si="61"/>
        <v>1.978932943548152E-12</v>
      </c>
      <c r="BH95" s="62">
        <f t="shared" si="62"/>
        <v>265.48232577219852</v>
      </c>
      <c r="BI95" s="62">
        <f ca="1">AVERAGE(OFFSET($BH$3,0,0,'Données projet'!$E$11+1,1))-AVERAGE(OFFSET($H$3,0,0,'Données projet'!$E$11+1,1))</f>
        <v>199.65420589615553</v>
      </c>
      <c r="BJ95" s="62">
        <f t="shared" si="92"/>
        <v>477.85821088970999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15.618536589878541</v>
      </c>
      <c r="BQ95" s="23">
        <f>EXP(-LN(2)/25)*BQ94+(1-EXP(-LN(2)/25))/(LN(2)/25)*Calculateur!BL95*Calculateur!BN95*VLOOKUP('Données projet'!$B$11,Paramètres!$A$1:$I$89,3,0)*0.475*44/12</f>
        <v>7.8775791884639936</v>
      </c>
      <c r="BR95" s="23">
        <f>EXP(-LN(2)/2)*BR94+(1-EXP(-LN(2)/2))/(LN(2)/2)*BL95*BO95*VLOOKUP('Données projet'!$B$11,Paramètres!$A$1:$I$89,3,0)*0.475*44/12</f>
        <v>2.0287644489160099E-8</v>
      </c>
      <c r="BS95" s="24">
        <f t="shared" si="63"/>
        <v>23.496115798630179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5.3</v>
      </c>
      <c r="BY95" s="13">
        <f>IF('Données projet'!$A$114&gt;35,BY94+BX95-CG94,IF(A95&lt;'Données projet'!$A$114,$BV$205^A95,IF(A95='Données projet'!$A$114,'Données projet'!$B$114,BY94+BX95-CG94)))</f>
        <v>472.6</v>
      </c>
      <c r="BZ95" s="14">
        <f>BY95*VLOOKUP('Données projet'!$B$12,Paramètres!$A$1:$I$89,3,0)*VLOOKUP('Données projet'!$B$12,Paramètres!$A$1:$I$89,5,0)</f>
        <v>282.6148</v>
      </c>
      <c r="CA95" s="14">
        <f t="shared" si="93"/>
        <v>67.519291995071626</v>
      </c>
      <c r="CB95" s="22">
        <f t="shared" si="64"/>
        <v>609.81687689141643</v>
      </c>
      <c r="CC95" s="62">
        <f t="shared" si="65"/>
        <v>875.29920266361296</v>
      </c>
      <c r="CD95" s="62">
        <f ca="1">AVERAGE(OFFSET($CC$3,0,0,'Données projet'!$E$12+1,1))-AVERAGE(OFFSET($H$3,0,0,'Données projet'!$E$12+1,1))</f>
        <v>437.94016462147999</v>
      </c>
      <c r="CE95" s="62">
        <f t="shared" si="94"/>
        <v>281.88254003380348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3.8130091224936758E-9</v>
      </c>
      <c r="CN95" s="24">
        <f t="shared" si="66"/>
        <v>3.8130091224936758E-9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5</v>
      </c>
      <c r="CT95" s="13">
        <f>IF('Données projet'!$A$140&gt;35,CT94+CS95-DB94,IF(A95&lt;'Données projet'!$A$140,$CQ$205^A95,IF(A95='Données projet'!$A$140,'Données projet'!$B$140,CT94+CS95-DB94)))</f>
        <v>264.00000000000006</v>
      </c>
      <c r="CU95" s="18">
        <f>CT95*VLOOKUP('Données projet'!$B$13,Paramètres!$A$1:$I$89,3,0)*VLOOKUP('Données projet'!$B$13,Paramètres!$A$1:$I$89,5,0)</f>
        <v>300.64320000000004</v>
      </c>
      <c r="CV95" s="14">
        <f t="shared" si="95"/>
        <v>71.3112860893104</v>
      </c>
      <c r="CW95" s="22">
        <f t="shared" si="67"/>
        <v>647.82072993888221</v>
      </c>
      <c r="CX95" s="62">
        <f t="shared" si="68"/>
        <v>913.30305571107874</v>
      </c>
      <c r="CY95" s="62">
        <f ca="1">AVERAGE(OFFSET($CX$3,0,0,'Données projet'!$E$13+1,1))-AVERAGE(OFFSET($H$3,0,0,'Données projet'!$E$13+1,1))</f>
        <v>520.23742527061836</v>
      </c>
      <c r="CZ95" s="62">
        <f t="shared" si="96"/>
        <v>321.35925479331274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6</v>
      </c>
      <c r="DO95" s="13">
        <f>IF('Données projet'!$A$166&gt;35,DO94+DN95-DW94,IF(A95&lt;'Données projet'!$A$166,$DL$205^A95,IF(A95='Données projet'!$A$166,'Données projet'!$B$166,DO94+DN95-DW94)))</f>
        <v>313.99999999999994</v>
      </c>
      <c r="DP95" s="18">
        <f>DO95*VLOOKUP('Données projet'!$B$14,Paramètres!$A$1:$I$89,3,0)*VLOOKUP('Données projet'!$B$14,Paramètres!$A$1:$I$89,5,0)</f>
        <v>318.39599999999996</v>
      </c>
      <c r="DQ95" s="14">
        <f t="shared" si="97"/>
        <v>75.019512724334945</v>
      </c>
      <c r="DR95" s="22">
        <f t="shared" si="70"/>
        <v>685.19868466154992</v>
      </c>
      <c r="DS95" s="62">
        <f t="shared" si="71"/>
        <v>950.68101043374645</v>
      </c>
      <c r="DT95" s="62">
        <f ca="1">AVERAGE(OFFSET($DS$3,0,0,'Données projet'!$E$14+1,1))-AVERAGE(OFFSET($H$3,0,0,'Données projet'!$E$14+1,1))</f>
        <v>547.89540791313675</v>
      </c>
      <c r="DU95" s="62">
        <f t="shared" si="98"/>
        <v>345.19555189302378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5.6843418860808015E-14</v>
      </c>
      <c r="EK95" s="18">
        <f>EJ95*VLOOKUP('Données projet'!$B$15,Paramètres!$A$1:$I$89,3,0)*VLOOKUP('Données projet'!$B$15,Paramètres!$A$1:$I$89,5,0)</f>
        <v>5.9412741393316544E-14</v>
      </c>
      <c r="EL95" s="14">
        <f t="shared" si="99"/>
        <v>9.483138037075782E-13</v>
      </c>
      <c r="EM95" s="22">
        <f t="shared" si="73"/>
        <v>1.7551237327173916E-12</v>
      </c>
      <c r="EN95" s="62">
        <f t="shared" si="74"/>
        <v>265.48232577219829</v>
      </c>
      <c r="EO95" s="62">
        <f ca="1">AVERAGE(OFFSET($EN$3,0,0,'Données projet'!$E$15+1,1))-AVERAGE(OFFSET($H$3,0,0,'Données projet'!$E$15+1,1))</f>
        <v>418.23737352070503</v>
      </c>
      <c r="EP95" s="62">
        <f t="shared" si="100"/>
        <v>496.10742685332968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1.1368683772161603E-13</v>
      </c>
      <c r="FF95" s="18">
        <f>FE95*VLOOKUP('Données projet'!$B$16,Paramètres!$A$1:$I$89,3,0)*VLOOKUP('Données projet'!$B$16,Paramètres!$A$1:$I$89,5,0)</f>
        <v>6.7984728957526396E-14</v>
      </c>
      <c r="FG95" s="14">
        <f t="shared" si="101"/>
        <v>1.0682447123141398E-12</v>
      </c>
      <c r="FH95" s="22">
        <f t="shared" si="76"/>
        <v>1.978932943548152E-12</v>
      </c>
      <c r="FI95" s="62">
        <f t="shared" si="77"/>
        <v>265.48232577219852</v>
      </c>
      <c r="FJ95" s="62">
        <f ca="1">AVERAGE(OFFSET($FI$3,0,0,'Données projet'!$E$16+1,1))-AVERAGE(OFFSET($H$3,0,0,'Données projet'!$E$16+1,1))</f>
        <v>341.70983624543067</v>
      </c>
      <c r="FK95" s="62">
        <f t="shared" si="102"/>
        <v>250.82562837973805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5.7708033609698098E-9</v>
      </c>
      <c r="FT95" s="24">
        <f t="shared" si="78"/>
        <v>5.7708033609698098E-9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10</v>
      </c>
      <c r="FZ95" s="13">
        <f>IF('Données projet'!$A$244&gt;35,FZ94+FY95-GH94,IF(A95&lt;'Données projet'!$A$244,$FW$205^A95,IF(A95='Données projet'!$A$244,'Données projet'!$B$244,FZ94+FY95-GH94)))</f>
        <v>395.99999999999972</v>
      </c>
      <c r="GA95" s="18">
        <f>FZ95*VLOOKUP('Données projet'!$B$17,Paramètres!$A$1:$I$89,3,0)*VLOOKUP('Données projet'!$B$17,Paramètres!$A$1:$I$89,5,0)</f>
        <v>185.32799999999986</v>
      </c>
      <c r="GB95" s="14">
        <f t="shared" si="103"/>
        <v>46.505548070897582</v>
      </c>
      <c r="GC95" s="22">
        <f t="shared" si="79"/>
        <v>403.77676289014636</v>
      </c>
      <c r="GD95" s="62">
        <f t="shared" si="80"/>
        <v>669.25908866234295</v>
      </c>
      <c r="GE95" s="62">
        <f ca="1">AVERAGE(OFFSET($GD$3,0,0,'Données projet'!$E$17+1,1))-AVERAGE(OFFSET($H$3,0,0,'Données projet'!$E$17+1,1))</f>
        <v>368.69628434154333</v>
      </c>
      <c r="GF95" s="62">
        <f t="shared" si="104"/>
        <v>202.28197295839524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-1.1368683772161603E-13</v>
      </c>
      <c r="GV95" s="18">
        <f>GU95*VLOOKUP('Données projet'!$B$18,Paramètres!$A$1:$I$89,3,0)*VLOOKUP('Données projet'!$B$18,Paramètres!$A$1:$I$89,5,0)</f>
        <v>-9.9316821433603781E-14</v>
      </c>
      <c r="GW95" s="14" t="e">
        <f t="shared" si="105"/>
        <v>#NUM!</v>
      </c>
      <c r="GX95" s="22" t="e">
        <f t="shared" si="82"/>
        <v>#NUM!</v>
      </c>
      <c r="GY95" s="62" t="e">
        <f t="shared" si="83"/>
        <v>#NUM!</v>
      </c>
      <c r="GZ95" s="62">
        <f ca="1">AVERAGE(OFFSET($GY$3,0,0,'Données projet'!$E$18+1,1))-AVERAGE(OFFSET($H$3,0,0,'Données projet'!$E$18+1,1))</f>
        <v>378.51861272969165</v>
      </c>
      <c r="HA95" s="62">
        <f t="shared" si="106"/>
        <v>387.42368617035459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0</v>
      </c>
      <c r="HH95" s="23">
        <f>EXP(-LN(2)/25)*HH94+(1-EXP(-LN(2)/25))/(LN(2)/25)*Calculateur!HC95*Calculateur!HE95*VLOOKUP('Données projet'!$B$18,Paramètres!$A$1:$I$89,3,0)*0.475*44/12</f>
        <v>0</v>
      </c>
      <c r="HI95" s="23">
        <f>EXP(-LN(2)/2)*HI94+(1-EXP(-LN(2)/2))/(LN(2)/2)*HC95*HF95*VLOOKUP('Données projet'!$B$18,Paramètres!$A$1:$I$89,3,0)*0.475*44/12</f>
        <v>0</v>
      </c>
      <c r="HJ95" s="24">
        <f t="shared" si="84"/>
        <v>0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135.66666666666666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5.3</v>
      </c>
      <c r="N96" s="14">
        <f>IF('Données projet'!$A$36&gt;35,N95+M96-V95,IF(A96&lt;'Données projet'!$A$36,$K$205^A96,IF(A96='Données projet'!$A$36,'Données projet'!$B$36,N95+M96-V95)))</f>
        <v>477.90000000000003</v>
      </c>
      <c r="O96" s="14">
        <f>N96*VLOOKUP('Données projet'!$B$9,Paramètres!$A$1:$I$89,3,0)*VLOOKUP('Données projet'!$B$9,Paramètres!$A$1:$I$89,5,0)</f>
        <v>285.78420000000006</v>
      </c>
      <c r="P96" s="14">
        <f t="shared" si="87"/>
        <v>68.187918155875096</v>
      </c>
      <c r="Q96" s="22">
        <f t="shared" si="54"/>
        <v>616.50143912148258</v>
      </c>
      <c r="R96" s="62">
        <f t="shared" si="55"/>
        <v>882.46691760934004</v>
      </c>
      <c r="S96" s="62">
        <f ca="1">AVERAGE(OFFSET($R$3,0,0,'Données projet'!$E$9+1,1))-AVERAGE(OFFSET($H$3,0,0,'Données projet'!$E$9+1,1))</f>
        <v>437.94016462147999</v>
      </c>
      <c r="T96" s="62">
        <f t="shared" si="88"/>
        <v>281.88254003380348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2.6962046072414452E-9</v>
      </c>
      <c r="AC96" s="24">
        <f t="shared" si="57"/>
        <v>2.6962046072414452E-9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269.00000000000006</v>
      </c>
      <c r="AJ96" s="14">
        <f>AI96*VLOOKUP('Données projet'!$B$10,Paramètres!$A$1:$I$89,3,0)*VLOOKUP('Données projet'!$B$10,Paramètres!$A$1:$I$89,5,0)</f>
        <v>243.39120000000003</v>
      </c>
      <c r="AK96" s="14">
        <f t="shared" si="89"/>
        <v>59.168566788241527</v>
      </c>
      <c r="AL96" s="22">
        <f t="shared" si="58"/>
        <v>526.95826048952074</v>
      </c>
      <c r="AM96" s="62">
        <f t="shared" si="59"/>
        <v>792.92373897737821</v>
      </c>
      <c r="AN96" s="62">
        <f ca="1">AVERAGE(OFFSET($AM$3,0,0,'Données projet'!$E$10+1,1))-AVERAGE(OFFSET($H$3,0,0,'Données projet'!$E$10+1,1))</f>
        <v>434.56763649859136</v>
      </c>
      <c r="AO96" s="62">
        <f t="shared" si="90"/>
        <v>271.90302066766264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1.1368683772161603E-13</v>
      </c>
      <c r="BE96" s="14">
        <f>BD96*VLOOKUP('Données projet'!$B$11,Paramètres!$A$1:$I$89,3,0)*VLOOKUP('Données projet'!$B$11,Paramètres!$A$1:$I$89,5,0)</f>
        <v>6.7984728957526396E-14</v>
      </c>
      <c r="BF96" s="14">
        <f t="shared" si="91"/>
        <v>1.0682447123141398E-12</v>
      </c>
      <c r="BG96" s="22">
        <f t="shared" si="61"/>
        <v>1.978932943548152E-12</v>
      </c>
      <c r="BH96" s="62">
        <f t="shared" si="62"/>
        <v>265.9654784878594</v>
      </c>
      <c r="BI96" s="62">
        <f ca="1">AVERAGE(OFFSET($BH$3,0,0,'Données projet'!$E$11+1,1))-AVERAGE(OFFSET($H$3,0,0,'Données projet'!$E$11+1,1))</f>
        <v>199.65420589615553</v>
      </c>
      <c r="BJ96" s="62">
        <f t="shared" si="92"/>
        <v>477.85821088970999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15.312266613717693</v>
      </c>
      <c r="BQ96" s="23">
        <f>EXP(-LN(2)/25)*BQ95+(1-EXP(-LN(2)/25))/(LN(2)/25)*Calculateur!BL96*Calculateur!BN96*VLOOKUP('Données projet'!$B$11,Paramètres!$A$1:$I$89,3,0)*0.475*44/12</f>
        <v>7.6621663712915611</v>
      </c>
      <c r="BR96" s="23">
        <f>EXP(-LN(2)/2)*BR95+(1-EXP(-LN(2)/2))/(LN(2)/2)*BL96*BO96*VLOOKUP('Données projet'!$B$11,Paramètres!$A$1:$I$89,3,0)*0.475*44/12</f>
        <v>1.4345530992586999E-8</v>
      </c>
      <c r="BS96" s="24">
        <f t="shared" si="63"/>
        <v>22.974432999354786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5.3</v>
      </c>
      <c r="BY96" s="13">
        <f>IF('Données projet'!$A$114&gt;35,BY95+BX96-CG95,IF(A96&lt;'Données projet'!$A$114,$BV$205^A96,IF(A96='Données projet'!$A$114,'Données projet'!$B$114,BY95+BX96-CG95)))</f>
        <v>477.90000000000003</v>
      </c>
      <c r="BZ96" s="14">
        <f>BY96*VLOOKUP('Données projet'!$B$12,Paramètres!$A$1:$I$89,3,0)*VLOOKUP('Données projet'!$B$12,Paramètres!$A$1:$I$89,5,0)</f>
        <v>285.78420000000006</v>
      </c>
      <c r="CA96" s="14">
        <f t="shared" si="93"/>
        <v>68.187918155875096</v>
      </c>
      <c r="CB96" s="22">
        <f t="shared" si="64"/>
        <v>616.50143912148258</v>
      </c>
      <c r="CC96" s="62">
        <f t="shared" si="65"/>
        <v>882.46691760934004</v>
      </c>
      <c r="CD96" s="62">
        <f ca="1">AVERAGE(OFFSET($CC$3,0,0,'Données projet'!$E$12+1,1))-AVERAGE(OFFSET($H$3,0,0,'Données projet'!$E$12+1,1))</f>
        <v>437.94016462147999</v>
      </c>
      <c r="CE96" s="62">
        <f t="shared" si="94"/>
        <v>281.88254003380348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2.6962046072414452E-9</v>
      </c>
      <c r="CN96" s="24">
        <f t="shared" si="66"/>
        <v>2.6962046072414452E-9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5</v>
      </c>
      <c r="CT96" s="13">
        <f>IF('Données projet'!$A$140&gt;35,CT95+CS96-DB95,IF(A96&lt;'Données projet'!$A$140,$CQ$205^A96,IF(A96='Données projet'!$A$140,'Données projet'!$B$140,CT95+CS96-DB95)))</f>
        <v>269.00000000000006</v>
      </c>
      <c r="CU96" s="18">
        <f>CT96*VLOOKUP('Données projet'!$B$13,Paramètres!$A$1:$I$89,3,0)*VLOOKUP('Données projet'!$B$13,Paramètres!$A$1:$I$89,5,0)</f>
        <v>306.33720000000005</v>
      </c>
      <c r="CV96" s="14">
        <f t="shared" si="95"/>
        <v>72.503363402445913</v>
      </c>
      <c r="CW96" s="22">
        <f t="shared" si="67"/>
        <v>659.81398125926</v>
      </c>
      <c r="CX96" s="62">
        <f t="shared" si="68"/>
        <v>925.77945974711747</v>
      </c>
      <c r="CY96" s="62">
        <f ca="1">AVERAGE(OFFSET($CX$3,0,0,'Données projet'!$E$13+1,1))-AVERAGE(OFFSET($H$3,0,0,'Données projet'!$E$13+1,1))</f>
        <v>520.23742527061836</v>
      </c>
      <c r="CZ96" s="62">
        <f t="shared" si="96"/>
        <v>321.35925479331274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6</v>
      </c>
      <c r="DO96" s="13">
        <f>IF('Données projet'!$A$166&gt;35,DO95+DN96-DW95,IF(A96&lt;'Données projet'!$A$166,$DL$205^A96,IF(A96='Données projet'!$A$166,'Données projet'!$B$166,DO95+DN96-DW95)))</f>
        <v>319.99999999999994</v>
      </c>
      <c r="DP96" s="18">
        <f>DO96*VLOOKUP('Données projet'!$B$14,Paramètres!$A$1:$I$89,3,0)*VLOOKUP('Données projet'!$B$14,Paramètres!$A$1:$I$89,5,0)</f>
        <v>324.47999999999996</v>
      </c>
      <c r="DQ96" s="14">
        <f t="shared" si="97"/>
        <v>76.284749200165507</v>
      </c>
      <c r="DR96" s="22">
        <f t="shared" si="70"/>
        <v>697.99860485695478</v>
      </c>
      <c r="DS96" s="62">
        <f t="shared" si="71"/>
        <v>963.96408334481225</v>
      </c>
      <c r="DT96" s="62">
        <f ca="1">AVERAGE(OFFSET($DS$3,0,0,'Données projet'!$E$14+1,1))-AVERAGE(OFFSET($H$3,0,0,'Données projet'!$E$14+1,1))</f>
        <v>547.89540791313675</v>
      </c>
      <c r="DU96" s="62">
        <f t="shared" si="98"/>
        <v>345.19555189302378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5.6843418860808015E-14</v>
      </c>
      <c r="EK96" s="18">
        <f>EJ96*VLOOKUP('Données projet'!$B$15,Paramètres!$A$1:$I$89,3,0)*VLOOKUP('Données projet'!$B$15,Paramètres!$A$1:$I$89,5,0)</f>
        <v>5.9412741393316544E-14</v>
      </c>
      <c r="EL96" s="14">
        <f t="shared" si="99"/>
        <v>9.483138037075782E-13</v>
      </c>
      <c r="EM96" s="22">
        <f t="shared" si="73"/>
        <v>1.7551237327173916E-12</v>
      </c>
      <c r="EN96" s="62">
        <f t="shared" si="74"/>
        <v>265.96547848785917</v>
      </c>
      <c r="EO96" s="62">
        <f ca="1">AVERAGE(OFFSET($EN$3,0,0,'Données projet'!$E$15+1,1))-AVERAGE(OFFSET($H$3,0,0,'Données projet'!$E$15+1,1))</f>
        <v>418.23737352070503</v>
      </c>
      <c r="EP96" s="62">
        <f t="shared" si="100"/>
        <v>496.10742685332968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1.1368683772161603E-13</v>
      </c>
      <c r="FF96" s="18">
        <f>FE96*VLOOKUP('Données projet'!$B$16,Paramètres!$A$1:$I$89,3,0)*VLOOKUP('Données projet'!$B$16,Paramètres!$A$1:$I$89,5,0)</f>
        <v>6.7984728957526396E-14</v>
      </c>
      <c r="FG96" s="14">
        <f t="shared" si="101"/>
        <v>1.0682447123141398E-12</v>
      </c>
      <c r="FH96" s="22">
        <f t="shared" si="76"/>
        <v>1.978932943548152E-12</v>
      </c>
      <c r="FI96" s="62">
        <f t="shared" si="77"/>
        <v>265.9654784878594</v>
      </c>
      <c r="FJ96" s="62">
        <f ca="1">AVERAGE(OFFSET($FI$3,0,0,'Données projet'!$E$16+1,1))-AVERAGE(OFFSET($H$3,0,0,'Données projet'!$E$16+1,1))</f>
        <v>341.70983624543067</v>
      </c>
      <c r="FK96" s="62">
        <f t="shared" si="102"/>
        <v>250.82562837973805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4.0805741894358723E-9</v>
      </c>
      <c r="FT96" s="24">
        <f t="shared" si="78"/>
        <v>4.0805741894358723E-9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10</v>
      </c>
      <c r="FZ96" s="13">
        <f>IF('Données projet'!$A$244&gt;35,FZ95+FY96-GH95,IF(A96&lt;'Données projet'!$A$244,$FW$205^A96,IF(A96='Données projet'!$A$244,'Données projet'!$B$244,FZ95+FY96-GH95)))</f>
        <v>405.99999999999972</v>
      </c>
      <c r="GA96" s="18">
        <f>FZ96*VLOOKUP('Données projet'!$B$17,Paramètres!$A$1:$I$89,3,0)*VLOOKUP('Données projet'!$B$17,Paramètres!$A$1:$I$89,5,0)</f>
        <v>190.00799999999987</v>
      </c>
      <c r="GB96" s="14">
        <f t="shared" si="103"/>
        <v>47.541721533308163</v>
      </c>
      <c r="GC96" s="22">
        <f t="shared" si="79"/>
        <v>413.73243167051146</v>
      </c>
      <c r="GD96" s="62">
        <f t="shared" si="80"/>
        <v>679.69791015836881</v>
      </c>
      <c r="GE96" s="62">
        <f ca="1">AVERAGE(OFFSET($GD$3,0,0,'Données projet'!$E$17+1,1))-AVERAGE(OFFSET($H$3,0,0,'Données projet'!$E$17+1,1))</f>
        <v>368.69628434154333</v>
      </c>
      <c r="GF96" s="62">
        <f t="shared" si="104"/>
        <v>202.28197295839524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-1.1368683772161603E-13</v>
      </c>
      <c r="GV96" s="18">
        <f>GU96*VLOOKUP('Données projet'!$B$18,Paramètres!$A$1:$I$89,3,0)*VLOOKUP('Données projet'!$B$18,Paramètres!$A$1:$I$89,5,0)</f>
        <v>-9.9316821433603781E-14</v>
      </c>
      <c r="GW96" s="14" t="e">
        <f t="shared" si="105"/>
        <v>#NUM!</v>
      </c>
      <c r="GX96" s="22" t="e">
        <f t="shared" si="82"/>
        <v>#NUM!</v>
      </c>
      <c r="GY96" s="62" t="e">
        <f t="shared" si="83"/>
        <v>#NUM!</v>
      </c>
      <c r="GZ96" s="62">
        <f ca="1">AVERAGE(OFFSET($GY$3,0,0,'Données projet'!$E$18+1,1))-AVERAGE(OFFSET($H$3,0,0,'Données projet'!$E$18+1,1))</f>
        <v>378.51861272969165</v>
      </c>
      <c r="HA96" s="62">
        <f t="shared" si="106"/>
        <v>387.42368617035459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0</v>
      </c>
      <c r="HH96" s="23">
        <f>EXP(-LN(2)/25)*HH95+(1-EXP(-LN(2)/25))/(LN(2)/25)*Calculateur!HC96*Calculateur!HE96*VLOOKUP('Données projet'!$B$18,Paramètres!$A$1:$I$89,3,0)*0.475*44/12</f>
        <v>0</v>
      </c>
      <c r="HI96" s="23">
        <f>EXP(-LN(2)/2)*HI95+(1-EXP(-LN(2)/2))/(LN(2)/2)*HC96*HF96*VLOOKUP('Données projet'!$B$18,Paramètres!$A$1:$I$89,3,0)*0.475*44/12</f>
        <v>0</v>
      </c>
      <c r="HJ96" s="24">
        <f t="shared" si="84"/>
        <v>0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135.66666666666666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5.3</v>
      </c>
      <c r="N97" s="14">
        <f>IF('Données projet'!$A$36&gt;35,N96+M97-V96,IF(A97&lt;'Données projet'!$A$36,$K$205^A97,IF(A97='Données projet'!$A$36,'Données projet'!$B$36,N96+M97-V96)))</f>
        <v>483.20000000000005</v>
      </c>
      <c r="O97" s="14">
        <f>N97*VLOOKUP('Données projet'!$B$9,Paramètres!$A$1:$I$89,3,0)*VLOOKUP('Données projet'!$B$9,Paramètres!$A$1:$I$89,5,0)</f>
        <v>288.95360000000005</v>
      </c>
      <c r="P97" s="14">
        <f t="shared" si="87"/>
        <v>68.855681726886303</v>
      </c>
      <c r="Q97" s="22">
        <f t="shared" si="54"/>
        <v>623.18449900766041</v>
      </c>
      <c r="R97" s="62">
        <f t="shared" si="55"/>
        <v>889.6247485917296</v>
      </c>
      <c r="S97" s="62">
        <f ca="1">AVERAGE(OFFSET($R$3,0,0,'Données projet'!$E$9+1,1))-AVERAGE(OFFSET($H$3,0,0,'Données projet'!$E$9+1,1))</f>
        <v>437.94016462147999</v>
      </c>
      <c r="T97" s="62">
        <f t="shared" si="88"/>
        <v>281.88254003380348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1.9065045612468379E-9</v>
      </c>
      <c r="AC97" s="24">
        <f t="shared" si="57"/>
        <v>1.9065045612468379E-9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274.00000000000006</v>
      </c>
      <c r="AJ97" s="14">
        <f>AI97*VLOOKUP('Données projet'!$B$10,Paramètres!$A$1:$I$89,3,0)*VLOOKUP('Données projet'!$B$10,Paramètres!$A$1:$I$89,5,0)</f>
        <v>247.91520000000003</v>
      </c>
      <c r="AK97" s="14">
        <f t="shared" si="89"/>
        <v>60.139294964297406</v>
      </c>
      <c r="AL97" s="22">
        <f t="shared" si="58"/>
        <v>536.52824539615131</v>
      </c>
      <c r="AM97" s="62">
        <f t="shared" si="59"/>
        <v>802.9684949802205</v>
      </c>
      <c r="AN97" s="62">
        <f ca="1">AVERAGE(OFFSET($AM$3,0,0,'Données projet'!$E$10+1,1))-AVERAGE(OFFSET($H$3,0,0,'Données projet'!$E$10+1,1))</f>
        <v>434.56763649859136</v>
      </c>
      <c r="AO97" s="62">
        <f t="shared" si="90"/>
        <v>271.90302066766264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1.1368683772161603E-13</v>
      </c>
      <c r="BE97" s="14">
        <f>BD97*VLOOKUP('Données projet'!$B$11,Paramètres!$A$1:$I$89,3,0)*VLOOKUP('Données projet'!$B$11,Paramètres!$A$1:$I$89,5,0)</f>
        <v>6.7984728957526396E-14</v>
      </c>
      <c r="BF97" s="14">
        <f t="shared" si="91"/>
        <v>1.0682447123141398E-12</v>
      </c>
      <c r="BG97" s="22">
        <f t="shared" si="61"/>
        <v>1.978932943548152E-12</v>
      </c>
      <c r="BH97" s="62">
        <f t="shared" si="62"/>
        <v>266.44024958407118</v>
      </c>
      <c r="BI97" s="62">
        <f ca="1">AVERAGE(OFFSET($BH$3,0,0,'Données projet'!$E$11+1,1))-AVERAGE(OFFSET($H$3,0,0,'Données projet'!$E$11+1,1))</f>
        <v>199.65420589615553</v>
      </c>
      <c r="BJ97" s="62">
        <f t="shared" si="92"/>
        <v>477.85821088970999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15.012002404983118</v>
      </c>
      <c r="BQ97" s="23">
        <f>EXP(-LN(2)/25)*BQ96+(1-EXP(-LN(2)/25))/(LN(2)/25)*Calculateur!BL97*Calculateur!BN97*VLOOKUP('Données projet'!$B$11,Paramètres!$A$1:$I$89,3,0)*0.475*44/12</f>
        <v>7.4526440289327756</v>
      </c>
      <c r="BR97" s="23">
        <f>EXP(-LN(2)/2)*BR96+(1-EXP(-LN(2)/2))/(LN(2)/2)*BL97*BO97*VLOOKUP('Données projet'!$B$11,Paramètres!$A$1:$I$89,3,0)*0.475*44/12</f>
        <v>1.0143822244580051E-8</v>
      </c>
      <c r="BS97" s="24">
        <f t="shared" si="63"/>
        <v>22.464646444059717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5.3</v>
      </c>
      <c r="BY97" s="13">
        <f>IF('Données projet'!$A$114&gt;35,BY96+BX97-CG96,IF(A97&lt;'Données projet'!$A$114,$BV$205^A97,IF(A97='Données projet'!$A$114,'Données projet'!$B$114,BY96+BX97-CG96)))</f>
        <v>483.20000000000005</v>
      </c>
      <c r="BZ97" s="14">
        <f>BY97*VLOOKUP('Données projet'!$B$12,Paramètres!$A$1:$I$89,3,0)*VLOOKUP('Données projet'!$B$12,Paramètres!$A$1:$I$89,5,0)</f>
        <v>288.95360000000005</v>
      </c>
      <c r="CA97" s="14">
        <f t="shared" si="93"/>
        <v>68.855681726886303</v>
      </c>
      <c r="CB97" s="22">
        <f t="shared" si="64"/>
        <v>623.18449900766041</v>
      </c>
      <c r="CC97" s="62">
        <f t="shared" si="65"/>
        <v>889.6247485917296</v>
      </c>
      <c r="CD97" s="62">
        <f ca="1">AVERAGE(OFFSET($CC$3,0,0,'Données projet'!$E$12+1,1))-AVERAGE(OFFSET($H$3,0,0,'Données projet'!$E$12+1,1))</f>
        <v>437.94016462147999</v>
      </c>
      <c r="CE97" s="62">
        <f t="shared" si="94"/>
        <v>281.88254003380348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1.9065045612468379E-9</v>
      </c>
      <c r="CN97" s="24">
        <f t="shared" si="66"/>
        <v>1.9065045612468379E-9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5</v>
      </c>
      <c r="CT97" s="13">
        <f>IF('Données projet'!$A$140&gt;35,CT96+CS97-DB96,IF(A97&lt;'Données projet'!$A$140,$CQ$205^A97,IF(A97='Données projet'!$A$140,'Données projet'!$B$140,CT96+CS97-DB96)))</f>
        <v>274.00000000000006</v>
      </c>
      <c r="CU97" s="18">
        <f>CT97*VLOOKUP('Données projet'!$B$13,Paramètres!$A$1:$I$89,3,0)*VLOOKUP('Données projet'!$B$13,Paramètres!$A$1:$I$89,5,0)</f>
        <v>312.03120000000007</v>
      </c>
      <c r="CV97" s="14">
        <f t="shared" si="95"/>
        <v>73.69286420555747</v>
      </c>
      <c r="CW97" s="22">
        <f t="shared" si="67"/>
        <v>671.80274515801261</v>
      </c>
      <c r="CX97" s="62">
        <f t="shared" si="68"/>
        <v>938.24299474208181</v>
      </c>
      <c r="CY97" s="62">
        <f ca="1">AVERAGE(OFFSET($CX$3,0,0,'Données projet'!$E$13+1,1))-AVERAGE(OFFSET($H$3,0,0,'Données projet'!$E$13+1,1))</f>
        <v>520.23742527061836</v>
      </c>
      <c r="CZ97" s="62">
        <f t="shared" si="96"/>
        <v>321.35925479331274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6</v>
      </c>
      <c r="DO97" s="13">
        <f>IF('Données projet'!$A$166&gt;35,DO96+DN97-DW96,IF(A97&lt;'Données projet'!$A$166,$DL$205^A97,IF(A97='Données projet'!$A$166,'Données projet'!$B$166,DO96+DN97-DW96)))</f>
        <v>325.99999999999994</v>
      </c>
      <c r="DP97" s="18">
        <f>DO97*VLOOKUP('Données projet'!$B$14,Paramètres!$A$1:$I$89,3,0)*VLOOKUP('Données projet'!$B$14,Paramètres!$A$1:$I$89,5,0)</f>
        <v>330.56399999999996</v>
      </c>
      <c r="DQ97" s="14">
        <f t="shared" si="97"/>
        <v>77.547227137682853</v>
      </c>
      <c r="DR97" s="22">
        <f t="shared" si="70"/>
        <v>710.79372059813079</v>
      </c>
      <c r="DS97" s="62">
        <f t="shared" si="71"/>
        <v>977.23397018219998</v>
      </c>
      <c r="DT97" s="62">
        <f ca="1">AVERAGE(OFFSET($DS$3,0,0,'Données projet'!$E$14+1,1))-AVERAGE(OFFSET($H$3,0,0,'Données projet'!$E$14+1,1))</f>
        <v>547.89540791313675</v>
      </c>
      <c r="DU97" s="62">
        <f t="shared" si="98"/>
        <v>345.19555189302378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5.6843418860808015E-14</v>
      </c>
      <c r="EK97" s="18">
        <f>EJ97*VLOOKUP('Données projet'!$B$15,Paramètres!$A$1:$I$89,3,0)*VLOOKUP('Données projet'!$B$15,Paramètres!$A$1:$I$89,5,0)</f>
        <v>5.9412741393316544E-14</v>
      </c>
      <c r="EL97" s="14">
        <f t="shared" si="99"/>
        <v>9.483138037075782E-13</v>
      </c>
      <c r="EM97" s="22">
        <f t="shared" si="73"/>
        <v>1.7551237327173916E-12</v>
      </c>
      <c r="EN97" s="62">
        <f t="shared" si="74"/>
        <v>266.44024958407095</v>
      </c>
      <c r="EO97" s="62">
        <f ca="1">AVERAGE(OFFSET($EN$3,0,0,'Données projet'!$E$15+1,1))-AVERAGE(OFFSET($H$3,0,0,'Données projet'!$E$15+1,1))</f>
        <v>418.23737352070503</v>
      </c>
      <c r="EP97" s="62">
        <f t="shared" si="100"/>
        <v>496.10742685332968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1.1368683772161603E-13</v>
      </c>
      <c r="FF97" s="18">
        <f>FE97*VLOOKUP('Données projet'!$B$16,Paramètres!$A$1:$I$89,3,0)*VLOOKUP('Données projet'!$B$16,Paramètres!$A$1:$I$89,5,0)</f>
        <v>6.7984728957526396E-14</v>
      </c>
      <c r="FG97" s="14">
        <f t="shared" si="101"/>
        <v>1.0682447123141398E-12</v>
      </c>
      <c r="FH97" s="22">
        <f t="shared" si="76"/>
        <v>1.978932943548152E-12</v>
      </c>
      <c r="FI97" s="62">
        <f t="shared" si="77"/>
        <v>266.44024958407118</v>
      </c>
      <c r="FJ97" s="62">
        <f ca="1">AVERAGE(OFFSET($FI$3,0,0,'Données projet'!$E$16+1,1))-AVERAGE(OFFSET($H$3,0,0,'Données projet'!$E$16+1,1))</f>
        <v>341.70983624543067</v>
      </c>
      <c r="FK97" s="62">
        <f t="shared" si="102"/>
        <v>250.82562837973805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2.8854016804849049E-9</v>
      </c>
      <c r="FT97" s="24">
        <f t="shared" si="78"/>
        <v>2.8854016804849049E-9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10</v>
      </c>
      <c r="FZ97" s="13">
        <f>IF('Données projet'!$A$244&gt;35,FZ96+FY97-GH96,IF(A97&lt;'Données projet'!$A$244,$FW$205^A97,IF(A97='Données projet'!$A$244,'Données projet'!$B$244,FZ96+FY97-GH96)))</f>
        <v>415.99999999999972</v>
      </c>
      <c r="GA97" s="18">
        <f>FZ97*VLOOKUP('Données projet'!$B$17,Paramètres!$A$1:$I$89,3,0)*VLOOKUP('Données projet'!$B$17,Paramètres!$A$1:$I$89,5,0)</f>
        <v>194.68799999999987</v>
      </c>
      <c r="GB97" s="14">
        <f t="shared" si="103"/>
        <v>48.574928228914978</v>
      </c>
      <c r="GC97" s="22">
        <f t="shared" si="79"/>
        <v>423.68293333202672</v>
      </c>
      <c r="GD97" s="62">
        <f t="shared" si="80"/>
        <v>690.12318291609586</v>
      </c>
      <c r="GE97" s="62">
        <f ca="1">AVERAGE(OFFSET($GD$3,0,0,'Données projet'!$E$17+1,1))-AVERAGE(OFFSET($H$3,0,0,'Données projet'!$E$17+1,1))</f>
        <v>368.69628434154333</v>
      </c>
      <c r="GF97" s="62">
        <f t="shared" si="104"/>
        <v>202.28197295839524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-1.1368683772161603E-13</v>
      </c>
      <c r="GV97" s="18">
        <f>GU97*VLOOKUP('Données projet'!$B$18,Paramètres!$A$1:$I$89,3,0)*VLOOKUP('Données projet'!$B$18,Paramètres!$A$1:$I$89,5,0)</f>
        <v>-9.9316821433603781E-14</v>
      </c>
      <c r="GW97" s="14" t="e">
        <f t="shared" si="105"/>
        <v>#NUM!</v>
      </c>
      <c r="GX97" s="22" t="e">
        <f t="shared" si="82"/>
        <v>#NUM!</v>
      </c>
      <c r="GY97" s="62" t="e">
        <f t="shared" si="83"/>
        <v>#NUM!</v>
      </c>
      <c r="GZ97" s="62">
        <f ca="1">AVERAGE(OFFSET($GY$3,0,0,'Données projet'!$E$18+1,1))-AVERAGE(OFFSET($H$3,0,0,'Données projet'!$E$18+1,1))</f>
        <v>378.51861272969165</v>
      </c>
      <c r="HA97" s="62">
        <f t="shared" si="106"/>
        <v>387.42368617035459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0</v>
      </c>
      <c r="HH97" s="23">
        <f>EXP(-LN(2)/25)*HH96+(1-EXP(-LN(2)/25))/(LN(2)/25)*Calculateur!HC97*Calculateur!HE97*VLOOKUP('Données projet'!$B$18,Paramètres!$A$1:$I$89,3,0)*0.475*44/12</f>
        <v>0</v>
      </c>
      <c r="HI97" s="23">
        <f>EXP(-LN(2)/2)*HI96+(1-EXP(-LN(2)/2))/(LN(2)/2)*HC97*HF97*VLOOKUP('Données projet'!$B$18,Paramètres!$A$1:$I$89,3,0)*0.475*44/12</f>
        <v>0</v>
      </c>
      <c r="HJ97" s="24">
        <f t="shared" si="84"/>
        <v>0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135.66666666666666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5.3</v>
      </c>
      <c r="N98" s="14">
        <f>IF('Données projet'!$A$36&gt;35,N97+M98-V97,IF(A98&lt;'Données projet'!$A$36,$K$205^A98,IF(A98='Données projet'!$A$36,'Données projet'!$B$36,N97+M98-V97)))</f>
        <v>488.50000000000006</v>
      </c>
      <c r="O98" s="14">
        <f>N98*VLOOKUP('Données projet'!$B$9,Paramètres!$A$1:$I$89,3,0)*VLOOKUP('Données projet'!$B$9,Paramètres!$A$1:$I$89,5,0)</f>
        <v>292.12300000000005</v>
      </c>
      <c r="P98" s="14">
        <f t="shared" si="87"/>
        <v>69.52259326444549</v>
      </c>
      <c r="Q98" s="22">
        <f t="shared" si="54"/>
        <v>629.86607493557597</v>
      </c>
      <c r="R98" s="62">
        <f t="shared" si="55"/>
        <v>896.77285939876685</v>
      </c>
      <c r="S98" s="62">
        <f ca="1">AVERAGE(OFFSET($R$3,0,0,'Données projet'!$E$9+1,1))-AVERAGE(OFFSET($H$3,0,0,'Données projet'!$E$9+1,1))</f>
        <v>437.94016462147999</v>
      </c>
      <c r="T98" s="62">
        <f t="shared" si="88"/>
        <v>281.88254003380348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1.3481023036207226E-9</v>
      </c>
      <c r="AC98" s="24">
        <f t="shared" si="57"/>
        <v>1.3481023036207226E-9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279.00000000000006</v>
      </c>
      <c r="AJ98" s="14">
        <f>AI98*VLOOKUP('Données projet'!$B$10,Paramètres!$A$1:$I$89,3,0)*VLOOKUP('Données projet'!$B$10,Paramètres!$A$1:$I$89,5,0)</f>
        <v>252.43920000000006</v>
      </c>
      <c r="AK98" s="14">
        <f t="shared" si="89"/>
        <v>61.107963296116274</v>
      </c>
      <c r="AL98" s="22">
        <f t="shared" si="58"/>
        <v>546.09464274073594</v>
      </c>
      <c r="AM98" s="62">
        <f t="shared" si="59"/>
        <v>813.00142720392682</v>
      </c>
      <c r="AN98" s="62">
        <f ca="1">AVERAGE(OFFSET($AM$3,0,0,'Données projet'!$E$10+1,1))-AVERAGE(OFFSET($H$3,0,0,'Données projet'!$E$10+1,1))</f>
        <v>434.56763649859136</v>
      </c>
      <c r="AO98" s="62">
        <f t="shared" si="90"/>
        <v>271.90302066766264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1.1368683772161603E-13</v>
      </c>
      <c r="BE98" s="14">
        <f>BD98*VLOOKUP('Données projet'!$B$11,Paramètres!$A$1:$I$89,3,0)*VLOOKUP('Données projet'!$B$11,Paramètres!$A$1:$I$89,5,0)</f>
        <v>6.7984728957526396E-14</v>
      </c>
      <c r="BF98" s="14">
        <f t="shared" si="91"/>
        <v>1.0682447123141398E-12</v>
      </c>
      <c r="BG98" s="22">
        <f t="shared" si="61"/>
        <v>1.978932943548152E-12</v>
      </c>
      <c r="BH98" s="62">
        <f t="shared" si="62"/>
        <v>266.90678446319288</v>
      </c>
      <c r="BI98" s="62">
        <f ca="1">AVERAGE(OFFSET($BH$3,0,0,'Données projet'!$E$11+1,1))-AVERAGE(OFFSET($H$3,0,0,'Données projet'!$E$11+1,1))</f>
        <v>199.65420589615553</v>
      </c>
      <c r="BJ98" s="62">
        <f t="shared" si="92"/>
        <v>477.85821088970999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14.717626194238745</v>
      </c>
      <c r="BQ98" s="23">
        <f>EXP(-LN(2)/25)*BQ97+(1-EXP(-LN(2)/25))/(LN(2)/25)*Calculateur!BL98*Calculateur!BN98*VLOOKUP('Données projet'!$B$11,Paramètres!$A$1:$I$89,3,0)*0.475*44/12</f>
        <v>7.2488510860440929</v>
      </c>
      <c r="BR98" s="23">
        <f>EXP(-LN(2)/2)*BR97+(1-EXP(-LN(2)/2))/(LN(2)/2)*BL98*BO98*VLOOKUP('Données projet'!$B$11,Paramètres!$A$1:$I$89,3,0)*0.475*44/12</f>
        <v>7.1727654962935001E-9</v>
      </c>
      <c r="BS98" s="24">
        <f t="shared" si="63"/>
        <v>21.966477287455604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5.3</v>
      </c>
      <c r="BY98" s="13">
        <f>IF('Données projet'!$A$114&gt;35,BY97+BX98-CG97,IF(A98&lt;'Données projet'!$A$114,$BV$205^A98,IF(A98='Données projet'!$A$114,'Données projet'!$B$114,BY97+BX98-CG97)))</f>
        <v>488.50000000000006</v>
      </c>
      <c r="BZ98" s="14">
        <f>BY98*VLOOKUP('Données projet'!$B$12,Paramètres!$A$1:$I$89,3,0)*VLOOKUP('Données projet'!$B$12,Paramètres!$A$1:$I$89,5,0)</f>
        <v>292.12300000000005</v>
      </c>
      <c r="CA98" s="14">
        <f t="shared" si="93"/>
        <v>69.52259326444549</v>
      </c>
      <c r="CB98" s="22">
        <f t="shared" si="64"/>
        <v>629.86607493557597</v>
      </c>
      <c r="CC98" s="62">
        <f t="shared" si="65"/>
        <v>896.77285939876685</v>
      </c>
      <c r="CD98" s="62">
        <f ca="1">AVERAGE(OFFSET($CC$3,0,0,'Données projet'!$E$12+1,1))-AVERAGE(OFFSET($H$3,0,0,'Données projet'!$E$12+1,1))</f>
        <v>437.94016462147999</v>
      </c>
      <c r="CE98" s="62">
        <f t="shared" si="94"/>
        <v>281.88254003380348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1.3481023036207226E-9</v>
      </c>
      <c r="CN98" s="24">
        <f t="shared" si="66"/>
        <v>1.3481023036207226E-9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279</v>
      </c>
      <c r="CR98" s="13">
        <f>VLOOKUP(A98,'Données projet'!$A$139:$I$159,9,0)</f>
        <v>5</v>
      </c>
      <c r="CS98" s="13">
        <f t="array" ref="CS98">INDEX(CR:CR,MIN(IF(ISNUMBER(CR98:CR294),ROW(CR98:CR294),"")))</f>
        <v>5</v>
      </c>
      <c r="CT98" s="13">
        <f>IF('Données projet'!$A$140&gt;35,CT97+CS98-DB97,IF(A98&lt;'Données projet'!$A$140,$CQ$205^A98,IF(A98='Données projet'!$A$140,'Données projet'!$B$140,CT97+CS98-DB97)))</f>
        <v>279.00000000000006</v>
      </c>
      <c r="CU98" s="18">
        <f>CT98*VLOOKUP('Données projet'!$B$13,Paramètres!$A$1:$I$89,3,0)*VLOOKUP('Données projet'!$B$13,Paramètres!$A$1:$I$89,5,0)</f>
        <v>317.72520000000009</v>
      </c>
      <c r="CV98" s="14">
        <f t="shared" si="95"/>
        <v>74.879840938146799</v>
      </c>
      <c r="CW98" s="22">
        <f t="shared" si="67"/>
        <v>683.78711296727249</v>
      </c>
      <c r="CX98" s="62">
        <f t="shared" si="68"/>
        <v>950.69389743046338</v>
      </c>
      <c r="CY98" s="62">
        <f ca="1">AVERAGE(OFFSET($CX$3,0,0,'Données projet'!$E$13+1,1))-AVERAGE(OFFSET($H$3,0,0,'Données projet'!$E$13+1,1))</f>
        <v>520.23742527061836</v>
      </c>
      <c r="CZ98" s="62">
        <f t="shared" si="96"/>
        <v>321.35925479331274</v>
      </c>
      <c r="DA98" s="16">
        <f>IF(ISNA(VLOOKUP(A98,'Données projet'!$A$139:$I$159,3,0)),0,VLOOKUP(A98,'Données projet'!$A$139:$I$159,3,0))</f>
        <v>15</v>
      </c>
      <c r="DB98" s="16">
        <f>IF(ISNA(VLOOKUP(A98,'Données projet'!$A$139:$I$159,4,0)),0,VLOOKUP(A98,'Données projet'!$A$139:$I$159,4,0))</f>
        <v>21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332</v>
      </c>
      <c r="DM98" s="13">
        <f>VLOOKUP(A98,'Données projet'!$A$165:$I$185,9,0)</f>
        <v>6</v>
      </c>
      <c r="DN98" s="13">
        <f t="array" ref="DN98">INDEX(DM:DM,MIN(IF(ISNUMBER(DM98:DM294),ROW(DM98:DM294),"")))</f>
        <v>6</v>
      </c>
      <c r="DO98" s="13">
        <f>IF('Données projet'!$A$166&gt;35,DO97+DN98-DW97,IF(A98&lt;'Données projet'!$A$166,$DL$205^A98,IF(A98='Données projet'!$A$166,'Données projet'!$B$166,DO97+DN98-DW97)))</f>
        <v>331.99999999999994</v>
      </c>
      <c r="DP98" s="18">
        <f>DO98*VLOOKUP('Données projet'!$B$14,Paramètres!$A$1:$I$89,3,0)*VLOOKUP('Données projet'!$B$14,Paramètres!$A$1:$I$89,5,0)</f>
        <v>336.64799999999997</v>
      </c>
      <c r="DQ98" s="14">
        <f t="shared" si="97"/>
        <v>78.807003163010378</v>
      </c>
      <c r="DR98" s="22">
        <f t="shared" si="70"/>
        <v>723.58413050890977</v>
      </c>
      <c r="DS98" s="62">
        <f t="shared" si="71"/>
        <v>990.49091497210065</v>
      </c>
      <c r="DT98" s="62">
        <f ca="1">AVERAGE(OFFSET($DS$3,0,0,'Données projet'!$E$14+1,1))-AVERAGE(OFFSET($H$3,0,0,'Données projet'!$E$14+1,1))</f>
        <v>547.89540791313675</v>
      </c>
      <c r="DU98" s="62">
        <f t="shared" si="98"/>
        <v>345.19555189302378</v>
      </c>
      <c r="DV98" s="16">
        <f>IF(ISNA(VLOOKUP(A98,'Données projet'!$A$165:$I$185,3,0)),0,VLOOKUP(A98,'Données projet'!$A$165:$I$185,3,0))</f>
        <v>16</v>
      </c>
      <c r="DW98" s="16">
        <f>IF(ISNA(VLOOKUP(A98,'Données projet'!$A$165:$I$185,4,0)),0,VLOOKUP(A98,'Données projet'!$A$165:$I$185,4,0))</f>
        <v>28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5.6843418860808015E-14</v>
      </c>
      <c r="EK98" s="18">
        <f>EJ98*VLOOKUP('Données projet'!$B$15,Paramètres!$A$1:$I$89,3,0)*VLOOKUP('Données projet'!$B$15,Paramètres!$A$1:$I$89,5,0)</f>
        <v>5.9412741393316544E-14</v>
      </c>
      <c r="EL98" s="14">
        <f t="shared" si="99"/>
        <v>9.483138037075782E-13</v>
      </c>
      <c r="EM98" s="22">
        <f t="shared" si="73"/>
        <v>1.7551237327173916E-12</v>
      </c>
      <c r="EN98" s="62">
        <f t="shared" si="74"/>
        <v>266.90678446319265</v>
      </c>
      <c r="EO98" s="62">
        <f ca="1">AVERAGE(OFFSET($EN$3,0,0,'Données projet'!$E$15+1,1))-AVERAGE(OFFSET($H$3,0,0,'Données projet'!$E$15+1,1))</f>
        <v>418.23737352070503</v>
      </c>
      <c r="EP98" s="62">
        <f t="shared" si="100"/>
        <v>496.10742685332968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1.1368683772161603E-13</v>
      </c>
      <c r="FF98" s="18">
        <f>FE98*VLOOKUP('Données projet'!$B$16,Paramètres!$A$1:$I$89,3,0)*VLOOKUP('Données projet'!$B$16,Paramètres!$A$1:$I$89,5,0)</f>
        <v>6.7984728957526396E-14</v>
      </c>
      <c r="FG98" s="14">
        <f t="shared" si="101"/>
        <v>1.0682447123141398E-12</v>
      </c>
      <c r="FH98" s="22">
        <f t="shared" si="76"/>
        <v>1.978932943548152E-12</v>
      </c>
      <c r="FI98" s="62">
        <f t="shared" si="77"/>
        <v>266.90678446319288</v>
      </c>
      <c r="FJ98" s="62">
        <f ca="1">AVERAGE(OFFSET($FI$3,0,0,'Données projet'!$E$16+1,1))-AVERAGE(OFFSET($H$3,0,0,'Données projet'!$E$16+1,1))</f>
        <v>341.70983624543067</v>
      </c>
      <c r="FK98" s="62">
        <f t="shared" si="102"/>
        <v>250.82562837973805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2.0402870947179361E-9</v>
      </c>
      <c r="FT98" s="24">
        <f t="shared" si="78"/>
        <v>2.0402870947179361E-9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10</v>
      </c>
      <c r="FZ98" s="13">
        <f>IF('Données projet'!$A$244&gt;35,FZ97+FY98-GH97,IF(A98&lt;'Données projet'!$A$244,$FW$205^A98,IF(A98='Données projet'!$A$244,'Données projet'!$B$244,FZ97+FY98-GH97)))</f>
        <v>425.99999999999972</v>
      </c>
      <c r="GA98" s="18">
        <f>FZ98*VLOOKUP('Données projet'!$B$17,Paramètres!$A$1:$I$89,3,0)*VLOOKUP('Données projet'!$B$17,Paramètres!$A$1:$I$89,5,0)</f>
        <v>199.36799999999988</v>
      </c>
      <c r="GB98" s="14">
        <f t="shared" si="103"/>
        <v>49.605247679671365</v>
      </c>
      <c r="GC98" s="22">
        <f t="shared" si="79"/>
        <v>433.62840637542746</v>
      </c>
      <c r="GD98" s="62">
        <f t="shared" si="80"/>
        <v>700.53519083861829</v>
      </c>
      <c r="GE98" s="62">
        <f ca="1">AVERAGE(OFFSET($GD$3,0,0,'Données projet'!$E$17+1,1))-AVERAGE(OFFSET($H$3,0,0,'Données projet'!$E$17+1,1))</f>
        <v>368.69628434154333</v>
      </c>
      <c r="GF98" s="62">
        <f t="shared" si="104"/>
        <v>202.28197295839524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-1.1368683772161603E-13</v>
      </c>
      <c r="GV98" s="18">
        <f>GU98*VLOOKUP('Données projet'!$B$18,Paramètres!$A$1:$I$89,3,0)*VLOOKUP('Données projet'!$B$18,Paramètres!$A$1:$I$89,5,0)</f>
        <v>-9.9316821433603781E-14</v>
      </c>
      <c r="GW98" s="14" t="e">
        <f t="shared" si="105"/>
        <v>#NUM!</v>
      </c>
      <c r="GX98" s="22" t="e">
        <f t="shared" si="82"/>
        <v>#NUM!</v>
      </c>
      <c r="GY98" s="62" t="e">
        <f t="shared" si="83"/>
        <v>#NUM!</v>
      </c>
      <c r="GZ98" s="62">
        <f ca="1">AVERAGE(OFFSET($GY$3,0,0,'Données projet'!$E$18+1,1))-AVERAGE(OFFSET($H$3,0,0,'Données projet'!$E$18+1,1))</f>
        <v>378.51861272969165</v>
      </c>
      <c r="HA98" s="62">
        <f t="shared" si="106"/>
        <v>387.42368617035459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0</v>
      </c>
      <c r="HH98" s="23">
        <f>EXP(-LN(2)/25)*HH97+(1-EXP(-LN(2)/25))/(LN(2)/25)*Calculateur!HC98*Calculateur!HE98*VLOOKUP('Données projet'!$B$18,Paramètres!$A$1:$I$89,3,0)*0.475*44/12</f>
        <v>0</v>
      </c>
      <c r="HI98" s="23">
        <f>EXP(-LN(2)/2)*HI97+(1-EXP(-LN(2)/2))/(LN(2)/2)*HC98*HF98*VLOOKUP('Données projet'!$B$18,Paramètres!$A$1:$I$89,3,0)*0.475*44/12</f>
        <v>0</v>
      </c>
      <c r="HJ98" s="24">
        <f t="shared" si="84"/>
        <v>0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135.66666666666666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5.3</v>
      </c>
      <c r="N99" s="14">
        <f>IF('Données projet'!$A$36&gt;35,N98+M99-V98,IF(A99&lt;'Données projet'!$A$36,$K$205^A99,IF(A99='Données projet'!$A$36,'Données projet'!$B$36,N98+M99-V98)))</f>
        <v>493.80000000000007</v>
      </c>
      <c r="O99" s="14">
        <f>N99*VLOOKUP('Données projet'!$B$9,Paramètres!$A$1:$I$89,3,0)*VLOOKUP('Données projet'!$B$9,Paramètres!$A$1:$I$89,5,0)</f>
        <v>295.2924000000001</v>
      </c>
      <c r="P99" s="14">
        <f t="shared" si="87"/>
        <v>70.188663082637405</v>
      </c>
      <c r="Q99" s="22">
        <f t="shared" ref="Q99:Q130" si="107">(O99+P99)*0.475*44/12</f>
        <v>636.54618486892696</v>
      </c>
      <c r="R99" s="62">
        <f t="shared" si="55"/>
        <v>903.91141087410256</v>
      </c>
      <c r="S99" s="62">
        <f ca="1">AVERAGE(OFFSET($R$3,0,0,'Données projet'!$E$9+1,1))-AVERAGE(OFFSET($H$3,0,0,'Données projet'!$E$9+1,1))</f>
        <v>437.94016462147999</v>
      </c>
      <c r="T99" s="62">
        <f t="shared" si="88"/>
        <v>281.88254003380348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9.5325228062341895E-10</v>
      </c>
      <c r="AC99" s="24">
        <f t="shared" si="57"/>
        <v>9.5325228062341895E-10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262.80000000000007</v>
      </c>
      <c r="AJ99" s="14">
        <f>AI99*VLOOKUP('Données projet'!$B$10,Paramètres!$A$1:$I$89,3,0)*VLOOKUP('Données projet'!$B$10,Paramètres!$A$1:$I$89,5,0)</f>
        <v>237.78144000000006</v>
      </c>
      <c r="AK99" s="14">
        <f t="shared" si="89"/>
        <v>57.96193879691095</v>
      </c>
      <c r="AL99" s="22">
        <f t="shared" si="58"/>
        <v>515.08638473795338</v>
      </c>
      <c r="AM99" s="62">
        <f t="shared" si="59"/>
        <v>782.45161074312887</v>
      </c>
      <c r="AN99" s="62">
        <f ca="1">AVERAGE(OFFSET($AM$3,0,0,'Données projet'!$E$10+1,1))-AVERAGE(OFFSET($H$3,0,0,'Données projet'!$E$10+1,1))</f>
        <v>434.56763649859136</v>
      </c>
      <c r="AO99" s="62">
        <f t="shared" si="90"/>
        <v>271.90302066766264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1.1368683772161603E-13</v>
      </c>
      <c r="BE99" s="14">
        <f>BD99*VLOOKUP('Données projet'!$B$11,Paramètres!$A$1:$I$89,3,0)*VLOOKUP('Données projet'!$B$11,Paramètres!$A$1:$I$89,5,0)</f>
        <v>6.7984728957526396E-14</v>
      </c>
      <c r="BF99" s="14">
        <f t="shared" si="91"/>
        <v>1.0682447123141398E-12</v>
      </c>
      <c r="BG99" s="22">
        <f t="shared" si="61"/>
        <v>1.978932943548152E-12</v>
      </c>
      <c r="BH99" s="62">
        <f t="shared" si="62"/>
        <v>267.36522600517753</v>
      </c>
      <c r="BI99" s="62">
        <f ca="1">AVERAGE(OFFSET($BH$3,0,0,'Données projet'!$E$11+1,1))-AVERAGE(OFFSET($H$3,0,0,'Données projet'!$E$11+1,1))</f>
        <v>199.65420589615553</v>
      </c>
      <c r="BJ99" s="62">
        <f t="shared" si="92"/>
        <v>477.85821088970999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14.429022521435311</v>
      </c>
      <c r="BQ99" s="23">
        <f>EXP(-LN(2)/25)*BQ98+(1-EXP(-LN(2)/25))/(LN(2)/25)*Calculateur!BL99*Calculateur!BN99*VLOOKUP('Données projet'!$B$11,Paramètres!$A$1:$I$89,3,0)*0.475*44/12</f>
        <v>7.0506308718957058</v>
      </c>
      <c r="BR99" s="23">
        <f>EXP(-LN(2)/2)*BR98+(1-EXP(-LN(2)/2))/(LN(2)/2)*BL99*BO99*VLOOKUP('Données projet'!$B$11,Paramètres!$A$1:$I$89,3,0)*0.475*44/12</f>
        <v>5.0719111222900265E-9</v>
      </c>
      <c r="BS99" s="24">
        <f t="shared" si="63"/>
        <v>21.479653398402927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5.3</v>
      </c>
      <c r="BY99" s="13">
        <f>IF('Données projet'!$A$114&gt;35,BY98+BX99-CG98,IF(A99&lt;'Données projet'!$A$114,$BV$205^A99,IF(A99='Données projet'!$A$114,'Données projet'!$B$114,BY98+BX99-CG98)))</f>
        <v>493.80000000000007</v>
      </c>
      <c r="BZ99" s="14">
        <f>BY99*VLOOKUP('Données projet'!$B$12,Paramètres!$A$1:$I$89,3,0)*VLOOKUP('Données projet'!$B$12,Paramètres!$A$1:$I$89,5,0)</f>
        <v>295.2924000000001</v>
      </c>
      <c r="CA99" s="14">
        <f t="shared" si="93"/>
        <v>70.188663082637405</v>
      </c>
      <c r="CB99" s="22">
        <f t="shared" si="64"/>
        <v>636.54618486892696</v>
      </c>
      <c r="CC99" s="62">
        <f t="shared" si="65"/>
        <v>903.91141087410256</v>
      </c>
      <c r="CD99" s="62">
        <f ca="1">AVERAGE(OFFSET($CC$3,0,0,'Données projet'!$E$12+1,1))-AVERAGE(OFFSET($H$3,0,0,'Données projet'!$E$12+1,1))</f>
        <v>437.94016462147999</v>
      </c>
      <c r="CE99" s="62">
        <f t="shared" si="94"/>
        <v>281.88254003380348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9.5325228062341895E-10</v>
      </c>
      <c r="CN99" s="24">
        <f t="shared" si="66"/>
        <v>9.5325228062341895E-10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4.8</v>
      </c>
      <c r="CT99" s="13">
        <f>IF('Données projet'!$A$140&gt;35,CT98+CS99-DB98,IF(A99&lt;'Données projet'!$A$140,$CQ$205^A99,IF(A99='Données projet'!$A$140,'Données projet'!$B$140,CT98+CS99-DB98)))</f>
        <v>262.80000000000007</v>
      </c>
      <c r="CU99" s="18">
        <f>CT99*VLOOKUP('Données projet'!$B$13,Paramètres!$A$1:$I$89,3,0)*VLOOKUP('Données projet'!$B$13,Paramètres!$A$1:$I$89,5,0)</f>
        <v>299.2766400000001</v>
      </c>
      <c r="CV99" s="14">
        <f t="shared" si="95"/>
        <v>71.024798135517841</v>
      </c>
      <c r="CW99" s="22">
        <f t="shared" si="67"/>
        <v>644.94167141936043</v>
      </c>
      <c r="CX99" s="62">
        <f t="shared" si="68"/>
        <v>912.30689742453592</v>
      </c>
      <c r="CY99" s="62">
        <f ca="1">AVERAGE(OFFSET($CX$3,0,0,'Données projet'!$E$13+1,1))-AVERAGE(OFFSET($H$3,0,0,'Données projet'!$E$13+1,1))</f>
        <v>520.23742527061836</v>
      </c>
      <c r="CZ99" s="62">
        <f t="shared" si="96"/>
        <v>321.35925479331274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5.8</v>
      </c>
      <c r="DO99" s="13">
        <f>IF('Données projet'!$A$166&gt;35,DO98+DN99-DW98,IF(A99&lt;'Données projet'!$A$166,$DL$205^A99,IF(A99='Données projet'!$A$166,'Données projet'!$B$166,DO98+DN99-DW98)))</f>
        <v>309.79999999999995</v>
      </c>
      <c r="DP99" s="18">
        <f>DO99*VLOOKUP('Données projet'!$B$14,Paramètres!$A$1:$I$89,3,0)*VLOOKUP('Données projet'!$B$14,Paramètres!$A$1:$I$89,5,0)</f>
        <v>314.13719999999995</v>
      </c>
      <c r="DQ99" s="14">
        <f t="shared" si="97"/>
        <v>74.132174405952824</v>
      </c>
      <c r="DR99" s="22">
        <f t="shared" si="70"/>
        <v>676.23582709036771</v>
      </c>
      <c r="DS99" s="62">
        <f t="shared" si="71"/>
        <v>943.60105309554319</v>
      </c>
      <c r="DT99" s="62">
        <f ca="1">AVERAGE(OFFSET($DS$3,0,0,'Données projet'!$E$14+1,1))-AVERAGE(OFFSET($H$3,0,0,'Données projet'!$E$14+1,1))</f>
        <v>547.89540791313675</v>
      </c>
      <c r="DU99" s="62">
        <f t="shared" si="98"/>
        <v>345.19555189302378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5.6843418860808015E-14</v>
      </c>
      <c r="EK99" s="18">
        <f>EJ99*VLOOKUP('Données projet'!$B$15,Paramètres!$A$1:$I$89,3,0)*VLOOKUP('Données projet'!$B$15,Paramètres!$A$1:$I$89,5,0)</f>
        <v>5.9412741393316544E-14</v>
      </c>
      <c r="EL99" s="14">
        <f t="shared" si="99"/>
        <v>9.483138037075782E-13</v>
      </c>
      <c r="EM99" s="22">
        <f t="shared" si="73"/>
        <v>1.7551237327173916E-12</v>
      </c>
      <c r="EN99" s="62">
        <f t="shared" si="74"/>
        <v>267.36522600517731</v>
      </c>
      <c r="EO99" s="62">
        <f ca="1">AVERAGE(OFFSET($EN$3,0,0,'Données projet'!$E$15+1,1))-AVERAGE(OFFSET($H$3,0,0,'Données projet'!$E$15+1,1))</f>
        <v>418.23737352070503</v>
      </c>
      <c r="EP99" s="62">
        <f t="shared" si="100"/>
        <v>496.10742685332968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1.1368683772161603E-13</v>
      </c>
      <c r="FF99" s="18">
        <f>FE99*VLOOKUP('Données projet'!$B$16,Paramètres!$A$1:$I$89,3,0)*VLOOKUP('Données projet'!$B$16,Paramètres!$A$1:$I$89,5,0)</f>
        <v>6.7984728957526396E-14</v>
      </c>
      <c r="FG99" s="14">
        <f t="shared" si="101"/>
        <v>1.0682447123141398E-12</v>
      </c>
      <c r="FH99" s="22">
        <f t="shared" si="76"/>
        <v>1.978932943548152E-12</v>
      </c>
      <c r="FI99" s="62">
        <f t="shared" si="77"/>
        <v>267.36522600517753</v>
      </c>
      <c r="FJ99" s="62">
        <f ca="1">AVERAGE(OFFSET($FI$3,0,0,'Données projet'!$E$16+1,1))-AVERAGE(OFFSET($H$3,0,0,'Données projet'!$E$16+1,1))</f>
        <v>341.70983624543067</v>
      </c>
      <c r="FK99" s="62">
        <f t="shared" si="102"/>
        <v>250.82562837973805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1.4427008402424524E-9</v>
      </c>
      <c r="FT99" s="24">
        <f t="shared" si="78"/>
        <v>1.4427008402424524E-9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10</v>
      </c>
      <c r="FZ99" s="13">
        <f>IF('Données projet'!$A$244&gt;35,FZ98+FY99-GH98,IF(A99&lt;'Données projet'!$A$244,$FW$205^A99,IF(A99='Données projet'!$A$244,'Données projet'!$B$244,FZ98+FY99-GH98)))</f>
        <v>435.99999999999972</v>
      </c>
      <c r="GA99" s="18">
        <f>FZ99*VLOOKUP('Données projet'!$B$17,Paramètres!$A$1:$I$89,3,0)*VLOOKUP('Données projet'!$B$17,Paramètres!$A$1:$I$89,5,0)</f>
        <v>204.04799999999986</v>
      </c>
      <c r="GB99" s="14">
        <f t="shared" si="103"/>
        <v>50.632755461121967</v>
      </c>
      <c r="GC99" s="22">
        <f t="shared" si="79"/>
        <v>443.56898242812048</v>
      </c>
      <c r="GD99" s="62">
        <f t="shared" si="80"/>
        <v>710.93420843329602</v>
      </c>
      <c r="GE99" s="62">
        <f ca="1">AVERAGE(OFFSET($GD$3,0,0,'Données projet'!$E$17+1,1))-AVERAGE(OFFSET($H$3,0,0,'Données projet'!$E$17+1,1))</f>
        <v>368.69628434154333</v>
      </c>
      <c r="GF99" s="62">
        <f t="shared" si="104"/>
        <v>202.28197295839524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-1.1368683772161603E-13</v>
      </c>
      <c r="GV99" s="18">
        <f>GU99*VLOOKUP('Données projet'!$B$18,Paramètres!$A$1:$I$89,3,0)*VLOOKUP('Données projet'!$B$18,Paramètres!$A$1:$I$89,5,0)</f>
        <v>-9.9316821433603781E-14</v>
      </c>
      <c r="GW99" s="14" t="e">
        <f t="shared" si="105"/>
        <v>#NUM!</v>
      </c>
      <c r="GX99" s="22" t="e">
        <f t="shared" si="82"/>
        <v>#NUM!</v>
      </c>
      <c r="GY99" s="62" t="e">
        <f t="shared" si="83"/>
        <v>#NUM!</v>
      </c>
      <c r="GZ99" s="62">
        <f ca="1">AVERAGE(OFFSET($GY$3,0,0,'Données projet'!$E$18+1,1))-AVERAGE(OFFSET($H$3,0,0,'Données projet'!$E$18+1,1))</f>
        <v>378.51861272969165</v>
      </c>
      <c r="HA99" s="62">
        <f t="shared" si="106"/>
        <v>387.42368617035459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0</v>
      </c>
      <c r="HH99" s="23">
        <f>EXP(-LN(2)/25)*HH98+(1-EXP(-LN(2)/25))/(LN(2)/25)*Calculateur!HC99*Calculateur!HE99*VLOOKUP('Données projet'!$B$18,Paramètres!$A$1:$I$89,3,0)*0.475*44/12</f>
        <v>0</v>
      </c>
      <c r="HI99" s="23">
        <f>EXP(-LN(2)/2)*HI98+(1-EXP(-LN(2)/2))/(LN(2)/2)*HC99*HF99*VLOOKUP('Données projet'!$B$18,Paramètres!$A$1:$I$89,3,0)*0.475*44/12</f>
        <v>0</v>
      </c>
      <c r="HJ99" s="24">
        <f t="shared" si="84"/>
        <v>0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135.66666666666666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5.3</v>
      </c>
      <c r="N100" s="14">
        <f>IF('Données projet'!$A$36&gt;35,N99+M100-V99,IF(A100&lt;'Données projet'!$A$36,$K$205^A100,IF(A100='Données projet'!$A$36,'Données projet'!$B$36,N99+M100-V99)))</f>
        <v>499.10000000000008</v>
      </c>
      <c r="O100" s="14">
        <f>N100*VLOOKUP('Données projet'!$B$9,Paramètres!$A$1:$I$89,3,0)*VLOOKUP('Données projet'!$B$9,Paramètres!$A$1:$I$89,5,0)</f>
        <v>298.46180000000004</v>
      </c>
      <c r="P100" s="14">
        <f t="shared" si="87"/>
        <v>70.853901261389936</v>
      </c>
      <c r="Q100" s="22">
        <f t="shared" si="107"/>
        <v>643.22484636358752</v>
      </c>
      <c r="R100" s="62">
        <f t="shared" si="55"/>
        <v>911.04056097491605</v>
      </c>
      <c r="S100" s="62">
        <f ca="1">AVERAGE(OFFSET($R$3,0,0,'Données projet'!$E$9+1,1))-AVERAGE(OFFSET($H$3,0,0,'Données projet'!$E$9+1,1))</f>
        <v>437.94016462147999</v>
      </c>
      <c r="T100" s="62">
        <f t="shared" si="88"/>
        <v>281.88254003380348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6.740511518103613E-10</v>
      </c>
      <c r="AC100" s="24">
        <f t="shared" si="57"/>
        <v>6.740511518103613E-10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267.60000000000008</v>
      </c>
      <c r="AJ100" s="14">
        <f>AI100*VLOOKUP('Données projet'!$B$10,Paramètres!$A$1:$I$89,3,0)*VLOOKUP('Données projet'!$B$10,Paramètres!$A$1:$I$89,5,0)</f>
        <v>242.12448000000006</v>
      </c>
      <c r="AK100" s="14">
        <f t="shared" si="89"/>
        <v>58.896387987806008</v>
      </c>
      <c r="AL100" s="22">
        <f t="shared" si="58"/>
        <v>524.2780117454289</v>
      </c>
      <c r="AM100" s="62">
        <f t="shared" si="59"/>
        <v>792.09372635675743</v>
      </c>
      <c r="AN100" s="62">
        <f ca="1">AVERAGE(OFFSET($AM$3,0,0,'Données projet'!$E$10+1,1))-AVERAGE(OFFSET($H$3,0,0,'Données projet'!$E$10+1,1))</f>
        <v>434.56763649859136</v>
      </c>
      <c r="AO100" s="62">
        <f t="shared" si="90"/>
        <v>271.90302066766264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1.1368683772161603E-13</v>
      </c>
      <c r="BE100" s="14">
        <f>BD100*VLOOKUP('Données projet'!$B$11,Paramètres!$A$1:$I$89,3,0)*VLOOKUP('Données projet'!$B$11,Paramètres!$A$1:$I$89,5,0)</f>
        <v>6.7984728957526396E-14</v>
      </c>
      <c r="BF100" s="14">
        <f t="shared" si="91"/>
        <v>1.0682447123141398E-12</v>
      </c>
      <c r="BG100" s="22">
        <f t="shared" si="61"/>
        <v>1.978932943548152E-12</v>
      </c>
      <c r="BH100" s="62">
        <f t="shared" si="62"/>
        <v>267.81571461133052</v>
      </c>
      <c r="BI100" s="62">
        <f ca="1">AVERAGE(OFFSET($BH$3,0,0,'Données projet'!$E$11+1,1))-AVERAGE(OFFSET($H$3,0,0,'Données projet'!$E$11+1,1))</f>
        <v>199.65420589615553</v>
      </c>
      <c r="BJ100" s="62">
        <f t="shared" si="92"/>
        <v>477.85821088970999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14.146078190624692</v>
      </c>
      <c r="BQ100" s="23">
        <f>EXP(-LN(2)/25)*BQ99+(1-EXP(-LN(2)/25))/(LN(2)/25)*Calculateur!BL100*Calculateur!BN100*VLOOKUP('Données projet'!$B$11,Paramètres!$A$1:$I$89,3,0)*0.475*44/12</f>
        <v>6.8578309999271543</v>
      </c>
      <c r="BR100" s="23">
        <f>EXP(-LN(2)/2)*BR99+(1-EXP(-LN(2)/2))/(LN(2)/2)*BL100*BO100*VLOOKUP('Données projet'!$B$11,Paramètres!$A$1:$I$89,3,0)*0.475*44/12</f>
        <v>3.5863827481467509E-9</v>
      </c>
      <c r="BS100" s="24">
        <f t="shared" si="63"/>
        <v>21.003909194138227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5.3</v>
      </c>
      <c r="BY100" s="13">
        <f>IF('Données projet'!$A$114&gt;35,BY99+BX100-CG99,IF(A100&lt;'Données projet'!$A$114,$BV$205^A100,IF(A100='Données projet'!$A$114,'Données projet'!$B$114,BY99+BX100-CG99)))</f>
        <v>499.10000000000008</v>
      </c>
      <c r="BZ100" s="14">
        <f>BY100*VLOOKUP('Données projet'!$B$12,Paramètres!$A$1:$I$89,3,0)*VLOOKUP('Données projet'!$B$12,Paramètres!$A$1:$I$89,5,0)</f>
        <v>298.46180000000004</v>
      </c>
      <c r="CA100" s="14">
        <f t="shared" si="93"/>
        <v>70.853901261389936</v>
      </c>
      <c r="CB100" s="22">
        <f t="shared" si="64"/>
        <v>643.22484636358752</v>
      </c>
      <c r="CC100" s="62">
        <f t="shared" si="65"/>
        <v>911.04056097491605</v>
      </c>
      <c r="CD100" s="62">
        <f ca="1">AVERAGE(OFFSET($CC$3,0,0,'Données projet'!$E$12+1,1))-AVERAGE(OFFSET($H$3,0,0,'Données projet'!$E$12+1,1))</f>
        <v>437.94016462147999</v>
      </c>
      <c r="CE100" s="62">
        <f t="shared" si="94"/>
        <v>281.88254003380348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6.740511518103613E-10</v>
      </c>
      <c r="CN100" s="24">
        <f t="shared" si="66"/>
        <v>6.740511518103613E-10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4.8</v>
      </c>
      <c r="CT100" s="13">
        <f>IF('Données projet'!$A$140&gt;35,CT99+CS100-DB99,IF(A100&lt;'Données projet'!$A$140,$CQ$205^A100,IF(A100='Données projet'!$A$140,'Données projet'!$B$140,CT99+CS100-DB99)))</f>
        <v>267.60000000000008</v>
      </c>
      <c r="CU100" s="18">
        <f>CT100*VLOOKUP('Données projet'!$B$13,Paramètres!$A$1:$I$89,3,0)*VLOOKUP('Données projet'!$B$13,Paramètres!$A$1:$I$89,5,0)</f>
        <v>304.74288000000007</v>
      </c>
      <c r="CV100" s="14">
        <f t="shared" si="95"/>
        <v>72.169843772858741</v>
      </c>
      <c r="CW100" s="22">
        <f t="shared" si="67"/>
        <v>656.45632723772906</v>
      </c>
      <c r="CX100" s="62">
        <f t="shared" si="68"/>
        <v>924.27204184905759</v>
      </c>
      <c r="CY100" s="62">
        <f ca="1">AVERAGE(OFFSET($CX$3,0,0,'Données projet'!$E$13+1,1))-AVERAGE(OFFSET($H$3,0,0,'Données projet'!$E$13+1,1))</f>
        <v>520.23742527061836</v>
      </c>
      <c r="CZ100" s="62">
        <f t="shared" si="96"/>
        <v>321.35925479331274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5.8</v>
      </c>
      <c r="DO100" s="13">
        <f>IF('Données projet'!$A$166&gt;35,DO99+DN100-DW99,IF(A100&lt;'Données projet'!$A$166,$DL$205^A100,IF(A100='Données projet'!$A$166,'Données projet'!$B$166,DO99+DN100-DW99)))</f>
        <v>315.59999999999997</v>
      </c>
      <c r="DP100" s="18">
        <f>DO100*VLOOKUP('Données projet'!$B$14,Paramètres!$A$1:$I$89,3,0)*VLOOKUP('Données projet'!$B$14,Paramètres!$A$1:$I$89,5,0)</f>
        <v>320.01839999999999</v>
      </c>
      <c r="DQ100" s="14">
        <f t="shared" si="97"/>
        <v>75.357182127856944</v>
      </c>
      <c r="DR100" s="22">
        <f t="shared" si="70"/>
        <v>688.61247220601751</v>
      </c>
      <c r="DS100" s="62">
        <f t="shared" si="71"/>
        <v>956.42818681734605</v>
      </c>
      <c r="DT100" s="62">
        <f ca="1">AVERAGE(OFFSET($DS$3,0,0,'Données projet'!$E$14+1,1))-AVERAGE(OFFSET($H$3,0,0,'Données projet'!$E$14+1,1))</f>
        <v>547.89540791313675</v>
      </c>
      <c r="DU100" s="62">
        <f t="shared" si="98"/>
        <v>345.19555189302378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5.6843418860808015E-14</v>
      </c>
      <c r="EK100" s="18">
        <f>EJ100*VLOOKUP('Données projet'!$B$15,Paramètres!$A$1:$I$89,3,0)*VLOOKUP('Données projet'!$B$15,Paramètres!$A$1:$I$89,5,0)</f>
        <v>5.9412741393316544E-14</v>
      </c>
      <c r="EL100" s="14">
        <f t="shared" si="99"/>
        <v>9.483138037075782E-13</v>
      </c>
      <c r="EM100" s="22">
        <f t="shared" si="73"/>
        <v>1.7551237327173916E-12</v>
      </c>
      <c r="EN100" s="62">
        <f t="shared" si="74"/>
        <v>267.81571461133029</v>
      </c>
      <c r="EO100" s="62">
        <f ca="1">AVERAGE(OFFSET($EN$3,0,0,'Données projet'!$E$15+1,1))-AVERAGE(OFFSET($H$3,0,0,'Données projet'!$E$15+1,1))</f>
        <v>418.23737352070503</v>
      </c>
      <c r="EP100" s="62">
        <f t="shared" si="100"/>
        <v>496.10742685332968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1.1368683772161603E-13</v>
      </c>
      <c r="FF100" s="18">
        <f>FE100*VLOOKUP('Données projet'!$B$16,Paramètres!$A$1:$I$89,3,0)*VLOOKUP('Données projet'!$B$16,Paramètres!$A$1:$I$89,5,0)</f>
        <v>6.7984728957526396E-14</v>
      </c>
      <c r="FG100" s="14">
        <f t="shared" si="101"/>
        <v>1.0682447123141398E-12</v>
      </c>
      <c r="FH100" s="22">
        <f t="shared" si="76"/>
        <v>1.978932943548152E-12</v>
      </c>
      <c r="FI100" s="62">
        <f t="shared" si="77"/>
        <v>267.81571461133052</v>
      </c>
      <c r="FJ100" s="62">
        <f ca="1">AVERAGE(OFFSET($FI$3,0,0,'Données projet'!$E$16+1,1))-AVERAGE(OFFSET($H$3,0,0,'Données projet'!$E$16+1,1))</f>
        <v>341.70983624543067</v>
      </c>
      <c r="FK100" s="62">
        <f t="shared" si="102"/>
        <v>250.82562837973805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1.0201435473589681E-9</v>
      </c>
      <c r="FT100" s="24">
        <f t="shared" si="78"/>
        <v>1.0201435473589681E-9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>
        <f>VLOOKUP(A100,'Données projet'!$A$243:$I$263,2,0)</f>
        <v>446</v>
      </c>
      <c r="FX100" s="13">
        <f>VLOOKUP(A100,'Données projet'!$A$243:$I$263,9,0)</f>
        <v>10</v>
      </c>
      <c r="FY100" s="13">
        <f t="array" ref="FY100">INDEX(FX:FX,MIN(IF(ISNUMBER(FX100:FX296),ROW(FX100:FX296),"")))</f>
        <v>10</v>
      </c>
      <c r="FZ100" s="13">
        <f>IF('Données projet'!$A$244&gt;35,FZ99+FY100-GH99,IF(A100&lt;'Données projet'!$A$244,$FW$205^A100,IF(A100='Données projet'!$A$244,'Données projet'!$B$244,FZ99+FY100-GH99)))</f>
        <v>445.99999999999972</v>
      </c>
      <c r="GA100" s="18">
        <f>FZ100*VLOOKUP('Données projet'!$B$17,Paramètres!$A$1:$I$89,3,0)*VLOOKUP('Données projet'!$B$17,Paramètres!$A$1:$I$89,5,0)</f>
        <v>208.72799999999987</v>
      </c>
      <c r="GB100" s="14">
        <f t="shared" si="103"/>
        <v>51.657523484203345</v>
      </c>
      <c r="GC100" s="22">
        <f t="shared" si="79"/>
        <v>453.50478673498719</v>
      </c>
      <c r="GD100" s="62">
        <f t="shared" si="80"/>
        <v>721.32050134631572</v>
      </c>
      <c r="GE100" s="62">
        <f ca="1">AVERAGE(OFFSET($GD$3,0,0,'Données projet'!$E$17+1,1))-AVERAGE(OFFSET($H$3,0,0,'Données projet'!$E$17+1,1))</f>
        <v>368.69628434154333</v>
      </c>
      <c r="GF100" s="62">
        <f t="shared" si="104"/>
        <v>202.28197295839524</v>
      </c>
      <c r="GG100" s="16">
        <f>IF(ISNA(VLOOKUP(A100,'Données projet'!$A$243:$I$263,3,0)),0,VLOOKUP(A100,'Données projet'!$A$243:$I$263,3,0))</f>
        <v>12</v>
      </c>
      <c r="GH100" s="16">
        <f>IF(ISNA(VLOOKUP(A100,'Données projet'!$A$243:$I$263,4,0)),0,VLOOKUP(A100,'Données projet'!$A$243:$I$263,4,0))</f>
        <v>90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-1.1368683772161603E-13</v>
      </c>
      <c r="GV100" s="18">
        <f>GU100*VLOOKUP('Données projet'!$B$18,Paramètres!$A$1:$I$89,3,0)*VLOOKUP('Données projet'!$B$18,Paramètres!$A$1:$I$89,5,0)</f>
        <v>-9.9316821433603781E-14</v>
      </c>
      <c r="GW100" s="14" t="e">
        <f t="shared" si="105"/>
        <v>#NUM!</v>
      </c>
      <c r="GX100" s="22" t="e">
        <f t="shared" si="82"/>
        <v>#NUM!</v>
      </c>
      <c r="GY100" s="62" t="e">
        <f t="shared" si="83"/>
        <v>#NUM!</v>
      </c>
      <c r="GZ100" s="62">
        <f ca="1">AVERAGE(OFFSET($GY$3,0,0,'Données projet'!$E$18+1,1))-AVERAGE(OFFSET($H$3,0,0,'Données projet'!$E$18+1,1))</f>
        <v>378.51861272969165</v>
      </c>
      <c r="HA100" s="62">
        <f t="shared" si="106"/>
        <v>387.42368617035459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0</v>
      </c>
      <c r="HH100" s="23">
        <f>EXP(-LN(2)/25)*HH99+(1-EXP(-LN(2)/25))/(LN(2)/25)*Calculateur!HC100*Calculateur!HE100*VLOOKUP('Données projet'!$B$18,Paramètres!$A$1:$I$89,3,0)*0.475*44/12</f>
        <v>0</v>
      </c>
      <c r="HI100" s="23">
        <f>EXP(-LN(2)/2)*HI99+(1-EXP(-LN(2)/2))/(LN(2)/2)*HC100*HF100*VLOOKUP('Données projet'!$B$18,Paramètres!$A$1:$I$89,3,0)*0.475*44/12</f>
        <v>0</v>
      </c>
      <c r="HJ100" s="24">
        <f t="shared" si="84"/>
        <v>0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135.66666666666666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5.3</v>
      </c>
      <c r="N101" s="14">
        <f>IF('Données projet'!$A$36&gt;35,N100+M101-V100,IF(A101&lt;'Données projet'!$A$36,$K$205^A101,IF(A101='Données projet'!$A$36,'Données projet'!$B$36,N100+M101-V100)))</f>
        <v>504.40000000000009</v>
      </c>
      <c r="O101" s="14">
        <f>N101*VLOOKUP('Données projet'!$B$9,Paramètres!$A$1:$I$89,3,0)*VLOOKUP('Données projet'!$B$9,Paramètres!$A$1:$I$89,5,0)</f>
        <v>301.63120000000009</v>
      </c>
      <c r="P101" s="14">
        <f t="shared" si="87"/>
        <v>71.518317654219274</v>
      </c>
      <c r="Q101" s="22">
        <f t="shared" si="107"/>
        <v>649.90207658109875</v>
      </c>
      <c r="R101" s="62">
        <f t="shared" si="55"/>
        <v>918.16046482840511</v>
      </c>
      <c r="S101" s="62">
        <f ca="1">AVERAGE(OFFSET($R$3,0,0,'Données projet'!$E$9+1,1))-AVERAGE(OFFSET($H$3,0,0,'Données projet'!$E$9+1,1))</f>
        <v>437.94016462147999</v>
      </c>
      <c r="T101" s="62">
        <f t="shared" si="88"/>
        <v>281.88254003380348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4.7662614031170948E-10</v>
      </c>
      <c r="AC101" s="24">
        <f t="shared" si="57"/>
        <v>4.7662614031170948E-10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272.40000000000009</v>
      </c>
      <c r="AJ101" s="14">
        <f>AI101*VLOOKUP('Données projet'!$B$10,Paramètres!$A$1:$I$89,3,0)*VLOOKUP('Données projet'!$B$10,Paramètres!$A$1:$I$89,5,0)</f>
        <v>246.46752000000009</v>
      </c>
      <c r="AK101" s="14">
        <f t="shared" si="89"/>
        <v>59.828888074217033</v>
      </c>
      <c r="AL101" s="22">
        <f t="shared" si="58"/>
        <v>533.4662440625948</v>
      </c>
      <c r="AM101" s="62">
        <f t="shared" si="59"/>
        <v>801.72463230990115</v>
      </c>
      <c r="AN101" s="62">
        <f ca="1">AVERAGE(OFFSET($AM$3,0,0,'Données projet'!$E$10+1,1))-AVERAGE(OFFSET($H$3,0,0,'Données projet'!$E$10+1,1))</f>
        <v>434.56763649859136</v>
      </c>
      <c r="AO101" s="62">
        <f t="shared" si="90"/>
        <v>271.90302066766264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1.1368683772161603E-13</v>
      </c>
      <c r="BE101" s="14">
        <f>BD101*VLOOKUP('Données projet'!$B$11,Paramètres!$A$1:$I$89,3,0)*VLOOKUP('Données projet'!$B$11,Paramètres!$A$1:$I$89,5,0)</f>
        <v>6.7984728957526396E-14</v>
      </c>
      <c r="BF101" s="14">
        <f t="shared" si="91"/>
        <v>1.0682447123141398E-12</v>
      </c>
      <c r="BG101" s="22">
        <f t="shared" si="61"/>
        <v>1.978932943548152E-12</v>
      </c>
      <c r="BH101" s="62">
        <f t="shared" si="62"/>
        <v>268.25838824730835</v>
      </c>
      <c r="BI101" s="62">
        <f ca="1">AVERAGE(OFFSET($BH$3,0,0,'Données projet'!$E$11+1,1))-AVERAGE(OFFSET($H$3,0,0,'Données projet'!$E$11+1,1))</f>
        <v>199.65420589615553</v>
      </c>
      <c r="BJ101" s="62">
        <f t="shared" si="92"/>
        <v>477.85821088970999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13.868682225562269</v>
      </c>
      <c r="BQ101" s="23">
        <f>EXP(-LN(2)/25)*BQ100+(1-EXP(-LN(2)/25))/(LN(2)/25)*Calculateur!BL101*Calculateur!BN101*VLOOKUP('Données projet'!$B$11,Paramètres!$A$1:$I$89,3,0)*0.475*44/12</f>
        <v>6.6703032505964881</v>
      </c>
      <c r="BR101" s="23">
        <f>EXP(-LN(2)/2)*BR100+(1-EXP(-LN(2)/2))/(LN(2)/2)*BL101*BO101*VLOOKUP('Données projet'!$B$11,Paramètres!$A$1:$I$89,3,0)*0.475*44/12</f>
        <v>2.5359555611450137E-9</v>
      </c>
      <c r="BS101" s="24">
        <f t="shared" si="63"/>
        <v>20.538985478694713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5.3</v>
      </c>
      <c r="BY101" s="13">
        <f>IF('Données projet'!$A$114&gt;35,BY100+BX101-CG100,IF(A101&lt;'Données projet'!$A$114,$BV$205^A101,IF(A101='Données projet'!$A$114,'Données projet'!$B$114,BY100+BX101-CG100)))</f>
        <v>504.40000000000009</v>
      </c>
      <c r="BZ101" s="14">
        <f>BY101*VLOOKUP('Données projet'!$B$12,Paramètres!$A$1:$I$89,3,0)*VLOOKUP('Données projet'!$B$12,Paramètres!$A$1:$I$89,5,0)</f>
        <v>301.63120000000009</v>
      </c>
      <c r="CA101" s="14">
        <f t="shared" si="93"/>
        <v>71.518317654219274</v>
      </c>
      <c r="CB101" s="22">
        <f t="shared" si="64"/>
        <v>649.90207658109875</v>
      </c>
      <c r="CC101" s="62">
        <f t="shared" si="65"/>
        <v>918.16046482840511</v>
      </c>
      <c r="CD101" s="62">
        <f ca="1">AVERAGE(OFFSET($CC$3,0,0,'Données projet'!$E$12+1,1))-AVERAGE(OFFSET($H$3,0,0,'Données projet'!$E$12+1,1))</f>
        <v>437.94016462147999</v>
      </c>
      <c r="CE101" s="62">
        <f t="shared" si="94"/>
        <v>281.88254003380348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4.7662614031170948E-10</v>
      </c>
      <c r="CN101" s="24">
        <f t="shared" si="66"/>
        <v>4.7662614031170948E-10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4.8</v>
      </c>
      <c r="CT101" s="13">
        <f>IF('Données projet'!$A$140&gt;35,CT100+CS101-DB100,IF(A101&lt;'Données projet'!$A$140,$CQ$205^A101,IF(A101='Données projet'!$A$140,'Données projet'!$B$140,CT100+CS101-DB100)))</f>
        <v>272.40000000000009</v>
      </c>
      <c r="CU101" s="18">
        <f>CT101*VLOOKUP('Données projet'!$B$13,Paramètres!$A$1:$I$89,3,0)*VLOOKUP('Données projet'!$B$13,Paramètres!$A$1:$I$89,5,0)</f>
        <v>310.2091200000001</v>
      </c>
      <c r="CV101" s="14">
        <f t="shared" si="95"/>
        <v>73.312501036804889</v>
      </c>
      <c r="CW101" s="22">
        <f t="shared" si="67"/>
        <v>667.96682330576868</v>
      </c>
      <c r="CX101" s="62">
        <f t="shared" si="68"/>
        <v>936.22521155307504</v>
      </c>
      <c r="CY101" s="62">
        <f ca="1">AVERAGE(OFFSET($CX$3,0,0,'Données projet'!$E$13+1,1))-AVERAGE(OFFSET($H$3,0,0,'Données projet'!$E$13+1,1))</f>
        <v>520.23742527061836</v>
      </c>
      <c r="CZ101" s="62">
        <f t="shared" si="96"/>
        <v>321.35925479331274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5.8</v>
      </c>
      <c r="DO101" s="13">
        <f>IF('Données projet'!$A$166&gt;35,DO100+DN101-DW100,IF(A101&lt;'Données projet'!$A$166,$DL$205^A101,IF(A101='Données projet'!$A$166,'Données projet'!$B$166,DO100+DN101-DW100)))</f>
        <v>321.39999999999998</v>
      </c>
      <c r="DP101" s="18">
        <f>DO101*VLOOKUP('Données projet'!$B$14,Paramètres!$A$1:$I$89,3,0)*VLOOKUP('Données projet'!$B$14,Paramètres!$A$1:$I$89,5,0)</f>
        <v>325.89960000000002</v>
      </c>
      <c r="DQ101" s="14">
        <f t="shared" si="97"/>
        <v>76.579572003009503</v>
      </c>
      <c r="DR101" s="22">
        <f t="shared" si="70"/>
        <v>700.98455790524156</v>
      </c>
      <c r="DS101" s="62">
        <f t="shared" si="71"/>
        <v>969.24294615254792</v>
      </c>
      <c r="DT101" s="62">
        <f ca="1">AVERAGE(OFFSET($DS$3,0,0,'Données projet'!$E$14+1,1))-AVERAGE(OFFSET($H$3,0,0,'Données projet'!$E$14+1,1))</f>
        <v>547.89540791313675</v>
      </c>
      <c r="DU101" s="62">
        <f t="shared" si="98"/>
        <v>345.19555189302378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5.6843418860808015E-14</v>
      </c>
      <c r="EK101" s="18">
        <f>EJ101*VLOOKUP('Données projet'!$B$15,Paramètres!$A$1:$I$89,3,0)*VLOOKUP('Données projet'!$B$15,Paramètres!$A$1:$I$89,5,0)</f>
        <v>5.9412741393316544E-14</v>
      </c>
      <c r="EL101" s="14">
        <f t="shared" si="99"/>
        <v>9.483138037075782E-13</v>
      </c>
      <c r="EM101" s="22">
        <f t="shared" si="73"/>
        <v>1.7551237327173916E-12</v>
      </c>
      <c r="EN101" s="62">
        <f t="shared" si="74"/>
        <v>268.25838824730812</v>
      </c>
      <c r="EO101" s="62">
        <f ca="1">AVERAGE(OFFSET($EN$3,0,0,'Données projet'!$E$15+1,1))-AVERAGE(OFFSET($H$3,0,0,'Données projet'!$E$15+1,1))</f>
        <v>418.23737352070503</v>
      </c>
      <c r="EP101" s="62">
        <f t="shared" si="100"/>
        <v>496.10742685332968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1.1368683772161603E-13</v>
      </c>
      <c r="FF101" s="18">
        <f>FE101*VLOOKUP('Données projet'!$B$16,Paramètres!$A$1:$I$89,3,0)*VLOOKUP('Données projet'!$B$16,Paramètres!$A$1:$I$89,5,0)</f>
        <v>6.7984728957526396E-14</v>
      </c>
      <c r="FG101" s="14">
        <f t="shared" si="101"/>
        <v>1.0682447123141398E-12</v>
      </c>
      <c r="FH101" s="22">
        <f t="shared" si="76"/>
        <v>1.978932943548152E-12</v>
      </c>
      <c r="FI101" s="62">
        <f t="shared" si="77"/>
        <v>268.25838824730835</v>
      </c>
      <c r="FJ101" s="62">
        <f ca="1">AVERAGE(OFFSET($FI$3,0,0,'Données projet'!$E$16+1,1))-AVERAGE(OFFSET($H$3,0,0,'Données projet'!$E$16+1,1))</f>
        <v>341.70983624543067</v>
      </c>
      <c r="FK101" s="62">
        <f t="shared" si="102"/>
        <v>250.82562837973805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7.2135042012122622E-10</v>
      </c>
      <c r="FT101" s="24">
        <f t="shared" si="78"/>
        <v>7.2135042012122622E-10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>
        <f>VLOOKUP(A101,'Données projet'!$A$243:$I$263,2,0)</f>
        <v>366</v>
      </c>
      <c r="FX101" s="13">
        <f>VLOOKUP(A101,'Données projet'!$A$243:$I$263,9,0)</f>
        <v>10</v>
      </c>
      <c r="FY101" s="13">
        <f t="array" ref="FY101">INDEX(FX:FX,MIN(IF(ISNUMBER(FX101:FX297),ROW(FX101:FX297),"")))</f>
        <v>10</v>
      </c>
      <c r="FZ101" s="13">
        <f>IF('Données projet'!$A$244&gt;35,FZ100+FY101-GH100,IF(A101&lt;'Données projet'!$A$244,$FW$205^A101,IF(A101='Données projet'!$A$244,'Données projet'!$B$244,FZ100+FY101-GH100)))</f>
        <v>365.99999999999972</v>
      </c>
      <c r="GA101" s="18">
        <f>FZ101*VLOOKUP('Données projet'!$B$17,Paramètres!$A$1:$I$89,3,0)*VLOOKUP('Données projet'!$B$17,Paramètres!$A$1:$I$89,5,0)</f>
        <v>171.2879999999999</v>
      </c>
      <c r="GB101" s="14">
        <f t="shared" si="103"/>
        <v>43.378365895721338</v>
      </c>
      <c r="GC101" s="22">
        <f t="shared" si="79"/>
        <v>373.8772539350478</v>
      </c>
      <c r="GD101" s="62">
        <f t="shared" si="80"/>
        <v>642.1356421823541</v>
      </c>
      <c r="GE101" s="62">
        <f ca="1">AVERAGE(OFFSET($GD$3,0,0,'Données projet'!$E$17+1,1))-AVERAGE(OFFSET($H$3,0,0,'Données projet'!$E$17+1,1))</f>
        <v>368.69628434154333</v>
      </c>
      <c r="GF101" s="62">
        <f t="shared" si="104"/>
        <v>202.28197295839524</v>
      </c>
      <c r="GG101" s="16">
        <f>IF(ISNA(VLOOKUP(A101,'Données projet'!$A$243:$I$263,3,0)),0,VLOOKUP(A101,'Données projet'!$A$243:$I$263,3,0))</f>
        <v>13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-1.1368683772161603E-13</v>
      </c>
      <c r="GV101" s="18">
        <f>GU101*VLOOKUP('Données projet'!$B$18,Paramètres!$A$1:$I$89,3,0)*VLOOKUP('Données projet'!$B$18,Paramètres!$A$1:$I$89,5,0)</f>
        <v>-9.9316821433603781E-14</v>
      </c>
      <c r="GW101" s="14" t="e">
        <f t="shared" si="105"/>
        <v>#NUM!</v>
      </c>
      <c r="GX101" s="22" t="e">
        <f t="shared" si="82"/>
        <v>#NUM!</v>
      </c>
      <c r="GY101" s="62" t="e">
        <f t="shared" si="83"/>
        <v>#NUM!</v>
      </c>
      <c r="GZ101" s="62">
        <f ca="1">AVERAGE(OFFSET($GY$3,0,0,'Données projet'!$E$18+1,1))-AVERAGE(OFFSET($H$3,0,0,'Données projet'!$E$18+1,1))</f>
        <v>378.51861272969165</v>
      </c>
      <c r="HA101" s="62">
        <f t="shared" si="106"/>
        <v>387.42368617035459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0</v>
      </c>
      <c r="HH101" s="23">
        <f>EXP(-LN(2)/25)*HH100+(1-EXP(-LN(2)/25))/(LN(2)/25)*Calculateur!HC101*Calculateur!HE101*VLOOKUP('Données projet'!$B$18,Paramètres!$A$1:$I$89,3,0)*0.475*44/12</f>
        <v>0</v>
      </c>
      <c r="HI101" s="23">
        <f>EXP(-LN(2)/2)*HI100+(1-EXP(-LN(2)/2))/(LN(2)/2)*HC101*HF101*VLOOKUP('Données projet'!$B$18,Paramètres!$A$1:$I$89,3,0)*0.475*44/12</f>
        <v>0</v>
      </c>
      <c r="HJ101" s="24">
        <f t="shared" si="84"/>
        <v>0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135.66666666666666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5.3</v>
      </c>
      <c r="N102" s="14">
        <f>IF('Données projet'!$A$36&gt;35,N101+M102-V101,IF(A102&lt;'Données projet'!$A$36,$K$205^A102,IF(A102='Données projet'!$A$36,'Données projet'!$B$36,N101+M102-V101)))</f>
        <v>509.7000000000001</v>
      </c>
      <c r="O102" s="14">
        <f>N102*VLOOKUP('Données projet'!$B$9,Paramètres!$A$1:$I$89,3,0)*VLOOKUP('Données projet'!$B$9,Paramètres!$A$1:$I$89,5,0)</f>
        <v>304.80060000000009</v>
      </c>
      <c r="P102" s="14">
        <f t="shared" si="87"/>
        <v>72.181921895639363</v>
      </c>
      <c r="Q102" s="22">
        <f t="shared" si="107"/>
        <v>656.57789230157209</v>
      </c>
      <c r="R102" s="62">
        <f t="shared" si="55"/>
        <v>925.27127478694206</v>
      </c>
      <c r="S102" s="62">
        <f ca="1">AVERAGE(OFFSET($R$3,0,0,'Données projet'!$E$9+1,1))-AVERAGE(OFFSET($H$3,0,0,'Données projet'!$E$9+1,1))</f>
        <v>437.94016462147999</v>
      </c>
      <c r="T102" s="62">
        <f t="shared" si="88"/>
        <v>281.88254003380348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3.3702557590518065E-10</v>
      </c>
      <c r="AC102" s="24">
        <f t="shared" si="57"/>
        <v>3.3702557590518065E-10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277.2000000000001</v>
      </c>
      <c r="AJ102" s="14">
        <f>AI102*VLOOKUP('Données projet'!$B$10,Paramètres!$A$1:$I$89,3,0)*VLOOKUP('Données projet'!$B$10,Paramètres!$A$1:$I$89,5,0)</f>
        <v>250.81056000000007</v>
      </c>
      <c r="AK102" s="14">
        <f t="shared" si="89"/>
        <v>60.75947736410874</v>
      </c>
      <c r="AL102" s="22">
        <f t="shared" si="58"/>
        <v>542.65114840915612</v>
      </c>
      <c r="AM102" s="62">
        <f t="shared" si="59"/>
        <v>811.34453089452609</v>
      </c>
      <c r="AN102" s="62">
        <f ca="1">AVERAGE(OFFSET($AM$3,0,0,'Données projet'!$E$10+1,1))-AVERAGE(OFFSET($H$3,0,0,'Données projet'!$E$10+1,1))</f>
        <v>434.56763649859136</v>
      </c>
      <c r="AO102" s="62">
        <f t="shared" si="90"/>
        <v>271.90302066766264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1.1368683772161603E-13</v>
      </c>
      <c r="BE102" s="14">
        <f>BD102*VLOOKUP('Données projet'!$B$11,Paramètres!$A$1:$I$89,3,0)*VLOOKUP('Données projet'!$B$11,Paramètres!$A$1:$I$89,5,0)</f>
        <v>6.7984728957526396E-14</v>
      </c>
      <c r="BF102" s="14">
        <f t="shared" si="91"/>
        <v>1.0682447123141398E-12</v>
      </c>
      <c r="BG102" s="22">
        <f t="shared" si="61"/>
        <v>1.978932943548152E-12</v>
      </c>
      <c r="BH102" s="62">
        <f t="shared" si="62"/>
        <v>268.69338248537196</v>
      </c>
      <c r="BI102" s="62">
        <f ca="1">AVERAGE(OFFSET($BH$3,0,0,'Données projet'!$E$11+1,1))-AVERAGE(OFFSET($H$3,0,0,'Données projet'!$E$11+1,1))</f>
        <v>199.65420589615553</v>
      </c>
      <c r="BJ102" s="62">
        <f t="shared" si="92"/>
        <v>477.85821088970999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13.596725826179888</v>
      </c>
      <c r="BQ102" s="23">
        <f>EXP(-LN(2)/25)*BQ101+(1-EXP(-LN(2)/25))/(LN(2)/25)*Calculateur!BL102*Calculateur!BN102*VLOOKUP('Données projet'!$B$11,Paramètres!$A$1:$I$89,3,0)*0.475*44/12</f>
        <v>6.4879034574329246</v>
      </c>
      <c r="BR102" s="23">
        <f>EXP(-LN(2)/2)*BR101+(1-EXP(-LN(2)/2))/(LN(2)/2)*BL102*BO102*VLOOKUP('Données projet'!$B$11,Paramètres!$A$1:$I$89,3,0)*0.475*44/12</f>
        <v>1.7931913740733756E-9</v>
      </c>
      <c r="BS102" s="24">
        <f t="shared" si="63"/>
        <v>20.084629285406006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5.3</v>
      </c>
      <c r="BY102" s="13">
        <f>IF('Données projet'!$A$114&gt;35,BY101+BX102-CG101,IF(A102&lt;'Données projet'!$A$114,$BV$205^A102,IF(A102='Données projet'!$A$114,'Données projet'!$B$114,BY101+BX102-CG101)))</f>
        <v>509.7000000000001</v>
      </c>
      <c r="BZ102" s="14">
        <f>BY102*VLOOKUP('Données projet'!$B$12,Paramètres!$A$1:$I$89,3,0)*VLOOKUP('Données projet'!$B$12,Paramètres!$A$1:$I$89,5,0)</f>
        <v>304.80060000000009</v>
      </c>
      <c r="CA102" s="14">
        <f t="shared" si="93"/>
        <v>72.181921895639363</v>
      </c>
      <c r="CB102" s="22">
        <f t="shared" si="64"/>
        <v>656.57789230157209</v>
      </c>
      <c r="CC102" s="62">
        <f t="shared" si="65"/>
        <v>925.27127478694206</v>
      </c>
      <c r="CD102" s="62">
        <f ca="1">AVERAGE(OFFSET($CC$3,0,0,'Données projet'!$E$12+1,1))-AVERAGE(OFFSET($H$3,0,0,'Données projet'!$E$12+1,1))</f>
        <v>437.94016462147999</v>
      </c>
      <c r="CE102" s="62">
        <f t="shared" si="94"/>
        <v>281.88254003380348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3.3702557590518065E-10</v>
      </c>
      <c r="CN102" s="24">
        <f t="shared" si="66"/>
        <v>3.3702557590518065E-10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4.8</v>
      </c>
      <c r="CT102" s="13">
        <f>IF('Données projet'!$A$140&gt;35,CT101+CS102-DB101,IF(A102&lt;'Données projet'!$A$140,$CQ$205^A102,IF(A102='Données projet'!$A$140,'Données projet'!$B$140,CT101+CS102-DB101)))</f>
        <v>277.2000000000001</v>
      </c>
      <c r="CU102" s="18">
        <f>CT102*VLOOKUP('Données projet'!$B$13,Paramètres!$A$1:$I$89,3,0)*VLOOKUP('Données projet'!$B$13,Paramètres!$A$1:$I$89,5,0)</f>
        <v>315.67536000000013</v>
      </c>
      <c r="CV102" s="14">
        <f t="shared" si="95"/>
        <v>74.452816868772132</v>
      </c>
      <c r="CW102" s="22">
        <f t="shared" si="67"/>
        <v>679.4732413797783</v>
      </c>
      <c r="CX102" s="62">
        <f t="shared" si="68"/>
        <v>948.16662386514827</v>
      </c>
      <c r="CY102" s="62">
        <f ca="1">AVERAGE(OFFSET($CX$3,0,0,'Données projet'!$E$13+1,1))-AVERAGE(OFFSET($H$3,0,0,'Données projet'!$E$13+1,1))</f>
        <v>520.23742527061836</v>
      </c>
      <c r="CZ102" s="62">
        <f t="shared" si="96"/>
        <v>321.35925479331274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5.8</v>
      </c>
      <c r="DO102" s="13">
        <f>IF('Données projet'!$A$166&gt;35,DO101+DN102-DW101,IF(A102&lt;'Données projet'!$A$166,$DL$205^A102,IF(A102='Données projet'!$A$166,'Données projet'!$B$166,DO101+DN102-DW101)))</f>
        <v>327.2</v>
      </c>
      <c r="DP102" s="18">
        <f>DO102*VLOOKUP('Données projet'!$B$14,Paramètres!$A$1:$I$89,3,0)*VLOOKUP('Données projet'!$B$14,Paramètres!$A$1:$I$89,5,0)</f>
        <v>331.7808</v>
      </c>
      <c r="DQ102" s="14">
        <f t="shared" si="97"/>
        <v>77.799396722557162</v>
      </c>
      <c r="DR102" s="22">
        <f t="shared" si="70"/>
        <v>713.3521759584537</v>
      </c>
      <c r="DS102" s="62">
        <f t="shared" si="71"/>
        <v>982.04555844382367</v>
      </c>
      <c r="DT102" s="62">
        <f ca="1">AVERAGE(OFFSET($DS$3,0,0,'Données projet'!$E$14+1,1))-AVERAGE(OFFSET($H$3,0,0,'Données projet'!$E$14+1,1))</f>
        <v>547.89540791313675</v>
      </c>
      <c r="DU102" s="62">
        <f t="shared" si="98"/>
        <v>345.19555189302378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5.6843418860808015E-14</v>
      </c>
      <c r="EK102" s="18">
        <f>EJ102*VLOOKUP('Données projet'!$B$15,Paramètres!$A$1:$I$89,3,0)*VLOOKUP('Données projet'!$B$15,Paramètres!$A$1:$I$89,5,0)</f>
        <v>5.9412741393316544E-14</v>
      </c>
      <c r="EL102" s="14">
        <f t="shared" si="99"/>
        <v>9.483138037075782E-13</v>
      </c>
      <c r="EM102" s="22">
        <f t="shared" si="73"/>
        <v>1.7551237327173916E-12</v>
      </c>
      <c r="EN102" s="62">
        <f t="shared" si="74"/>
        <v>268.69338248537173</v>
      </c>
      <c r="EO102" s="62">
        <f ca="1">AVERAGE(OFFSET($EN$3,0,0,'Données projet'!$E$15+1,1))-AVERAGE(OFFSET($H$3,0,0,'Données projet'!$E$15+1,1))</f>
        <v>418.23737352070503</v>
      </c>
      <c r="EP102" s="62">
        <f t="shared" si="100"/>
        <v>496.10742685332968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1.1368683772161603E-13</v>
      </c>
      <c r="FF102" s="18">
        <f>FE102*VLOOKUP('Données projet'!$B$16,Paramètres!$A$1:$I$89,3,0)*VLOOKUP('Données projet'!$B$16,Paramètres!$A$1:$I$89,5,0)</f>
        <v>6.7984728957526396E-14</v>
      </c>
      <c r="FG102" s="14">
        <f t="shared" si="101"/>
        <v>1.0682447123141398E-12</v>
      </c>
      <c r="FH102" s="22">
        <f t="shared" si="76"/>
        <v>1.978932943548152E-12</v>
      </c>
      <c r="FI102" s="62">
        <f t="shared" si="77"/>
        <v>268.69338248537196</v>
      </c>
      <c r="FJ102" s="62">
        <f ca="1">AVERAGE(OFFSET($FI$3,0,0,'Données projet'!$E$16+1,1))-AVERAGE(OFFSET($H$3,0,0,'Données projet'!$E$16+1,1))</f>
        <v>341.70983624543067</v>
      </c>
      <c r="FK102" s="62">
        <f t="shared" si="102"/>
        <v>250.82562837973805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5.1007177367948404E-10</v>
      </c>
      <c r="FT102" s="24">
        <f t="shared" si="78"/>
        <v>5.1007177367948404E-10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9</v>
      </c>
      <c r="FZ102" s="13">
        <f>IF('Données projet'!$A$244&gt;35,FZ101+FY102-GH101,IF(A102&lt;'Données projet'!$A$244,$FW$205^A102,IF(A102='Données projet'!$A$244,'Données projet'!$B$244,FZ101+FY102-GH101)))</f>
        <v>374.99999999999972</v>
      </c>
      <c r="GA102" s="18">
        <f>FZ102*VLOOKUP('Données projet'!$B$17,Paramètres!$A$1:$I$89,3,0)*VLOOKUP('Données projet'!$B$17,Paramètres!$A$1:$I$89,5,0)</f>
        <v>175.49999999999986</v>
      </c>
      <c r="GB102" s="14">
        <f t="shared" si="103"/>
        <v>44.319548641773864</v>
      </c>
      <c r="GC102" s="22">
        <f t="shared" si="79"/>
        <v>382.85238055108925</v>
      </c>
      <c r="GD102" s="62">
        <f t="shared" si="80"/>
        <v>651.54576303645922</v>
      </c>
      <c r="GE102" s="62">
        <f ca="1">AVERAGE(OFFSET($GD$3,0,0,'Données projet'!$E$17+1,1))-AVERAGE(OFFSET($H$3,0,0,'Données projet'!$E$17+1,1))</f>
        <v>368.69628434154333</v>
      </c>
      <c r="GF102" s="62">
        <f t="shared" si="104"/>
        <v>202.28197295839524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-1.1368683772161603E-13</v>
      </c>
      <c r="GV102" s="18">
        <f>GU102*VLOOKUP('Données projet'!$B$18,Paramètres!$A$1:$I$89,3,0)*VLOOKUP('Données projet'!$B$18,Paramètres!$A$1:$I$89,5,0)</f>
        <v>-9.9316821433603781E-14</v>
      </c>
      <c r="GW102" s="14" t="e">
        <f t="shared" si="105"/>
        <v>#NUM!</v>
      </c>
      <c r="GX102" s="22" t="e">
        <f t="shared" si="82"/>
        <v>#NUM!</v>
      </c>
      <c r="GY102" s="62" t="e">
        <f t="shared" si="83"/>
        <v>#NUM!</v>
      </c>
      <c r="GZ102" s="62">
        <f ca="1">AVERAGE(OFFSET($GY$3,0,0,'Données projet'!$E$18+1,1))-AVERAGE(OFFSET($H$3,0,0,'Données projet'!$E$18+1,1))</f>
        <v>378.51861272969165</v>
      </c>
      <c r="HA102" s="62">
        <f t="shared" si="106"/>
        <v>387.42368617035459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0</v>
      </c>
      <c r="HH102" s="23">
        <f>EXP(-LN(2)/25)*HH101+(1-EXP(-LN(2)/25))/(LN(2)/25)*Calculateur!HC102*Calculateur!HE102*VLOOKUP('Données projet'!$B$18,Paramètres!$A$1:$I$89,3,0)*0.475*44/12</f>
        <v>0</v>
      </c>
      <c r="HI102" s="23">
        <f>EXP(-LN(2)/2)*HI101+(1-EXP(-LN(2)/2))/(LN(2)/2)*HC102*HF102*VLOOKUP('Données projet'!$B$18,Paramètres!$A$1:$I$89,3,0)*0.475*44/12</f>
        <v>0</v>
      </c>
      <c r="HJ102" s="24">
        <f t="shared" si="84"/>
        <v>0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135.66666666666666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515</v>
      </c>
      <c r="L103" s="13">
        <f>VLOOKUP(A103,'Données projet'!$A$35:$I$55,9,0)</f>
        <v>5.3</v>
      </c>
      <c r="M103" s="13">
        <f t="array" ref="M103">INDEX(L:L,MIN(IF(ISNUMBER(L103:L299),ROW(L103:L299),"")))</f>
        <v>5.3</v>
      </c>
      <c r="N103" s="14">
        <f>IF('Données projet'!$A$36&gt;35,N102+M103-V102,IF(A103&lt;'Données projet'!$A$36,$K$205^A103,IF(A103='Données projet'!$A$36,'Données projet'!$B$36,N102+M103-V102)))</f>
        <v>515.00000000000011</v>
      </c>
      <c r="O103" s="14">
        <f>N103*VLOOKUP('Données projet'!$B$9,Paramètres!$A$1:$I$89,3,0)*VLOOKUP('Données projet'!$B$9,Paramètres!$A$1:$I$89,5,0)</f>
        <v>307.97000000000008</v>
      </c>
      <c r="P103" s="14">
        <f t="shared" si="87"/>
        <v>72.844723408255376</v>
      </c>
      <c r="Q103" s="22">
        <f t="shared" si="107"/>
        <v>663.25230993604498</v>
      </c>
      <c r="R103" s="62">
        <f t="shared" si="55"/>
        <v>932.37314048194958</v>
      </c>
      <c r="S103" s="62">
        <f ca="1">AVERAGE(OFFSET($R$3,0,0,'Données projet'!$E$9+1,1))-AVERAGE(OFFSET($H$3,0,0,'Données projet'!$E$9+1,1))</f>
        <v>437.94016462147999</v>
      </c>
      <c r="T103" s="62">
        <f t="shared" si="88"/>
        <v>281.88254003380348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515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2.3831307015585474E-10</v>
      </c>
      <c r="AC103" s="24">
        <f t="shared" si="57"/>
        <v>2.3831307015585474E-10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282.00000000000011</v>
      </c>
      <c r="AJ103" s="14">
        <f>AI103*VLOOKUP('Données projet'!$B$10,Paramètres!$A$1:$I$89,3,0)*VLOOKUP('Données projet'!$B$10,Paramètres!$A$1:$I$89,5,0)</f>
        <v>255.1536000000001</v>
      </c>
      <c r="AK103" s="14">
        <f t="shared" si="89"/>
        <v>61.688192762754426</v>
      </c>
      <c r="AL103" s="22">
        <f t="shared" si="58"/>
        <v>551.83278906179737</v>
      </c>
      <c r="AM103" s="62">
        <f t="shared" si="59"/>
        <v>820.95361960770197</v>
      </c>
      <c r="AN103" s="62">
        <f ca="1">AVERAGE(OFFSET($AM$3,0,0,'Données projet'!$E$10+1,1))-AVERAGE(OFFSET($H$3,0,0,'Données projet'!$E$10+1,1))</f>
        <v>434.56763649859136</v>
      </c>
      <c r="AO103" s="62">
        <f t="shared" si="90"/>
        <v>271.90302066766264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1.1368683772161603E-13</v>
      </c>
      <c r="BE103" s="14">
        <f>BD103*VLOOKUP('Données projet'!$B$11,Paramètres!$A$1:$I$89,3,0)*VLOOKUP('Données projet'!$B$11,Paramètres!$A$1:$I$89,5,0)</f>
        <v>6.7984728957526396E-14</v>
      </c>
      <c r="BF103" s="14">
        <f t="shared" si="91"/>
        <v>1.0682447123141398E-12</v>
      </c>
      <c r="BG103" s="22">
        <f t="shared" si="61"/>
        <v>1.978932943548152E-12</v>
      </c>
      <c r="BH103" s="62">
        <f t="shared" si="62"/>
        <v>269.12083054590664</v>
      </c>
      <c r="BI103" s="62">
        <f ca="1">AVERAGE(OFFSET($BH$3,0,0,'Données projet'!$E$11+1,1))-AVERAGE(OFFSET($H$3,0,0,'Données projet'!$E$11+1,1))</f>
        <v>199.65420589615553</v>
      </c>
      <c r="BJ103" s="62">
        <f t="shared" si="92"/>
        <v>477.85821088970999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13.330102325912371</v>
      </c>
      <c r="BQ103" s="23">
        <f>EXP(-LN(2)/25)*BQ102+(1-EXP(-LN(2)/25))/(LN(2)/25)*Calculateur!BL103*Calculateur!BN103*VLOOKUP('Données projet'!$B$11,Paramètres!$A$1:$I$89,3,0)*0.475*44/12</f>
        <v>6.310491396205407</v>
      </c>
      <c r="BR103" s="23">
        <f>EXP(-LN(2)/2)*BR102+(1-EXP(-LN(2)/2))/(LN(2)/2)*BL103*BO103*VLOOKUP('Données projet'!$B$11,Paramètres!$A$1:$I$89,3,0)*0.475*44/12</f>
        <v>1.267977780572507E-9</v>
      </c>
      <c r="BS103" s="24">
        <f t="shared" si="63"/>
        <v>19.640593723385756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515</v>
      </c>
      <c r="BW103" s="13">
        <f>VLOOKUP(A103,'Données projet'!$A$113:$I$133,9,0)</f>
        <v>5.3</v>
      </c>
      <c r="BX103" s="13">
        <f t="array" ref="BX103">INDEX(BW:BW,MIN(IF(ISNUMBER(BW103:BW299),ROW(BW103:BW299),"")))</f>
        <v>5.3</v>
      </c>
      <c r="BY103" s="13">
        <f>IF('Données projet'!$A$114&gt;35,BY102+BX103-CG102,IF(A103&lt;'Données projet'!$A$114,$BV$205^A103,IF(A103='Données projet'!$A$114,'Données projet'!$B$114,BY102+BX103-CG102)))</f>
        <v>515.00000000000011</v>
      </c>
      <c r="BZ103" s="14">
        <f>BY103*VLOOKUP('Données projet'!$B$12,Paramètres!$A$1:$I$89,3,0)*VLOOKUP('Données projet'!$B$12,Paramètres!$A$1:$I$89,5,0)</f>
        <v>307.97000000000008</v>
      </c>
      <c r="CA103" s="14">
        <f t="shared" si="93"/>
        <v>72.844723408255376</v>
      </c>
      <c r="CB103" s="22">
        <f t="shared" si="64"/>
        <v>663.25230993604498</v>
      </c>
      <c r="CC103" s="62">
        <f t="shared" si="65"/>
        <v>932.37314048194958</v>
      </c>
      <c r="CD103" s="62">
        <f ca="1">AVERAGE(OFFSET($CC$3,0,0,'Données projet'!$E$12+1,1))-AVERAGE(OFFSET($H$3,0,0,'Données projet'!$E$12+1,1))</f>
        <v>437.94016462147999</v>
      </c>
      <c r="CE103" s="62">
        <f t="shared" si="94"/>
        <v>281.88254003380348</v>
      </c>
      <c r="CF103" s="16">
        <f>IF(ISNA(VLOOKUP(A103,'Données projet'!$A$113:$I$133,3,0)),0,VLOOKUP(A103,'Données projet'!$A$113:$I$133,3,0))</f>
        <v>9</v>
      </c>
      <c r="CG103" s="16">
        <f>IF(ISNA(VLOOKUP(A103,'Données projet'!$A$113:$I$133,4,0)),0,VLOOKUP(A103,'Données projet'!$A$113:$I$133,4,0))</f>
        <v>515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2.3831307015585474E-10</v>
      </c>
      <c r="CN103" s="24">
        <f t="shared" si="66"/>
        <v>2.3831307015585474E-10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282</v>
      </c>
      <c r="CR103" s="13">
        <f>VLOOKUP(A103,'Données projet'!$A$139:$I$159,9,0)</f>
        <v>4.8</v>
      </c>
      <c r="CS103" s="13">
        <f t="array" ref="CS103">INDEX(CR:CR,MIN(IF(ISNUMBER(CR103:CR299),ROW(CR103:CR299),"")))</f>
        <v>4.8</v>
      </c>
      <c r="CT103" s="13">
        <f>IF('Données projet'!$A$140&gt;35,CT102+CS103-DB102,IF(A103&lt;'Données projet'!$A$140,$CQ$205^A103,IF(A103='Données projet'!$A$140,'Données projet'!$B$140,CT102+CS103-DB102)))</f>
        <v>282.00000000000011</v>
      </c>
      <c r="CU103" s="18">
        <f>CT103*VLOOKUP('Données projet'!$B$13,Paramètres!$A$1:$I$89,3,0)*VLOOKUP('Données projet'!$B$13,Paramètres!$A$1:$I$89,5,0)</f>
        <v>321.1416000000001</v>
      </c>
      <c r="CV103" s="14">
        <f t="shared" si="95"/>
        <v>75.590836491360662</v>
      </c>
      <c r="CW103" s="22">
        <f t="shared" si="67"/>
        <v>690.97566022245337</v>
      </c>
      <c r="CX103" s="62">
        <f t="shared" si="68"/>
        <v>960.09649076835808</v>
      </c>
      <c r="CY103" s="62">
        <f ca="1">AVERAGE(OFFSET($CX$3,0,0,'Données projet'!$E$13+1,1))-AVERAGE(OFFSET($H$3,0,0,'Données projet'!$E$13+1,1))</f>
        <v>520.23742527061836</v>
      </c>
      <c r="CZ103" s="62">
        <f t="shared" si="96"/>
        <v>321.35925479331274</v>
      </c>
      <c r="DA103" s="16">
        <f>IF(ISNA(VLOOKUP(A103,'Données projet'!$A$139:$I$159,3,0)),0,VLOOKUP(A103,'Données projet'!$A$139:$I$159,3,0))</f>
        <v>16</v>
      </c>
      <c r="DB103" s="16">
        <f>IF(ISNA(VLOOKUP(A103,'Données projet'!$A$139:$I$159,4,0)),0,VLOOKUP(A103,'Données projet'!$A$139:$I$159,4,0))</f>
        <v>21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333</v>
      </c>
      <c r="DM103" s="13">
        <f>VLOOKUP(A103,'Données projet'!$A$165:$I$185,9,0)</f>
        <v>5.8</v>
      </c>
      <c r="DN103" s="13">
        <f t="array" ref="DN103">INDEX(DM:DM,MIN(IF(ISNUMBER(DM103:DM299),ROW(DM103:DM299),"")))</f>
        <v>5.8</v>
      </c>
      <c r="DO103" s="13">
        <f>IF('Données projet'!$A$166&gt;35,DO102+DN103-DW102,IF(A103&lt;'Données projet'!$A$166,$DL$205^A103,IF(A103='Données projet'!$A$166,'Données projet'!$B$166,DO102+DN103-DW102)))</f>
        <v>333</v>
      </c>
      <c r="DP103" s="18">
        <f>DO103*VLOOKUP('Données projet'!$B$14,Paramètres!$A$1:$I$89,3,0)*VLOOKUP('Données projet'!$B$14,Paramètres!$A$1:$I$89,5,0)</f>
        <v>337.66200000000003</v>
      </c>
      <c r="DQ103" s="14">
        <f t="shared" si="97"/>
        <v>79.016707002632685</v>
      </c>
      <c r="DR103" s="22">
        <f t="shared" si="70"/>
        <v>725.71541469625208</v>
      </c>
      <c r="DS103" s="62">
        <f t="shared" si="71"/>
        <v>994.83624524215679</v>
      </c>
      <c r="DT103" s="62">
        <f ca="1">AVERAGE(OFFSET($DS$3,0,0,'Données projet'!$E$14+1,1))-AVERAGE(OFFSET($H$3,0,0,'Données projet'!$E$14+1,1))</f>
        <v>547.89540791313675</v>
      </c>
      <c r="DU103" s="62">
        <f t="shared" si="98"/>
        <v>345.19555189302378</v>
      </c>
      <c r="DV103" s="16">
        <f>IF(ISNA(VLOOKUP(A103,'Données projet'!$A$165:$I$185,3,0)),0,VLOOKUP(A103,'Données projet'!$A$165:$I$185,3,0))</f>
        <v>17</v>
      </c>
      <c r="DW103" s="16">
        <f>IF(ISNA(VLOOKUP(A103,'Données projet'!$A$165:$I$185,4,0)),0,VLOOKUP(A103,'Données projet'!$A$165:$I$185,4,0))</f>
        <v>27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5.6843418860808015E-14</v>
      </c>
      <c r="EK103" s="18">
        <f>EJ103*VLOOKUP('Données projet'!$B$15,Paramètres!$A$1:$I$89,3,0)*VLOOKUP('Données projet'!$B$15,Paramètres!$A$1:$I$89,5,0)</f>
        <v>5.9412741393316544E-14</v>
      </c>
      <c r="EL103" s="14">
        <f t="shared" si="99"/>
        <v>9.483138037075782E-13</v>
      </c>
      <c r="EM103" s="22">
        <f t="shared" si="73"/>
        <v>1.7551237327173916E-12</v>
      </c>
      <c r="EN103" s="62">
        <f t="shared" si="74"/>
        <v>269.12083054590641</v>
      </c>
      <c r="EO103" s="62">
        <f ca="1">AVERAGE(OFFSET($EN$3,0,0,'Données projet'!$E$15+1,1))-AVERAGE(OFFSET($H$3,0,0,'Données projet'!$E$15+1,1))</f>
        <v>418.23737352070503</v>
      </c>
      <c r="EP103" s="62">
        <f t="shared" si="100"/>
        <v>496.10742685332968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1.1368683772161603E-13</v>
      </c>
      <c r="FF103" s="18">
        <f>FE103*VLOOKUP('Données projet'!$B$16,Paramètres!$A$1:$I$89,3,0)*VLOOKUP('Données projet'!$B$16,Paramètres!$A$1:$I$89,5,0)</f>
        <v>6.7984728957526396E-14</v>
      </c>
      <c r="FG103" s="14">
        <f t="shared" si="101"/>
        <v>1.0682447123141398E-12</v>
      </c>
      <c r="FH103" s="22">
        <f t="shared" si="76"/>
        <v>1.978932943548152E-12</v>
      </c>
      <c r="FI103" s="62">
        <f t="shared" si="77"/>
        <v>269.12083054590664</v>
      </c>
      <c r="FJ103" s="62">
        <f ca="1">AVERAGE(OFFSET($FI$3,0,0,'Données projet'!$E$16+1,1))-AVERAGE(OFFSET($H$3,0,0,'Données projet'!$E$16+1,1))</f>
        <v>341.70983624543067</v>
      </c>
      <c r="FK103" s="62">
        <f t="shared" si="102"/>
        <v>250.82562837973805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3.6067521006061311E-10</v>
      </c>
      <c r="FT103" s="24">
        <f t="shared" si="78"/>
        <v>3.6067521006061311E-10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9</v>
      </c>
      <c r="FZ103" s="13">
        <f>IF('Données projet'!$A$244&gt;35,FZ102+FY103-GH102,IF(A103&lt;'Données projet'!$A$244,$FW$205^A103,IF(A103='Données projet'!$A$244,'Données projet'!$B$244,FZ102+FY103-GH102)))</f>
        <v>383.99999999999972</v>
      </c>
      <c r="GA103" s="18">
        <f>FZ103*VLOOKUP('Données projet'!$B$17,Paramètres!$A$1:$I$89,3,0)*VLOOKUP('Données projet'!$B$17,Paramètres!$A$1:$I$89,5,0)</f>
        <v>179.71199999999988</v>
      </c>
      <c r="GB103" s="14">
        <f t="shared" si="103"/>
        <v>45.258105502458051</v>
      </c>
      <c r="GC103" s="22">
        <f t="shared" si="79"/>
        <v>391.82293375011415</v>
      </c>
      <c r="GD103" s="62">
        <f t="shared" si="80"/>
        <v>660.9437642960188</v>
      </c>
      <c r="GE103" s="62">
        <f ca="1">AVERAGE(OFFSET($GD$3,0,0,'Données projet'!$E$17+1,1))-AVERAGE(OFFSET($H$3,0,0,'Données projet'!$E$17+1,1))</f>
        <v>368.69628434154333</v>
      </c>
      <c r="GF103" s="62">
        <f t="shared" si="104"/>
        <v>202.28197295839524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-1.1368683772161603E-13</v>
      </c>
      <c r="GV103" s="18">
        <f>GU103*VLOOKUP('Données projet'!$B$18,Paramètres!$A$1:$I$89,3,0)*VLOOKUP('Données projet'!$B$18,Paramètres!$A$1:$I$89,5,0)</f>
        <v>-9.9316821433603781E-14</v>
      </c>
      <c r="GW103" s="14" t="e">
        <f t="shared" si="105"/>
        <v>#NUM!</v>
      </c>
      <c r="GX103" s="22" t="e">
        <f t="shared" si="82"/>
        <v>#NUM!</v>
      </c>
      <c r="GY103" s="62" t="e">
        <f t="shared" si="83"/>
        <v>#NUM!</v>
      </c>
      <c r="GZ103" s="62">
        <f ca="1">AVERAGE(OFFSET($GY$3,0,0,'Données projet'!$E$18+1,1))-AVERAGE(OFFSET($H$3,0,0,'Données projet'!$E$18+1,1))</f>
        <v>378.51861272969165</v>
      </c>
      <c r="HA103" s="62">
        <f t="shared" si="106"/>
        <v>387.42368617035459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0</v>
      </c>
      <c r="HH103" s="23">
        <f>EXP(-LN(2)/25)*HH102+(1-EXP(-LN(2)/25))/(LN(2)/25)*Calculateur!HC103*Calculateur!HE103*VLOOKUP('Données projet'!$B$18,Paramètres!$A$1:$I$89,3,0)*0.475*44/12</f>
        <v>0</v>
      </c>
      <c r="HI103" s="23">
        <f>EXP(-LN(2)/2)*HI102+(1-EXP(-LN(2)/2))/(LN(2)/2)*HC103*HF103*VLOOKUP('Données projet'!$B$18,Paramètres!$A$1:$I$89,3,0)*0.475*44/12</f>
        <v>0</v>
      </c>
      <c r="HJ103" s="24">
        <f t="shared" si="84"/>
        <v>0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135.66666666666666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269.5408633382217</v>
      </c>
      <c r="S104" s="62">
        <f ca="1">AVERAGE(OFFSET($R$3,0,0,'Données projet'!$E$9+1,1))-AVERAGE(OFFSET($H$3,0,0,'Données projet'!$E$9+1,1))</f>
        <v>437.94016462147999</v>
      </c>
      <c r="T104" s="62">
        <f t="shared" si="88"/>
        <v>281.88254003380348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1.6851278795259033E-10</v>
      </c>
      <c r="AC104" s="24">
        <f t="shared" si="57"/>
        <v>1.6851278795259033E-10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265.40000000000009</v>
      </c>
      <c r="AJ104" s="14">
        <f>AI104*VLOOKUP('Données projet'!$B$10,Paramètres!$A$1:$I$89,3,0)*VLOOKUP('Données projet'!$B$10,Paramètres!$A$1:$I$89,5,0)</f>
        <v>240.13392000000007</v>
      </c>
      <c r="AK104" s="14">
        <f t="shared" si="89"/>
        <v>58.468343087048616</v>
      </c>
      <c r="AL104" s="22">
        <f t="shared" si="58"/>
        <v>520.06560820994309</v>
      </c>
      <c r="AM104" s="62">
        <f t="shared" si="59"/>
        <v>789.60647154816274</v>
      </c>
      <c r="AN104" s="62">
        <f ca="1">AVERAGE(OFFSET($AM$3,0,0,'Données projet'!$E$10+1,1))-AVERAGE(OFFSET($H$3,0,0,'Données projet'!$E$10+1,1))</f>
        <v>434.56763649859136</v>
      </c>
      <c r="AO104" s="62">
        <f t="shared" si="90"/>
        <v>271.90302066766264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1.1368683772161603E-13</v>
      </c>
      <c r="BE104" s="14">
        <f>BD104*VLOOKUP('Données projet'!$B$11,Paramètres!$A$1:$I$89,3,0)*VLOOKUP('Données projet'!$B$11,Paramètres!$A$1:$I$89,5,0)</f>
        <v>6.7984728957526396E-14</v>
      </c>
      <c r="BF104" s="14">
        <f t="shared" si="91"/>
        <v>1.0682447123141398E-12</v>
      </c>
      <c r="BG104" s="22">
        <f t="shared" si="61"/>
        <v>1.978932943548152E-12</v>
      </c>
      <c r="BH104" s="62">
        <f t="shared" si="62"/>
        <v>269.5408633382217</v>
      </c>
      <c r="BI104" s="62">
        <f ca="1">AVERAGE(OFFSET($BH$3,0,0,'Données projet'!$E$11+1,1))-AVERAGE(OFFSET($H$3,0,0,'Données projet'!$E$11+1,1))</f>
        <v>199.65420589615553</v>
      </c>
      <c r="BJ104" s="62">
        <f t="shared" si="92"/>
        <v>477.85821088970999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13.068707149860822</v>
      </c>
      <c r="BQ104" s="23">
        <f>EXP(-LN(2)/25)*BQ103+(1-EXP(-LN(2)/25))/(LN(2)/25)*Calculateur!BL104*Calculateur!BN104*VLOOKUP('Données projet'!$B$11,Paramètres!$A$1:$I$89,3,0)*0.475*44/12</f>
        <v>6.13793067712185</v>
      </c>
      <c r="BR104" s="23">
        <f>EXP(-LN(2)/2)*BR103+(1-EXP(-LN(2)/2))/(LN(2)/2)*BL104*BO104*VLOOKUP('Données projet'!$B$11,Paramètres!$A$1:$I$89,3,0)*0.475*44/12</f>
        <v>8.9659568703668793E-10</v>
      </c>
      <c r="BS104" s="24">
        <f t="shared" si="63"/>
        <v>19.206637827879266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1.1368683772161603E-13</v>
      </c>
      <c r="BZ104" s="14">
        <f>BY104*VLOOKUP('Données projet'!$B$12,Paramètres!$A$1:$I$89,3,0)*VLOOKUP('Données projet'!$B$12,Paramètres!$A$1:$I$89,5,0)</f>
        <v>6.7984728957526396E-14</v>
      </c>
      <c r="CA104" s="14">
        <f t="shared" si="93"/>
        <v>1.0682447123141398E-12</v>
      </c>
      <c r="CB104" s="22">
        <f t="shared" si="64"/>
        <v>1.978932943548152E-12</v>
      </c>
      <c r="CC104" s="62">
        <f t="shared" si="65"/>
        <v>269.5408633382217</v>
      </c>
      <c r="CD104" s="62">
        <f ca="1">AVERAGE(OFFSET($CC$3,0,0,'Données projet'!$E$12+1,1))-AVERAGE(OFFSET($H$3,0,0,'Données projet'!$E$12+1,1))</f>
        <v>437.94016462147999</v>
      </c>
      <c r="CE104" s="62">
        <f t="shared" si="94"/>
        <v>281.88254003380348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1.6851278795259033E-10</v>
      </c>
      <c r="CN104" s="24">
        <f t="shared" si="66"/>
        <v>1.6851278795259033E-10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4.4000000000000004</v>
      </c>
      <c r="CT104" s="13">
        <f>IF('Données projet'!$A$140&gt;35,CT103+CS104-DB103,IF(A104&lt;'Données projet'!$A$140,$CQ$205^A104,IF(A104='Données projet'!$A$140,'Données projet'!$B$140,CT103+CS104-DB103)))</f>
        <v>265.40000000000009</v>
      </c>
      <c r="CU104" s="18">
        <f>CT104*VLOOKUP('Données projet'!$B$13,Paramètres!$A$1:$I$89,3,0)*VLOOKUP('Données projet'!$B$13,Paramètres!$A$1:$I$89,5,0)</f>
        <v>302.23752000000013</v>
      </c>
      <c r="CV104" s="14">
        <f t="shared" si="95"/>
        <v>71.645330561253473</v>
      </c>
      <c r="CW104" s="22">
        <f t="shared" si="67"/>
        <v>651.17929806084999</v>
      </c>
      <c r="CX104" s="62">
        <f t="shared" si="68"/>
        <v>920.72016139906964</v>
      </c>
      <c r="CY104" s="62">
        <f ca="1">AVERAGE(OFFSET($CX$3,0,0,'Données projet'!$E$13+1,1))-AVERAGE(OFFSET($H$3,0,0,'Données projet'!$E$13+1,1))</f>
        <v>520.23742527061836</v>
      </c>
      <c r="CZ104" s="62">
        <f t="shared" si="96"/>
        <v>321.35925479331274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5.4</v>
      </c>
      <c r="DO104" s="13">
        <f>IF('Données projet'!$A$166&gt;35,DO103+DN104-DW103,IF(A104&lt;'Données projet'!$A$166,$DL$205^A104,IF(A104='Données projet'!$A$166,'Données projet'!$B$166,DO103+DN104-DW103)))</f>
        <v>311.39999999999998</v>
      </c>
      <c r="DP104" s="18">
        <f>DO104*VLOOKUP('Données projet'!$B$14,Paramètres!$A$1:$I$89,3,0)*VLOOKUP('Données projet'!$B$14,Paramètres!$A$1:$I$89,5,0)</f>
        <v>315.75959999999998</v>
      </c>
      <c r="DQ104" s="14">
        <f t="shared" si="97"/>
        <v>74.470372149154613</v>
      </c>
      <c r="DR104" s="22">
        <f t="shared" si="70"/>
        <v>679.6505348264443</v>
      </c>
      <c r="DS104" s="62">
        <f t="shared" si="71"/>
        <v>949.19139816466395</v>
      </c>
      <c r="DT104" s="62">
        <f ca="1">AVERAGE(OFFSET($DS$3,0,0,'Données projet'!$E$14+1,1))-AVERAGE(OFFSET($H$3,0,0,'Données projet'!$E$14+1,1))</f>
        <v>547.89540791313675</v>
      </c>
      <c r="DU104" s="62">
        <f t="shared" si="98"/>
        <v>345.19555189302378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5.6843418860808015E-14</v>
      </c>
      <c r="EK104" s="18">
        <f>EJ104*VLOOKUP('Données projet'!$B$15,Paramètres!$A$1:$I$89,3,0)*VLOOKUP('Données projet'!$B$15,Paramètres!$A$1:$I$89,5,0)</f>
        <v>5.9412741393316544E-14</v>
      </c>
      <c r="EL104" s="14">
        <f t="shared" si="99"/>
        <v>9.483138037075782E-13</v>
      </c>
      <c r="EM104" s="22">
        <f t="shared" si="73"/>
        <v>1.7551237327173916E-12</v>
      </c>
      <c r="EN104" s="62">
        <f t="shared" si="74"/>
        <v>269.54086333822147</v>
      </c>
      <c r="EO104" s="62">
        <f ca="1">AVERAGE(OFFSET($EN$3,0,0,'Données projet'!$E$15+1,1))-AVERAGE(OFFSET($H$3,0,0,'Données projet'!$E$15+1,1))</f>
        <v>418.23737352070503</v>
      </c>
      <c r="EP104" s="62">
        <f t="shared" si="100"/>
        <v>496.10742685332968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1.1368683772161603E-13</v>
      </c>
      <c r="FF104" s="18">
        <f>FE104*VLOOKUP('Données projet'!$B$16,Paramètres!$A$1:$I$89,3,0)*VLOOKUP('Données projet'!$B$16,Paramètres!$A$1:$I$89,5,0)</f>
        <v>6.7984728957526396E-14</v>
      </c>
      <c r="FG104" s="14">
        <f t="shared" si="101"/>
        <v>1.0682447123141398E-12</v>
      </c>
      <c r="FH104" s="22">
        <f t="shared" si="76"/>
        <v>1.978932943548152E-12</v>
      </c>
      <c r="FI104" s="62">
        <f t="shared" si="77"/>
        <v>269.5408633382217</v>
      </c>
      <c r="FJ104" s="62">
        <f ca="1">AVERAGE(OFFSET($FI$3,0,0,'Données projet'!$E$16+1,1))-AVERAGE(OFFSET($H$3,0,0,'Données projet'!$E$16+1,1))</f>
        <v>341.70983624543067</v>
      </c>
      <c r="FK104" s="62">
        <f t="shared" si="102"/>
        <v>250.82562837973805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2.5503588683974202E-10</v>
      </c>
      <c r="FT104" s="24">
        <f t="shared" si="78"/>
        <v>2.5503588683974202E-10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9</v>
      </c>
      <c r="FZ104" s="13">
        <f>IF('Données projet'!$A$244&gt;35,FZ103+FY104-GH103,IF(A104&lt;'Données projet'!$A$244,$FW$205^A104,IF(A104='Données projet'!$A$244,'Données projet'!$B$244,FZ103+FY104-GH103)))</f>
        <v>392.99999999999972</v>
      </c>
      <c r="GA104" s="18">
        <f>FZ104*VLOOKUP('Données projet'!$B$17,Paramètres!$A$1:$I$89,3,0)*VLOOKUP('Données projet'!$B$17,Paramètres!$A$1:$I$89,5,0)</f>
        <v>183.92399999999989</v>
      </c>
      <c r="GB104" s="14">
        <f t="shared" si="103"/>
        <v>46.194105104770117</v>
      </c>
      <c r="GC104" s="22">
        <f t="shared" si="79"/>
        <v>400.7890330574744</v>
      </c>
      <c r="GD104" s="62">
        <f t="shared" si="80"/>
        <v>670.32989639569405</v>
      </c>
      <c r="GE104" s="62">
        <f ca="1">AVERAGE(OFFSET($GD$3,0,0,'Données projet'!$E$17+1,1))-AVERAGE(OFFSET($H$3,0,0,'Données projet'!$E$17+1,1))</f>
        <v>368.69628434154333</v>
      </c>
      <c r="GF104" s="62">
        <f t="shared" si="104"/>
        <v>202.28197295839524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-1.1368683772161603E-13</v>
      </c>
      <c r="GV104" s="18">
        <f>GU104*VLOOKUP('Données projet'!$B$18,Paramètres!$A$1:$I$89,3,0)*VLOOKUP('Données projet'!$B$18,Paramètres!$A$1:$I$89,5,0)</f>
        <v>-9.9316821433603781E-14</v>
      </c>
      <c r="GW104" s="14" t="e">
        <f t="shared" si="105"/>
        <v>#NUM!</v>
      </c>
      <c r="GX104" s="22" t="e">
        <f t="shared" si="82"/>
        <v>#NUM!</v>
      </c>
      <c r="GY104" s="62" t="e">
        <f t="shared" si="83"/>
        <v>#NUM!</v>
      </c>
      <c r="GZ104" s="62">
        <f ca="1">AVERAGE(OFFSET($GY$3,0,0,'Données projet'!$E$18+1,1))-AVERAGE(OFFSET($H$3,0,0,'Données projet'!$E$18+1,1))</f>
        <v>378.51861272969165</v>
      </c>
      <c r="HA104" s="62">
        <f t="shared" si="106"/>
        <v>387.42368617035459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0</v>
      </c>
      <c r="HH104" s="23">
        <f>EXP(-LN(2)/25)*HH103+(1-EXP(-LN(2)/25))/(LN(2)/25)*Calculateur!HC104*Calculateur!HE104*VLOOKUP('Données projet'!$B$18,Paramètres!$A$1:$I$89,3,0)*0.475*44/12</f>
        <v>0</v>
      </c>
      <c r="HI104" s="23">
        <f>EXP(-LN(2)/2)*HI103+(1-EXP(-LN(2)/2))/(LN(2)/2)*HC104*HF104*VLOOKUP('Données projet'!$B$18,Paramètres!$A$1:$I$89,3,0)*0.475*44/12</f>
        <v>0</v>
      </c>
      <c r="HJ104" s="24">
        <f t="shared" si="84"/>
        <v>0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135.66666666666666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269.95360950064276</v>
      </c>
      <c r="S105" s="62">
        <f ca="1">AVERAGE(OFFSET($R$3,0,0,'Données projet'!$E$9+1,1))-AVERAGE(OFFSET($H$3,0,0,'Données projet'!$E$9+1,1))</f>
        <v>437.94016462147999</v>
      </c>
      <c r="T105" s="62">
        <f t="shared" si="88"/>
        <v>281.88254003380348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1.1915653507792737E-10</v>
      </c>
      <c r="AC105" s="24">
        <f t="shared" si="57"/>
        <v>1.1915653507792737E-10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269.80000000000007</v>
      </c>
      <c r="AJ105" s="14">
        <f>AI105*VLOOKUP('Données projet'!$B$10,Paramètres!$A$1:$I$89,3,0)*VLOOKUP('Données projet'!$B$10,Paramètres!$A$1:$I$89,5,0)</f>
        <v>244.11504000000008</v>
      </c>
      <c r="AK105" s="14">
        <f t="shared" si="89"/>
        <v>59.324023461759062</v>
      </c>
      <c r="AL105" s="22">
        <f t="shared" si="58"/>
        <v>528.48970219589717</v>
      </c>
      <c r="AM105" s="62">
        <f t="shared" si="59"/>
        <v>798.44331169653788</v>
      </c>
      <c r="AN105" s="62">
        <f ca="1">AVERAGE(OFFSET($AM$3,0,0,'Données projet'!$E$10+1,1))-AVERAGE(OFFSET($H$3,0,0,'Données projet'!$E$10+1,1))</f>
        <v>434.56763649859136</v>
      </c>
      <c r="AO105" s="62">
        <f t="shared" si="90"/>
        <v>271.90302066766264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1.1368683772161603E-13</v>
      </c>
      <c r="BE105" s="14">
        <f>BD105*VLOOKUP('Données projet'!$B$11,Paramètres!$A$1:$I$89,3,0)*VLOOKUP('Données projet'!$B$11,Paramètres!$A$1:$I$89,5,0)</f>
        <v>6.7984728957526396E-14</v>
      </c>
      <c r="BF105" s="14">
        <f t="shared" si="91"/>
        <v>1.0682447123141398E-12</v>
      </c>
      <c r="BG105" s="22">
        <f t="shared" si="61"/>
        <v>1.978932943548152E-12</v>
      </c>
      <c r="BH105" s="62">
        <f t="shared" si="62"/>
        <v>269.95360950064276</v>
      </c>
      <c r="BI105" s="62">
        <f ca="1">AVERAGE(OFFSET($BH$3,0,0,'Données projet'!$E$11+1,1))-AVERAGE(OFFSET($H$3,0,0,'Données projet'!$E$11+1,1))</f>
        <v>199.65420589615553</v>
      </c>
      <c r="BJ105" s="62">
        <f t="shared" si="92"/>
        <v>477.85821088970999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12.812437773776329</v>
      </c>
      <c r="BQ105" s="23">
        <f>EXP(-LN(2)/25)*BQ104+(1-EXP(-LN(2)/25))/(LN(2)/25)*Calculateur!BL105*Calculateur!BN105*VLOOKUP('Données projet'!$B$11,Paramètres!$A$1:$I$89,3,0)*0.475*44/12</f>
        <v>5.9700886399762068</v>
      </c>
      <c r="BR105" s="23">
        <f>EXP(-LN(2)/2)*BR104+(1-EXP(-LN(2)/2))/(LN(2)/2)*BL105*BO105*VLOOKUP('Données projet'!$B$11,Paramètres!$A$1:$I$89,3,0)*0.475*44/12</f>
        <v>6.3398889028625362E-10</v>
      </c>
      <c r="BS105" s="24">
        <f t="shared" si="63"/>
        <v>18.782526414386524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1.1368683772161603E-13</v>
      </c>
      <c r="BZ105" s="14">
        <f>BY105*VLOOKUP('Données projet'!$B$12,Paramètres!$A$1:$I$89,3,0)*VLOOKUP('Données projet'!$B$12,Paramètres!$A$1:$I$89,5,0)</f>
        <v>6.7984728957526396E-14</v>
      </c>
      <c r="CA105" s="14">
        <f t="shared" si="93"/>
        <v>1.0682447123141398E-12</v>
      </c>
      <c r="CB105" s="22">
        <f t="shared" si="64"/>
        <v>1.978932943548152E-12</v>
      </c>
      <c r="CC105" s="62">
        <f t="shared" si="65"/>
        <v>269.95360950064276</v>
      </c>
      <c r="CD105" s="62">
        <f ca="1">AVERAGE(OFFSET($CC$3,0,0,'Données projet'!$E$12+1,1))-AVERAGE(OFFSET($H$3,0,0,'Données projet'!$E$12+1,1))</f>
        <v>437.94016462147999</v>
      </c>
      <c r="CE105" s="62">
        <f t="shared" si="94"/>
        <v>281.88254003380348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1.1915653507792737E-10</v>
      </c>
      <c r="CN105" s="24">
        <f t="shared" si="66"/>
        <v>1.1915653507792737E-10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4.4000000000000004</v>
      </c>
      <c r="CT105" s="13">
        <f>IF('Données projet'!$A$140&gt;35,CT104+CS105-DB104,IF(A105&lt;'Données projet'!$A$140,$CQ$205^A105,IF(A105='Données projet'!$A$140,'Données projet'!$B$140,CT104+CS105-DB104)))</f>
        <v>269.80000000000007</v>
      </c>
      <c r="CU105" s="18">
        <f>CT105*VLOOKUP('Données projet'!$B$13,Paramètres!$A$1:$I$89,3,0)*VLOOKUP('Données projet'!$B$13,Paramètres!$A$1:$I$89,5,0)</f>
        <v>307.24824000000007</v>
      </c>
      <c r="CV105" s="14">
        <f t="shared" si="95"/>
        <v>72.693855285301751</v>
      </c>
      <c r="CW105" s="22">
        <f t="shared" si="67"/>
        <v>661.73248262190066</v>
      </c>
      <c r="CX105" s="62">
        <f t="shared" si="68"/>
        <v>931.68609212254137</v>
      </c>
      <c r="CY105" s="62">
        <f ca="1">AVERAGE(OFFSET($CX$3,0,0,'Données projet'!$E$13+1,1))-AVERAGE(OFFSET($H$3,0,0,'Données projet'!$E$13+1,1))</f>
        <v>520.23742527061836</v>
      </c>
      <c r="CZ105" s="62">
        <f t="shared" si="96"/>
        <v>321.35925479331274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5.4</v>
      </c>
      <c r="DO105" s="13">
        <f>IF('Données projet'!$A$166&gt;35,DO104+DN105-DW104,IF(A105&lt;'Données projet'!$A$166,$DL$205^A105,IF(A105='Données projet'!$A$166,'Données projet'!$B$166,DO104+DN105-DW104)))</f>
        <v>316.79999999999995</v>
      </c>
      <c r="DP105" s="18">
        <f>DO105*VLOOKUP('Données projet'!$B$14,Paramètres!$A$1:$I$89,3,0)*VLOOKUP('Données projet'!$B$14,Paramètres!$A$1:$I$89,5,0)</f>
        <v>321.23519999999996</v>
      </c>
      <c r="DQ105" s="14">
        <f t="shared" si="97"/>
        <v>75.610303390297929</v>
      </c>
      <c r="DR105" s="22">
        <f t="shared" si="70"/>
        <v>691.17258507143549</v>
      </c>
      <c r="DS105" s="62">
        <f t="shared" si="71"/>
        <v>961.1261945720762</v>
      </c>
      <c r="DT105" s="62">
        <f ca="1">AVERAGE(OFFSET($DS$3,0,0,'Données projet'!$E$14+1,1))-AVERAGE(OFFSET($H$3,0,0,'Données projet'!$E$14+1,1))</f>
        <v>547.89540791313675</v>
      </c>
      <c r="DU105" s="62">
        <f t="shared" si="98"/>
        <v>345.19555189302378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5.6843418860808015E-14</v>
      </c>
      <c r="EK105" s="18">
        <f>EJ105*VLOOKUP('Données projet'!$B$15,Paramètres!$A$1:$I$89,3,0)*VLOOKUP('Données projet'!$B$15,Paramètres!$A$1:$I$89,5,0)</f>
        <v>5.9412741393316544E-14</v>
      </c>
      <c r="EL105" s="14">
        <f t="shared" si="99"/>
        <v>9.483138037075782E-13</v>
      </c>
      <c r="EM105" s="22">
        <f t="shared" si="73"/>
        <v>1.7551237327173916E-12</v>
      </c>
      <c r="EN105" s="62">
        <f t="shared" si="74"/>
        <v>269.95360950064253</v>
      </c>
      <c r="EO105" s="62">
        <f ca="1">AVERAGE(OFFSET($EN$3,0,0,'Données projet'!$E$15+1,1))-AVERAGE(OFFSET($H$3,0,0,'Données projet'!$E$15+1,1))</f>
        <v>418.23737352070503</v>
      </c>
      <c r="EP105" s="62">
        <f t="shared" si="100"/>
        <v>496.10742685332968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1.1368683772161603E-13</v>
      </c>
      <c r="FF105" s="18">
        <f>FE105*VLOOKUP('Données projet'!$B$16,Paramètres!$A$1:$I$89,3,0)*VLOOKUP('Données projet'!$B$16,Paramètres!$A$1:$I$89,5,0)</f>
        <v>6.7984728957526396E-14</v>
      </c>
      <c r="FG105" s="14">
        <f t="shared" si="101"/>
        <v>1.0682447123141398E-12</v>
      </c>
      <c r="FH105" s="22">
        <f t="shared" si="76"/>
        <v>1.978932943548152E-12</v>
      </c>
      <c r="FI105" s="62">
        <f t="shared" si="77"/>
        <v>269.95360950064276</v>
      </c>
      <c r="FJ105" s="62">
        <f ca="1">AVERAGE(OFFSET($FI$3,0,0,'Données projet'!$E$16+1,1))-AVERAGE(OFFSET($H$3,0,0,'Données projet'!$E$16+1,1))</f>
        <v>341.70983624543067</v>
      </c>
      <c r="FK105" s="62">
        <f t="shared" si="102"/>
        <v>250.82562837973805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1.8033760503030655E-10</v>
      </c>
      <c r="FT105" s="24">
        <f t="shared" si="78"/>
        <v>1.8033760503030655E-10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9</v>
      </c>
      <c r="FZ105" s="13">
        <f>IF('Données projet'!$A$244&gt;35,FZ104+FY105-GH104,IF(A105&lt;'Données projet'!$A$244,$FW$205^A105,IF(A105='Données projet'!$A$244,'Données projet'!$B$244,FZ104+FY105-GH104)))</f>
        <v>401.99999999999972</v>
      </c>
      <c r="GA105" s="18">
        <f>FZ105*VLOOKUP('Données projet'!$B$17,Paramètres!$A$1:$I$89,3,0)*VLOOKUP('Données projet'!$B$17,Paramètres!$A$1:$I$89,5,0)</f>
        <v>188.13599999999985</v>
      </c>
      <c r="GB105" s="14">
        <f t="shared" si="103"/>
        <v>47.127612753105247</v>
      </c>
      <c r="GC105" s="22">
        <f t="shared" si="79"/>
        <v>409.75079221165805</v>
      </c>
      <c r="GD105" s="62">
        <f t="shared" si="80"/>
        <v>679.70440171229882</v>
      </c>
      <c r="GE105" s="62">
        <f ca="1">AVERAGE(OFFSET($GD$3,0,0,'Données projet'!$E$17+1,1))-AVERAGE(OFFSET($H$3,0,0,'Données projet'!$E$17+1,1))</f>
        <v>368.69628434154333</v>
      </c>
      <c r="GF105" s="62">
        <f t="shared" si="104"/>
        <v>202.28197295839524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-1.1368683772161603E-13</v>
      </c>
      <c r="GV105" s="18">
        <f>GU105*VLOOKUP('Données projet'!$B$18,Paramètres!$A$1:$I$89,3,0)*VLOOKUP('Données projet'!$B$18,Paramètres!$A$1:$I$89,5,0)</f>
        <v>-9.9316821433603781E-14</v>
      </c>
      <c r="GW105" s="14" t="e">
        <f t="shared" si="105"/>
        <v>#NUM!</v>
      </c>
      <c r="GX105" s="22" t="e">
        <f t="shared" si="82"/>
        <v>#NUM!</v>
      </c>
      <c r="GY105" s="62" t="e">
        <f t="shared" si="83"/>
        <v>#NUM!</v>
      </c>
      <c r="GZ105" s="62">
        <f ca="1">AVERAGE(OFFSET($GY$3,0,0,'Données projet'!$E$18+1,1))-AVERAGE(OFFSET($H$3,0,0,'Données projet'!$E$18+1,1))</f>
        <v>378.51861272969165</v>
      </c>
      <c r="HA105" s="62">
        <f t="shared" si="106"/>
        <v>387.42368617035459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0</v>
      </c>
      <c r="HH105" s="23">
        <f>EXP(-LN(2)/25)*HH104+(1-EXP(-LN(2)/25))/(LN(2)/25)*Calculateur!HC105*Calculateur!HE105*VLOOKUP('Données projet'!$B$18,Paramètres!$A$1:$I$89,3,0)*0.475*44/12</f>
        <v>0</v>
      </c>
      <c r="HI105" s="23">
        <f>EXP(-LN(2)/2)*HI104+(1-EXP(-LN(2)/2))/(LN(2)/2)*HC105*HF105*VLOOKUP('Données projet'!$B$18,Paramètres!$A$1:$I$89,3,0)*0.475*44/12</f>
        <v>0</v>
      </c>
      <c r="HJ105" s="24">
        <f t="shared" si="84"/>
        <v>0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135.66666666666666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270.35919543990798</v>
      </c>
      <c r="S106" s="62">
        <f ca="1">AVERAGE(OFFSET($R$3,0,0,'Données projet'!$E$9+1,1))-AVERAGE(OFFSET($H$3,0,0,'Données projet'!$E$9+1,1))</f>
        <v>437.94016462147999</v>
      </c>
      <c r="T106" s="62">
        <f t="shared" si="88"/>
        <v>281.88254003380348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8.4256393976295163E-11</v>
      </c>
      <c r="AC106" s="24">
        <f t="shared" si="57"/>
        <v>8.4256393976295163E-11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274.20000000000005</v>
      </c>
      <c r="AJ106" s="14">
        <f>AI106*VLOOKUP('Données projet'!$B$10,Paramètres!$A$1:$I$89,3,0)*VLOOKUP('Données projet'!$B$10,Paramètres!$A$1:$I$89,5,0)</f>
        <v>248.09616</v>
      </c>
      <c r="AK106" s="14">
        <f t="shared" si="89"/>
        <v>60.178080967364686</v>
      </c>
      <c r="AL106" s="22">
        <f t="shared" si="58"/>
        <v>536.91096968482668</v>
      </c>
      <c r="AM106" s="62">
        <f t="shared" si="59"/>
        <v>807.27016512473267</v>
      </c>
      <c r="AN106" s="62">
        <f ca="1">AVERAGE(OFFSET($AM$3,0,0,'Données projet'!$E$10+1,1))-AVERAGE(OFFSET($H$3,0,0,'Données projet'!$E$10+1,1))</f>
        <v>434.56763649859136</v>
      </c>
      <c r="AO106" s="62">
        <f t="shared" si="90"/>
        <v>271.90302066766264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1.1368683772161603E-13</v>
      </c>
      <c r="BE106" s="14">
        <f>BD106*VLOOKUP('Données projet'!$B$11,Paramètres!$A$1:$I$89,3,0)*VLOOKUP('Données projet'!$B$11,Paramètres!$A$1:$I$89,5,0)</f>
        <v>6.7984728957526396E-14</v>
      </c>
      <c r="BF106" s="14">
        <f t="shared" si="91"/>
        <v>1.0682447123141398E-12</v>
      </c>
      <c r="BG106" s="22">
        <f t="shared" si="61"/>
        <v>1.978932943548152E-12</v>
      </c>
      <c r="BH106" s="62">
        <f t="shared" si="62"/>
        <v>270.35919543990798</v>
      </c>
      <c r="BI106" s="62">
        <f ca="1">AVERAGE(OFFSET($BH$3,0,0,'Données projet'!$E$11+1,1))-AVERAGE(OFFSET($H$3,0,0,'Données projet'!$E$11+1,1))</f>
        <v>199.65420589615553</v>
      </c>
      <c r="BJ106" s="62">
        <f t="shared" si="92"/>
        <v>477.85821088970999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12.561193683847968</v>
      </c>
      <c r="BQ106" s="23">
        <f>EXP(-LN(2)/25)*BQ105+(1-EXP(-LN(2)/25))/(LN(2)/25)*Calculateur!BL106*Calculateur!BN106*VLOOKUP('Données projet'!$B$11,Paramètres!$A$1:$I$89,3,0)*0.475*44/12</f>
        <v>5.806836252162741</v>
      </c>
      <c r="BR106" s="23">
        <f>EXP(-LN(2)/2)*BR105+(1-EXP(-LN(2)/2))/(LN(2)/2)*BL106*BO106*VLOOKUP('Données projet'!$B$11,Paramètres!$A$1:$I$89,3,0)*0.475*44/12</f>
        <v>4.4829784351834407E-10</v>
      </c>
      <c r="BS106" s="24">
        <f t="shared" si="63"/>
        <v>18.368029936459006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1.1368683772161603E-13</v>
      </c>
      <c r="BZ106" s="14">
        <f>BY106*VLOOKUP('Données projet'!$B$12,Paramètres!$A$1:$I$89,3,0)*VLOOKUP('Données projet'!$B$12,Paramètres!$A$1:$I$89,5,0)</f>
        <v>6.7984728957526396E-14</v>
      </c>
      <c r="CA106" s="14">
        <f t="shared" si="93"/>
        <v>1.0682447123141398E-12</v>
      </c>
      <c r="CB106" s="22">
        <f t="shared" si="64"/>
        <v>1.978932943548152E-12</v>
      </c>
      <c r="CC106" s="62">
        <f t="shared" si="65"/>
        <v>270.35919543990798</v>
      </c>
      <c r="CD106" s="62">
        <f ca="1">AVERAGE(OFFSET($CC$3,0,0,'Données projet'!$E$12+1,1))-AVERAGE(OFFSET($H$3,0,0,'Données projet'!$E$12+1,1))</f>
        <v>437.94016462147999</v>
      </c>
      <c r="CE106" s="62">
        <f t="shared" si="94"/>
        <v>281.88254003380348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8.4256393976295163E-11</v>
      </c>
      <c r="CN106" s="24">
        <f t="shared" si="66"/>
        <v>8.4256393976295163E-11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4.4000000000000004</v>
      </c>
      <c r="CT106" s="13">
        <f>IF('Données projet'!$A$140&gt;35,CT105+CS106-DB105,IF(A106&lt;'Données projet'!$A$140,$CQ$205^A106,IF(A106='Données projet'!$A$140,'Données projet'!$B$140,CT105+CS106-DB105)))</f>
        <v>274.20000000000005</v>
      </c>
      <c r="CU106" s="18">
        <f>CT106*VLOOKUP('Données projet'!$B$13,Paramètres!$A$1:$I$89,3,0)*VLOOKUP('Données projet'!$B$13,Paramètres!$A$1:$I$89,5,0)</f>
        <v>312.25896000000006</v>
      </c>
      <c r="CV106" s="14">
        <f t="shared" si="95"/>
        <v>73.740391394873711</v>
      </c>
      <c r="CW106" s="22">
        <f t="shared" si="67"/>
        <v>672.28220367940514</v>
      </c>
      <c r="CX106" s="62">
        <f t="shared" si="68"/>
        <v>942.64139911931113</v>
      </c>
      <c r="CY106" s="62">
        <f ca="1">AVERAGE(OFFSET($CX$3,0,0,'Données projet'!$E$13+1,1))-AVERAGE(OFFSET($H$3,0,0,'Données projet'!$E$13+1,1))</f>
        <v>520.23742527061836</v>
      </c>
      <c r="CZ106" s="62">
        <f t="shared" si="96"/>
        <v>321.35925479331274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5.4</v>
      </c>
      <c r="DO106" s="13">
        <f>IF('Données projet'!$A$166&gt;35,DO105+DN106-DW105,IF(A106&lt;'Données projet'!$A$166,$DL$205^A106,IF(A106='Données projet'!$A$166,'Données projet'!$B$166,DO105+DN106-DW105)))</f>
        <v>322.19999999999993</v>
      </c>
      <c r="DP106" s="18">
        <f>DO106*VLOOKUP('Données projet'!$B$14,Paramètres!$A$1:$I$89,3,0)*VLOOKUP('Données projet'!$B$14,Paramètres!$A$1:$I$89,5,0)</f>
        <v>326.71079999999995</v>
      </c>
      <c r="DQ106" s="14">
        <f t="shared" si="97"/>
        <v>76.747975030799893</v>
      </c>
      <c r="DR106" s="22">
        <f t="shared" si="70"/>
        <v>702.69069984530972</v>
      </c>
      <c r="DS106" s="62">
        <f t="shared" si="71"/>
        <v>973.04989528521571</v>
      </c>
      <c r="DT106" s="62">
        <f ca="1">AVERAGE(OFFSET($DS$3,0,0,'Données projet'!$E$14+1,1))-AVERAGE(OFFSET($H$3,0,0,'Données projet'!$E$14+1,1))</f>
        <v>547.89540791313675</v>
      </c>
      <c r="DU106" s="62">
        <f t="shared" si="98"/>
        <v>345.19555189302378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5.6843418860808015E-14</v>
      </c>
      <c r="EK106" s="18">
        <f>EJ106*VLOOKUP('Données projet'!$B$15,Paramètres!$A$1:$I$89,3,0)*VLOOKUP('Données projet'!$B$15,Paramètres!$A$1:$I$89,5,0)</f>
        <v>5.9412741393316544E-14</v>
      </c>
      <c r="EL106" s="14">
        <f t="shared" si="99"/>
        <v>9.483138037075782E-13</v>
      </c>
      <c r="EM106" s="22">
        <f t="shared" si="73"/>
        <v>1.7551237327173916E-12</v>
      </c>
      <c r="EN106" s="62">
        <f t="shared" si="74"/>
        <v>270.35919543990775</v>
      </c>
      <c r="EO106" s="62">
        <f ca="1">AVERAGE(OFFSET($EN$3,0,0,'Données projet'!$E$15+1,1))-AVERAGE(OFFSET($H$3,0,0,'Données projet'!$E$15+1,1))</f>
        <v>418.23737352070503</v>
      </c>
      <c r="EP106" s="62">
        <f t="shared" si="100"/>
        <v>496.10742685332968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1.1368683772161603E-13</v>
      </c>
      <c r="FF106" s="18">
        <f>FE106*VLOOKUP('Données projet'!$B$16,Paramètres!$A$1:$I$89,3,0)*VLOOKUP('Données projet'!$B$16,Paramètres!$A$1:$I$89,5,0)</f>
        <v>6.7984728957526396E-14</v>
      </c>
      <c r="FG106" s="14">
        <f t="shared" si="101"/>
        <v>1.0682447123141398E-12</v>
      </c>
      <c r="FH106" s="22">
        <f t="shared" si="76"/>
        <v>1.978932943548152E-12</v>
      </c>
      <c r="FI106" s="62">
        <f t="shared" si="77"/>
        <v>270.35919543990798</v>
      </c>
      <c r="FJ106" s="62">
        <f ca="1">AVERAGE(OFFSET($FI$3,0,0,'Données projet'!$E$16+1,1))-AVERAGE(OFFSET($H$3,0,0,'Données projet'!$E$16+1,1))</f>
        <v>341.70983624543067</v>
      </c>
      <c r="FK106" s="62">
        <f t="shared" si="102"/>
        <v>250.82562837973805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1.2751794341987101E-10</v>
      </c>
      <c r="FT106" s="24">
        <f t="shared" si="78"/>
        <v>1.2751794341987101E-10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9</v>
      </c>
      <c r="FZ106" s="13">
        <f>IF('Données projet'!$A$244&gt;35,FZ105+FY106-GH105,IF(A106&lt;'Données projet'!$A$244,$FW$205^A106,IF(A106='Données projet'!$A$244,'Données projet'!$B$244,FZ105+FY106-GH105)))</f>
        <v>410.99999999999972</v>
      </c>
      <c r="GA106" s="18">
        <f>FZ106*VLOOKUP('Données projet'!$B$17,Paramètres!$A$1:$I$89,3,0)*VLOOKUP('Données projet'!$B$17,Paramètres!$A$1:$I$89,5,0)</f>
        <v>192.34799999999987</v>
      </c>
      <c r="GB106" s="14">
        <f t="shared" si="103"/>
        <v>48.058690660851866</v>
      </c>
      <c r="GC106" s="22">
        <f t="shared" si="79"/>
        <v>418.70831956765005</v>
      </c>
      <c r="GD106" s="62">
        <f t="shared" si="80"/>
        <v>689.06751500755604</v>
      </c>
      <c r="GE106" s="62">
        <f ca="1">AVERAGE(OFFSET($GD$3,0,0,'Données projet'!$E$17+1,1))-AVERAGE(OFFSET($H$3,0,0,'Données projet'!$E$17+1,1))</f>
        <v>368.69628434154333</v>
      </c>
      <c r="GF106" s="62">
        <f t="shared" si="104"/>
        <v>202.28197295839524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-1.1368683772161603E-13</v>
      </c>
      <c r="GV106" s="18">
        <f>GU106*VLOOKUP('Données projet'!$B$18,Paramètres!$A$1:$I$89,3,0)*VLOOKUP('Données projet'!$B$18,Paramètres!$A$1:$I$89,5,0)</f>
        <v>-9.9316821433603781E-14</v>
      </c>
      <c r="GW106" s="14" t="e">
        <f t="shared" si="105"/>
        <v>#NUM!</v>
      </c>
      <c r="GX106" s="22" t="e">
        <f t="shared" si="82"/>
        <v>#NUM!</v>
      </c>
      <c r="GY106" s="62" t="e">
        <f t="shared" si="83"/>
        <v>#NUM!</v>
      </c>
      <c r="GZ106" s="62">
        <f ca="1">AVERAGE(OFFSET($GY$3,0,0,'Données projet'!$E$18+1,1))-AVERAGE(OFFSET($H$3,0,0,'Données projet'!$E$18+1,1))</f>
        <v>378.51861272969165</v>
      </c>
      <c r="HA106" s="62">
        <f t="shared" si="106"/>
        <v>387.42368617035459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0</v>
      </c>
      <c r="HH106" s="23">
        <f>EXP(-LN(2)/25)*HH105+(1-EXP(-LN(2)/25))/(LN(2)/25)*Calculateur!HC106*Calculateur!HE106*VLOOKUP('Données projet'!$B$18,Paramètres!$A$1:$I$89,3,0)*0.475*44/12</f>
        <v>0</v>
      </c>
      <c r="HI106" s="23">
        <f>EXP(-LN(2)/2)*HI105+(1-EXP(-LN(2)/2))/(LN(2)/2)*HC106*HF106*VLOOKUP('Données projet'!$B$18,Paramètres!$A$1:$I$89,3,0)*0.475*44/12</f>
        <v>0</v>
      </c>
      <c r="HJ106" s="24">
        <f t="shared" si="84"/>
        <v>0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135.66666666666666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270.75774536988126</v>
      </c>
      <c r="S107" s="62">
        <f ca="1">AVERAGE(OFFSET($R$3,0,0,'Données projet'!$E$9+1,1))-AVERAGE(OFFSET($H$3,0,0,'Données projet'!$E$9+1,1))</f>
        <v>437.94016462147999</v>
      </c>
      <c r="T107" s="62">
        <f t="shared" si="88"/>
        <v>281.88254003380348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5.9578267538963685E-11</v>
      </c>
      <c r="AC107" s="24">
        <f t="shared" si="57"/>
        <v>5.9578267538963685E-11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278.60000000000002</v>
      </c>
      <c r="AJ107" s="14">
        <f>AI107*VLOOKUP('Données projet'!$B$10,Paramètres!$A$1:$I$89,3,0)*VLOOKUP('Données projet'!$B$10,Paramètres!$A$1:$I$89,5,0)</f>
        <v>252.07728</v>
      </c>
      <c r="AK107" s="14">
        <f t="shared" si="89"/>
        <v>61.030544652154987</v>
      </c>
      <c r="AL107" s="22">
        <f t="shared" si="58"/>
        <v>545.32946126916988</v>
      </c>
      <c r="AM107" s="62">
        <f t="shared" si="59"/>
        <v>816.0872066390491</v>
      </c>
      <c r="AN107" s="62">
        <f ca="1">AVERAGE(OFFSET($AM$3,0,0,'Données projet'!$E$10+1,1))-AVERAGE(OFFSET($H$3,0,0,'Données projet'!$E$10+1,1))</f>
        <v>434.56763649859136</v>
      </c>
      <c r="AO107" s="62">
        <f t="shared" si="90"/>
        <v>271.90302066766264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1.1368683772161603E-13</v>
      </c>
      <c r="BE107" s="14">
        <f>BD107*VLOOKUP('Données projet'!$B$11,Paramètres!$A$1:$I$89,3,0)*VLOOKUP('Données projet'!$B$11,Paramètres!$A$1:$I$89,5,0)</f>
        <v>6.7984728957526396E-14</v>
      </c>
      <c r="BF107" s="14">
        <f t="shared" si="91"/>
        <v>1.0682447123141398E-12</v>
      </c>
      <c r="BG107" s="22">
        <f t="shared" si="61"/>
        <v>1.978932943548152E-12</v>
      </c>
      <c r="BH107" s="62">
        <f t="shared" si="62"/>
        <v>270.75774536988126</v>
      </c>
      <c r="BI107" s="62">
        <f ca="1">AVERAGE(OFFSET($BH$3,0,0,'Données projet'!$E$11+1,1))-AVERAGE(OFFSET($H$3,0,0,'Données projet'!$E$11+1,1))</f>
        <v>199.65420589615553</v>
      </c>
      <c r="BJ107" s="62">
        <f t="shared" si="92"/>
        <v>477.85821088970999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12.314876337279339</v>
      </c>
      <c r="BQ107" s="23">
        <f>EXP(-LN(2)/25)*BQ106+(1-EXP(-LN(2)/25))/(LN(2)/25)*Calculateur!BL107*Calculateur!BN107*VLOOKUP('Données projet'!$B$11,Paramètres!$A$1:$I$89,3,0)*0.475*44/12</f>
        <v>5.6480480094791039</v>
      </c>
      <c r="BR107" s="23">
        <f>EXP(-LN(2)/2)*BR106+(1-EXP(-LN(2)/2))/(LN(2)/2)*BL107*BO107*VLOOKUP('Données projet'!$B$11,Paramètres!$A$1:$I$89,3,0)*0.475*44/12</f>
        <v>3.1699444514312686E-10</v>
      </c>
      <c r="BS107" s="24">
        <f t="shared" si="63"/>
        <v>17.962924347075436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1.1368683772161603E-13</v>
      </c>
      <c r="BZ107" s="14">
        <f>BY107*VLOOKUP('Données projet'!$B$12,Paramètres!$A$1:$I$89,3,0)*VLOOKUP('Données projet'!$B$12,Paramètres!$A$1:$I$89,5,0)</f>
        <v>6.7984728957526396E-14</v>
      </c>
      <c r="CA107" s="14">
        <f t="shared" si="93"/>
        <v>1.0682447123141398E-12</v>
      </c>
      <c r="CB107" s="22">
        <f t="shared" si="64"/>
        <v>1.978932943548152E-12</v>
      </c>
      <c r="CC107" s="62">
        <f t="shared" si="65"/>
        <v>270.75774536988126</v>
      </c>
      <c r="CD107" s="62">
        <f ca="1">AVERAGE(OFFSET($CC$3,0,0,'Données projet'!$E$12+1,1))-AVERAGE(OFFSET($H$3,0,0,'Données projet'!$E$12+1,1))</f>
        <v>437.94016462147999</v>
      </c>
      <c r="CE107" s="62">
        <f t="shared" si="94"/>
        <v>281.88254003380348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5.9578267538963685E-11</v>
      </c>
      <c r="CN107" s="24">
        <f t="shared" si="66"/>
        <v>5.9578267538963685E-11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4.4000000000000004</v>
      </c>
      <c r="CT107" s="13">
        <f>IF('Données projet'!$A$140&gt;35,CT106+CS107-DB106,IF(A107&lt;'Données projet'!$A$140,$CQ$205^A107,IF(A107='Données projet'!$A$140,'Données projet'!$B$140,CT106+CS107-DB106)))</f>
        <v>278.60000000000002</v>
      </c>
      <c r="CU107" s="18">
        <f>CT107*VLOOKUP('Données projet'!$B$13,Paramètres!$A$1:$I$89,3,0)*VLOOKUP('Données projet'!$B$13,Paramètres!$A$1:$I$89,5,0)</f>
        <v>317.26968000000005</v>
      </c>
      <c r="CV107" s="14">
        <f t="shared" si="95"/>
        <v>74.784974484860228</v>
      </c>
      <c r="CW107" s="22">
        <f t="shared" si="67"/>
        <v>682.82852322779843</v>
      </c>
      <c r="CX107" s="62">
        <f t="shared" si="68"/>
        <v>953.58626859767764</v>
      </c>
      <c r="CY107" s="62">
        <f ca="1">AVERAGE(OFFSET($CX$3,0,0,'Données projet'!$E$13+1,1))-AVERAGE(OFFSET($H$3,0,0,'Données projet'!$E$13+1,1))</f>
        <v>520.23742527061836</v>
      </c>
      <c r="CZ107" s="62">
        <f t="shared" si="96"/>
        <v>321.35925479331274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5.4</v>
      </c>
      <c r="DO107" s="13">
        <f>IF('Données projet'!$A$166&gt;35,DO106+DN107-DW106,IF(A107&lt;'Données projet'!$A$166,$DL$205^A107,IF(A107='Données projet'!$A$166,'Données projet'!$B$166,DO106+DN107-DW106)))</f>
        <v>327.59999999999991</v>
      </c>
      <c r="DP107" s="18">
        <f>DO107*VLOOKUP('Données projet'!$B$14,Paramètres!$A$1:$I$89,3,0)*VLOOKUP('Données projet'!$B$14,Paramètres!$A$1:$I$89,5,0)</f>
        <v>332.18639999999994</v>
      </c>
      <c r="DQ107" s="14">
        <f t="shared" si="97"/>
        <v>77.88342931194974</v>
      </c>
      <c r="DR107" s="22">
        <f t="shared" si="70"/>
        <v>714.20495271831226</v>
      </c>
      <c r="DS107" s="62">
        <f t="shared" si="71"/>
        <v>984.96269808819147</v>
      </c>
      <c r="DT107" s="62">
        <f ca="1">AVERAGE(OFFSET($DS$3,0,0,'Données projet'!$E$14+1,1))-AVERAGE(OFFSET($H$3,0,0,'Données projet'!$E$14+1,1))</f>
        <v>547.89540791313675</v>
      </c>
      <c r="DU107" s="62">
        <f t="shared" si="98"/>
        <v>345.19555189302378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5.6843418860808015E-14</v>
      </c>
      <c r="EK107" s="18">
        <f>EJ107*VLOOKUP('Données projet'!$B$15,Paramètres!$A$1:$I$89,3,0)*VLOOKUP('Données projet'!$B$15,Paramètres!$A$1:$I$89,5,0)</f>
        <v>5.9412741393316544E-14</v>
      </c>
      <c r="EL107" s="14">
        <f t="shared" si="99"/>
        <v>9.483138037075782E-13</v>
      </c>
      <c r="EM107" s="22">
        <f t="shared" si="73"/>
        <v>1.7551237327173916E-12</v>
      </c>
      <c r="EN107" s="62">
        <f t="shared" si="74"/>
        <v>270.75774536988104</v>
      </c>
      <c r="EO107" s="62">
        <f ca="1">AVERAGE(OFFSET($EN$3,0,0,'Données projet'!$E$15+1,1))-AVERAGE(OFFSET($H$3,0,0,'Données projet'!$E$15+1,1))</f>
        <v>418.23737352070503</v>
      </c>
      <c r="EP107" s="62">
        <f t="shared" si="100"/>
        <v>496.10742685332968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1.1368683772161603E-13</v>
      </c>
      <c r="FF107" s="18">
        <f>FE107*VLOOKUP('Données projet'!$B$16,Paramètres!$A$1:$I$89,3,0)*VLOOKUP('Données projet'!$B$16,Paramètres!$A$1:$I$89,5,0)</f>
        <v>6.7984728957526396E-14</v>
      </c>
      <c r="FG107" s="14">
        <f t="shared" si="101"/>
        <v>1.0682447123141398E-12</v>
      </c>
      <c r="FH107" s="22">
        <f t="shared" si="76"/>
        <v>1.978932943548152E-12</v>
      </c>
      <c r="FI107" s="62">
        <f t="shared" si="77"/>
        <v>270.75774536988126</v>
      </c>
      <c r="FJ107" s="62">
        <f ca="1">AVERAGE(OFFSET($FI$3,0,0,'Données projet'!$E$16+1,1))-AVERAGE(OFFSET($H$3,0,0,'Données projet'!$E$16+1,1))</f>
        <v>341.70983624543067</v>
      </c>
      <c r="FK107" s="62">
        <f t="shared" si="102"/>
        <v>250.82562837973805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9.0168802515153277E-11</v>
      </c>
      <c r="FT107" s="24">
        <f t="shared" si="78"/>
        <v>9.0168802515153277E-11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9</v>
      </c>
      <c r="FZ107" s="13">
        <f>IF('Données projet'!$A$244&gt;35,FZ106+FY107-GH106,IF(A107&lt;'Données projet'!$A$244,$FW$205^A107,IF(A107='Données projet'!$A$244,'Données projet'!$B$244,FZ106+FY107-GH106)))</f>
        <v>419.99999999999972</v>
      </c>
      <c r="GA107" s="18">
        <f>FZ107*VLOOKUP('Données projet'!$B$17,Paramètres!$A$1:$I$89,3,0)*VLOOKUP('Données projet'!$B$17,Paramètres!$A$1:$I$89,5,0)</f>
        <v>196.55999999999989</v>
      </c>
      <c r="GB107" s="14">
        <f t="shared" si="103"/>
        <v>48.987398161128091</v>
      </c>
      <c r="GC107" s="22">
        <f t="shared" si="79"/>
        <v>427.66171846396452</v>
      </c>
      <c r="GD107" s="62">
        <f t="shared" si="80"/>
        <v>698.41946383384379</v>
      </c>
      <c r="GE107" s="62">
        <f ca="1">AVERAGE(OFFSET($GD$3,0,0,'Données projet'!$E$17+1,1))-AVERAGE(OFFSET($H$3,0,0,'Données projet'!$E$17+1,1))</f>
        <v>368.69628434154333</v>
      </c>
      <c r="GF107" s="62">
        <f t="shared" si="104"/>
        <v>202.28197295839524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-1.1368683772161603E-13</v>
      </c>
      <c r="GV107" s="18">
        <f>GU107*VLOOKUP('Données projet'!$B$18,Paramètres!$A$1:$I$89,3,0)*VLOOKUP('Données projet'!$B$18,Paramètres!$A$1:$I$89,5,0)</f>
        <v>-9.9316821433603781E-14</v>
      </c>
      <c r="GW107" s="14" t="e">
        <f t="shared" si="105"/>
        <v>#NUM!</v>
      </c>
      <c r="GX107" s="22" t="e">
        <f t="shared" si="82"/>
        <v>#NUM!</v>
      </c>
      <c r="GY107" s="62" t="e">
        <f t="shared" si="83"/>
        <v>#NUM!</v>
      </c>
      <c r="GZ107" s="62">
        <f ca="1">AVERAGE(OFFSET($GY$3,0,0,'Données projet'!$E$18+1,1))-AVERAGE(OFFSET($H$3,0,0,'Données projet'!$E$18+1,1))</f>
        <v>378.51861272969165</v>
      </c>
      <c r="HA107" s="62">
        <f t="shared" si="106"/>
        <v>387.42368617035459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0</v>
      </c>
      <c r="HH107" s="23">
        <f>EXP(-LN(2)/25)*HH106+(1-EXP(-LN(2)/25))/(LN(2)/25)*Calculateur!HC107*Calculateur!HE107*VLOOKUP('Données projet'!$B$18,Paramètres!$A$1:$I$89,3,0)*0.475*44/12</f>
        <v>0</v>
      </c>
      <c r="HI107" s="23">
        <f>EXP(-LN(2)/2)*HI106+(1-EXP(-LN(2)/2))/(LN(2)/2)*HC107*HF107*VLOOKUP('Données projet'!$B$18,Paramètres!$A$1:$I$89,3,0)*0.475*44/12</f>
        <v>0</v>
      </c>
      <c r="HJ107" s="24">
        <f t="shared" si="84"/>
        <v>0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135.66666666666666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271.14938134959368</v>
      </c>
      <c r="S108" s="62">
        <f ca="1">AVERAGE(OFFSET($R$3,0,0,'Données projet'!$E$9+1,1))-AVERAGE(OFFSET($H$3,0,0,'Données projet'!$E$9+1,1))</f>
        <v>437.94016462147999</v>
      </c>
      <c r="T108" s="62">
        <f t="shared" si="88"/>
        <v>281.88254003380348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4.2128196988147581E-11</v>
      </c>
      <c r="AC108" s="24">
        <f t="shared" si="57"/>
        <v>4.2128196988147581E-11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283</v>
      </c>
      <c r="AG108" s="13">
        <f>VLOOKUP(A108,'Données projet'!$A$61:$I$81,9,0)</f>
        <v>4.4000000000000004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283</v>
      </c>
      <c r="AJ108" s="14">
        <f>AI108*VLOOKUP('Données projet'!$B$10,Paramètres!$A$1:$I$89,3,0)*VLOOKUP('Données projet'!$B$10,Paramètres!$A$1:$I$89,5,0)</f>
        <v>256.05840000000001</v>
      </c>
      <c r="AK108" s="14">
        <f t="shared" si="89"/>
        <v>61.881442594256484</v>
      </c>
      <c r="AL108" s="22">
        <f t="shared" si="58"/>
        <v>553.74522585166335</v>
      </c>
      <c r="AM108" s="62">
        <f t="shared" si="59"/>
        <v>824.89460720125498</v>
      </c>
      <c r="AN108" s="62">
        <f ca="1">AVERAGE(OFFSET($AM$3,0,0,'Données projet'!$E$10+1,1))-AVERAGE(OFFSET($H$3,0,0,'Données projet'!$E$10+1,1))</f>
        <v>434.56763649859136</v>
      </c>
      <c r="AO108" s="62">
        <f t="shared" si="90"/>
        <v>271.90302066766264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1.1368683772161603E-13</v>
      </c>
      <c r="BE108" s="14">
        <f>BD108*VLOOKUP('Données projet'!$B$11,Paramètres!$A$1:$I$89,3,0)*VLOOKUP('Données projet'!$B$11,Paramètres!$A$1:$I$89,5,0)</f>
        <v>6.7984728957526396E-14</v>
      </c>
      <c r="BF108" s="14">
        <f t="shared" si="91"/>
        <v>1.0682447123141398E-12</v>
      </c>
      <c r="BG108" s="22">
        <f t="shared" si="61"/>
        <v>1.978932943548152E-12</v>
      </c>
      <c r="BH108" s="62">
        <f t="shared" si="62"/>
        <v>271.14938134959368</v>
      </c>
      <c r="BI108" s="62">
        <f ca="1">AVERAGE(OFFSET($BH$3,0,0,'Données projet'!$E$11+1,1))-AVERAGE(OFFSET($H$3,0,0,'Données projet'!$E$11+1,1))</f>
        <v>199.65420589615553</v>
      </c>
      <c r="BJ108" s="62">
        <f t="shared" si="92"/>
        <v>477.85821088970999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12.073389123638174</v>
      </c>
      <c r="BQ108" s="23">
        <f>EXP(-LN(2)/25)*BQ107+(1-EXP(-LN(2)/25))/(LN(2)/25)*Calculateur!BL108*Calculateur!BN108*VLOOKUP('Données projet'!$B$11,Paramètres!$A$1:$I$89,3,0)*0.475*44/12</f>
        <v>5.4936018396419621</v>
      </c>
      <c r="BR108" s="23">
        <f>EXP(-LN(2)/2)*BR107+(1-EXP(-LN(2)/2))/(LN(2)/2)*BL108*BO108*VLOOKUP('Données projet'!$B$11,Paramètres!$A$1:$I$89,3,0)*0.475*44/12</f>
        <v>2.2414892175917206E-10</v>
      </c>
      <c r="BS108" s="24">
        <f t="shared" si="63"/>
        <v>17.566990963504285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1.1368683772161603E-13</v>
      </c>
      <c r="BZ108" s="14">
        <f>BY108*VLOOKUP('Données projet'!$B$12,Paramètres!$A$1:$I$89,3,0)*VLOOKUP('Données projet'!$B$12,Paramètres!$A$1:$I$89,5,0)</f>
        <v>6.7984728957526396E-14</v>
      </c>
      <c r="CA108" s="14">
        <f t="shared" si="93"/>
        <v>1.0682447123141398E-12</v>
      </c>
      <c r="CB108" s="22">
        <f t="shared" si="64"/>
        <v>1.978932943548152E-12</v>
      </c>
      <c r="CC108" s="62">
        <f t="shared" si="65"/>
        <v>271.14938134959368</v>
      </c>
      <c r="CD108" s="62">
        <f ca="1">AVERAGE(OFFSET($CC$3,0,0,'Données projet'!$E$12+1,1))-AVERAGE(OFFSET($H$3,0,0,'Données projet'!$E$12+1,1))</f>
        <v>437.94016462147999</v>
      </c>
      <c r="CE108" s="62">
        <f t="shared" si="94"/>
        <v>281.88254003380348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4.2128196988147581E-11</v>
      </c>
      <c r="CN108" s="24">
        <f t="shared" si="66"/>
        <v>4.2128196988147581E-11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283</v>
      </c>
      <c r="CR108" s="13">
        <f>VLOOKUP(A108,'Données projet'!$A$139:$I$159,9,0)</f>
        <v>4.4000000000000004</v>
      </c>
      <c r="CS108" s="13">
        <f t="array" ref="CS108">INDEX(CR:CR,MIN(IF(ISNUMBER(CR108:CR304),ROW(CR108:CR304),"")))</f>
        <v>4.4000000000000004</v>
      </c>
      <c r="CT108" s="13">
        <f>IF('Données projet'!$A$140&gt;35,CT107+CS108-DB107,IF(A108&lt;'Données projet'!$A$140,$CQ$205^A108,IF(A108='Données projet'!$A$140,'Données projet'!$B$140,CT107+CS108-DB107)))</f>
        <v>283</v>
      </c>
      <c r="CU108" s="18">
        <f>CT108*VLOOKUP('Données projet'!$B$13,Paramètres!$A$1:$I$89,3,0)*VLOOKUP('Données projet'!$B$13,Paramètres!$A$1:$I$89,5,0)</f>
        <v>322.28040000000004</v>
      </c>
      <c r="CV108" s="14">
        <f t="shared" si="95"/>
        <v>75.827638961344363</v>
      </c>
      <c r="CW108" s="22">
        <f t="shared" si="67"/>
        <v>693.37150119100806</v>
      </c>
      <c r="CX108" s="62">
        <f t="shared" si="68"/>
        <v>964.52088254059981</v>
      </c>
      <c r="CY108" s="62">
        <f ca="1">AVERAGE(OFFSET($CX$3,0,0,'Données projet'!$E$13+1,1))-AVERAGE(OFFSET($H$3,0,0,'Données projet'!$E$13+1,1))</f>
        <v>520.23742527061836</v>
      </c>
      <c r="CZ108" s="62">
        <f t="shared" si="96"/>
        <v>321.35925479331274</v>
      </c>
      <c r="DA108" s="16">
        <f>IF(ISNA(VLOOKUP(A108,'Données projet'!$A$139:$I$159,3,0)),0,VLOOKUP(A108,'Données projet'!$A$139:$I$159,3,0))</f>
        <v>17</v>
      </c>
      <c r="DB108" s="16">
        <f>IF(ISNA(VLOOKUP(A108,'Données projet'!$A$139:$I$159,4,0)),0,VLOOKUP(A108,'Données projet'!$A$139:$I$159,4,0))</f>
        <v>20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333</v>
      </c>
      <c r="DM108" s="13">
        <f>VLOOKUP(A108,'Données projet'!$A$165:$I$185,9,0)</f>
        <v>5.4</v>
      </c>
      <c r="DN108" s="13">
        <f t="array" ref="DN108">INDEX(DM:DM,MIN(IF(ISNUMBER(DM108:DM304),ROW(DM108:DM304),"")))</f>
        <v>5.4</v>
      </c>
      <c r="DO108" s="13">
        <f>IF('Données projet'!$A$166&gt;35,DO107+DN108-DW107,IF(A108&lt;'Données projet'!$A$166,$DL$205^A108,IF(A108='Données projet'!$A$166,'Données projet'!$B$166,DO107+DN108-DW107)))</f>
        <v>332.99999999999989</v>
      </c>
      <c r="DP108" s="18">
        <f>DO108*VLOOKUP('Données projet'!$B$14,Paramètres!$A$1:$I$89,3,0)*VLOOKUP('Données projet'!$B$14,Paramètres!$A$1:$I$89,5,0)</f>
        <v>337.66199999999992</v>
      </c>
      <c r="DQ108" s="14">
        <f t="shared" si="97"/>
        <v>79.016707002632685</v>
      </c>
      <c r="DR108" s="22">
        <f t="shared" si="70"/>
        <v>725.71541469625174</v>
      </c>
      <c r="DS108" s="62">
        <f t="shared" si="71"/>
        <v>996.86479604584338</v>
      </c>
      <c r="DT108" s="62">
        <f ca="1">AVERAGE(OFFSET($DS$3,0,0,'Données projet'!$E$14+1,1))-AVERAGE(OFFSET($H$3,0,0,'Données projet'!$E$14+1,1))</f>
        <v>547.89540791313675</v>
      </c>
      <c r="DU108" s="62">
        <f t="shared" si="98"/>
        <v>345.19555189302378</v>
      </c>
      <c r="DV108" s="16">
        <f>IF(ISNA(VLOOKUP(A108,'Données projet'!$A$165:$I$185,3,0)),0,VLOOKUP(A108,'Données projet'!$A$165:$I$185,3,0))</f>
        <v>18</v>
      </c>
      <c r="DW108" s="16">
        <f>IF(ISNA(VLOOKUP(A108,'Données projet'!$A$165:$I$185,4,0)),0,VLOOKUP(A108,'Données projet'!$A$165:$I$185,4,0))</f>
        <v>26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5.6843418860808015E-14</v>
      </c>
      <c r="EK108" s="18">
        <f>EJ108*VLOOKUP('Données projet'!$B$15,Paramètres!$A$1:$I$89,3,0)*VLOOKUP('Données projet'!$B$15,Paramètres!$A$1:$I$89,5,0)</f>
        <v>5.9412741393316544E-14</v>
      </c>
      <c r="EL108" s="14">
        <f t="shared" si="99"/>
        <v>9.483138037075782E-13</v>
      </c>
      <c r="EM108" s="22">
        <f t="shared" si="73"/>
        <v>1.7551237327173916E-12</v>
      </c>
      <c r="EN108" s="62">
        <f t="shared" si="74"/>
        <v>271.14938134959345</v>
      </c>
      <c r="EO108" s="62">
        <f ca="1">AVERAGE(OFFSET($EN$3,0,0,'Données projet'!$E$15+1,1))-AVERAGE(OFFSET($H$3,0,0,'Données projet'!$E$15+1,1))</f>
        <v>418.23737352070503</v>
      </c>
      <c r="EP108" s="62">
        <f t="shared" si="100"/>
        <v>496.10742685332968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1.1368683772161603E-13</v>
      </c>
      <c r="FF108" s="18">
        <f>FE108*VLOOKUP('Données projet'!$B$16,Paramètres!$A$1:$I$89,3,0)*VLOOKUP('Données projet'!$B$16,Paramètres!$A$1:$I$89,5,0)</f>
        <v>6.7984728957526396E-14</v>
      </c>
      <c r="FG108" s="14">
        <f t="shared" si="101"/>
        <v>1.0682447123141398E-12</v>
      </c>
      <c r="FH108" s="22">
        <f t="shared" si="76"/>
        <v>1.978932943548152E-12</v>
      </c>
      <c r="FI108" s="62">
        <f t="shared" si="77"/>
        <v>271.14938134959368</v>
      </c>
      <c r="FJ108" s="62">
        <f ca="1">AVERAGE(OFFSET($FI$3,0,0,'Données projet'!$E$16+1,1))-AVERAGE(OFFSET($H$3,0,0,'Données projet'!$E$16+1,1))</f>
        <v>341.70983624543067</v>
      </c>
      <c r="FK108" s="62">
        <f t="shared" si="102"/>
        <v>250.82562837973805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6.3758971709935504E-11</v>
      </c>
      <c r="FT108" s="24">
        <f t="shared" si="78"/>
        <v>6.3758971709935504E-11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9</v>
      </c>
      <c r="FZ108" s="13">
        <f>IF('Données projet'!$A$244&gt;35,FZ107+FY108-GH107,IF(A108&lt;'Données projet'!$A$244,$FW$205^A108,IF(A108='Données projet'!$A$244,'Données projet'!$B$244,FZ107+FY108-GH107)))</f>
        <v>428.99999999999972</v>
      </c>
      <c r="GA108" s="18">
        <f>FZ108*VLOOKUP('Données projet'!$B$17,Paramètres!$A$1:$I$89,3,0)*VLOOKUP('Données projet'!$B$17,Paramètres!$A$1:$I$89,5,0)</f>
        <v>200.77199999999985</v>
      </c>
      <c r="GB108" s="14">
        <f t="shared" si="103"/>
        <v>49.913791898945362</v>
      </c>
      <c r="GC108" s="22">
        <f t="shared" si="79"/>
        <v>436.61108755732954</v>
      </c>
      <c r="GD108" s="62">
        <f t="shared" si="80"/>
        <v>707.76046890692123</v>
      </c>
      <c r="GE108" s="62">
        <f ca="1">AVERAGE(OFFSET($GD$3,0,0,'Données projet'!$E$17+1,1))-AVERAGE(OFFSET($H$3,0,0,'Données projet'!$E$17+1,1))</f>
        <v>368.69628434154333</v>
      </c>
      <c r="GF108" s="62">
        <f t="shared" si="104"/>
        <v>202.28197295839524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-1.1368683772161603E-13</v>
      </c>
      <c r="GV108" s="18">
        <f>GU108*VLOOKUP('Données projet'!$B$18,Paramètres!$A$1:$I$89,3,0)*VLOOKUP('Données projet'!$B$18,Paramètres!$A$1:$I$89,5,0)</f>
        <v>-9.9316821433603781E-14</v>
      </c>
      <c r="GW108" s="14" t="e">
        <f t="shared" si="105"/>
        <v>#NUM!</v>
      </c>
      <c r="GX108" s="22" t="e">
        <f t="shared" si="82"/>
        <v>#NUM!</v>
      </c>
      <c r="GY108" s="62" t="e">
        <f t="shared" si="83"/>
        <v>#NUM!</v>
      </c>
      <c r="GZ108" s="62">
        <f ca="1">AVERAGE(OFFSET($GY$3,0,0,'Données projet'!$E$18+1,1))-AVERAGE(OFFSET($H$3,0,0,'Données projet'!$E$18+1,1))</f>
        <v>378.51861272969165</v>
      </c>
      <c r="HA108" s="62">
        <f t="shared" si="106"/>
        <v>387.42368617035459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0</v>
      </c>
      <c r="HH108" s="23">
        <f>EXP(-LN(2)/25)*HH107+(1-EXP(-LN(2)/25))/(LN(2)/25)*Calculateur!HC108*Calculateur!HE108*VLOOKUP('Données projet'!$B$18,Paramètres!$A$1:$I$89,3,0)*0.475*44/12</f>
        <v>0</v>
      </c>
      <c r="HI108" s="23">
        <f>EXP(-LN(2)/2)*HI107+(1-EXP(-LN(2)/2))/(LN(2)/2)*HC108*HF108*VLOOKUP('Données projet'!$B$18,Paramètres!$A$1:$I$89,3,0)*0.475*44/12</f>
        <v>0</v>
      </c>
      <c r="HJ108" s="24">
        <f t="shared" si="84"/>
        <v>0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135.66666666666666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271.53422332062496</v>
      </c>
      <c r="S109" s="62">
        <f ca="1">AVERAGE(OFFSET($R$3,0,0,'Données projet'!$E$9+1,1))-AVERAGE(OFFSET($H$3,0,0,'Données projet'!$E$9+1,1))</f>
        <v>437.94016462147999</v>
      </c>
      <c r="T109" s="62">
        <f t="shared" si="88"/>
        <v>281.88254003380348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2.9789133769481842E-11</v>
      </c>
      <c r="AC109" s="24">
        <f t="shared" si="57"/>
        <v>2.9789133769481842E-11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267.2</v>
      </c>
      <c r="AJ109" s="14">
        <f>AI109*VLOOKUP('Données projet'!$B$10,Paramètres!$A$1:$I$89,3,0)*VLOOKUP('Données projet'!$B$10,Paramètres!$A$1:$I$89,5,0)</f>
        <v>241.76255999999995</v>
      </c>
      <c r="AK109" s="14">
        <f t="shared" si="89"/>
        <v>58.818592205643363</v>
      </c>
      <c r="AL109" s="22">
        <f t="shared" si="58"/>
        <v>523.5121734248288</v>
      </c>
      <c r="AM109" s="62">
        <f t="shared" si="59"/>
        <v>795.04639674545183</v>
      </c>
      <c r="AN109" s="62">
        <f ca="1">AVERAGE(OFFSET($AM$3,0,0,'Données projet'!$E$10+1,1))-AVERAGE(OFFSET($H$3,0,0,'Données projet'!$E$10+1,1))</f>
        <v>434.56763649859136</v>
      </c>
      <c r="AO109" s="62">
        <f t="shared" si="90"/>
        <v>271.90302066766264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1.1368683772161603E-13</v>
      </c>
      <c r="BE109" s="14">
        <f>BD109*VLOOKUP('Données projet'!$B$11,Paramètres!$A$1:$I$89,3,0)*VLOOKUP('Données projet'!$B$11,Paramètres!$A$1:$I$89,5,0)</f>
        <v>6.7984728957526396E-14</v>
      </c>
      <c r="BF109" s="14">
        <f t="shared" si="91"/>
        <v>1.0682447123141398E-12</v>
      </c>
      <c r="BG109" s="22">
        <f t="shared" si="61"/>
        <v>1.978932943548152E-12</v>
      </c>
      <c r="BH109" s="62">
        <f t="shared" si="62"/>
        <v>271.53422332062496</v>
      </c>
      <c r="BI109" s="62">
        <f ca="1">AVERAGE(OFFSET($BH$3,0,0,'Données projet'!$E$11+1,1))-AVERAGE(OFFSET($H$3,0,0,'Données projet'!$E$11+1,1))</f>
        <v>199.65420589615553</v>
      </c>
      <c r="BJ109" s="62">
        <f t="shared" si="92"/>
        <v>477.85821088970999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11.836637326963857</v>
      </c>
      <c r="BQ109" s="23">
        <f>EXP(-LN(2)/25)*BQ108+(1-EXP(-LN(2)/25))/(LN(2)/25)*Calculateur!BL109*Calculateur!BN109*VLOOKUP('Données projet'!$B$11,Paramètres!$A$1:$I$89,3,0)*0.475*44/12</f>
        <v>5.343379008440988</v>
      </c>
      <c r="BR109" s="23">
        <f>EXP(-LN(2)/2)*BR108+(1-EXP(-LN(2)/2))/(LN(2)/2)*BL109*BO109*VLOOKUP('Données projet'!$B$11,Paramètres!$A$1:$I$89,3,0)*0.475*44/12</f>
        <v>1.5849722257156346E-10</v>
      </c>
      <c r="BS109" s="24">
        <f t="shared" si="63"/>
        <v>17.180016335563341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1.1368683772161603E-13</v>
      </c>
      <c r="BZ109" s="14">
        <f>BY109*VLOOKUP('Données projet'!$B$12,Paramètres!$A$1:$I$89,3,0)*VLOOKUP('Données projet'!$B$12,Paramètres!$A$1:$I$89,5,0)</f>
        <v>6.7984728957526396E-14</v>
      </c>
      <c r="CA109" s="14">
        <f t="shared" si="93"/>
        <v>1.0682447123141398E-12</v>
      </c>
      <c r="CB109" s="22">
        <f t="shared" si="64"/>
        <v>1.978932943548152E-12</v>
      </c>
      <c r="CC109" s="62">
        <f t="shared" si="65"/>
        <v>271.53422332062496</v>
      </c>
      <c r="CD109" s="62">
        <f ca="1">AVERAGE(OFFSET($CC$3,0,0,'Données projet'!$E$12+1,1))-AVERAGE(OFFSET($H$3,0,0,'Données projet'!$E$12+1,1))</f>
        <v>437.94016462147999</v>
      </c>
      <c r="CE109" s="62">
        <f t="shared" si="94"/>
        <v>281.88254003380348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2.9789133769481842E-11</v>
      </c>
      <c r="CN109" s="24">
        <f t="shared" si="66"/>
        <v>2.9789133769481842E-11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4.2</v>
      </c>
      <c r="CT109" s="13">
        <f>IF('Données projet'!$A$140&gt;35,CT108+CS109-DB108,IF(A109&lt;'Données projet'!$A$140,$CQ$205^A109,IF(A109='Données projet'!$A$140,'Données projet'!$B$140,CT108+CS109-DB108)))</f>
        <v>267.2</v>
      </c>
      <c r="CU109" s="18">
        <f>CT109*VLOOKUP('Données projet'!$B$13,Paramètres!$A$1:$I$89,3,0)*VLOOKUP('Données projet'!$B$13,Paramètres!$A$1:$I$89,5,0)</f>
        <v>304.28735999999998</v>
      </c>
      <c r="CV109" s="14">
        <f t="shared" si="95"/>
        <v>72.074515185882774</v>
      </c>
      <c r="CW109" s="22">
        <f t="shared" si="67"/>
        <v>655.49693261541245</v>
      </c>
      <c r="CX109" s="62">
        <f t="shared" si="68"/>
        <v>927.03115593603547</v>
      </c>
      <c r="CY109" s="62">
        <f ca="1">AVERAGE(OFFSET($CX$3,0,0,'Données projet'!$E$13+1,1))-AVERAGE(OFFSET($H$3,0,0,'Données projet'!$E$13+1,1))</f>
        <v>520.23742527061836</v>
      </c>
      <c r="CZ109" s="62">
        <f t="shared" si="96"/>
        <v>321.35925479331274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5</v>
      </c>
      <c r="DO109" s="13">
        <f>IF('Données projet'!$A$166&gt;35,DO108+DN109-DW108,IF(A109&lt;'Données projet'!$A$166,$DL$205^A109,IF(A109='Données projet'!$A$166,'Données projet'!$B$166,DO108+DN109-DW108)))</f>
        <v>311.99999999999989</v>
      </c>
      <c r="DP109" s="18">
        <f>DO109*VLOOKUP('Données projet'!$B$14,Paramètres!$A$1:$I$89,3,0)*VLOOKUP('Données projet'!$B$14,Paramètres!$A$1:$I$89,5,0)</f>
        <v>316.36799999999988</v>
      </c>
      <c r="DQ109" s="14">
        <f t="shared" si="97"/>
        <v>74.597144109003438</v>
      </c>
      <c r="DR109" s="22">
        <f t="shared" si="70"/>
        <v>680.93095932318067</v>
      </c>
      <c r="DS109" s="62">
        <f t="shared" si="71"/>
        <v>952.4651826438037</v>
      </c>
      <c r="DT109" s="62">
        <f ca="1">AVERAGE(OFFSET($DS$3,0,0,'Données projet'!$E$14+1,1))-AVERAGE(OFFSET($H$3,0,0,'Données projet'!$E$14+1,1))</f>
        <v>547.89540791313675</v>
      </c>
      <c r="DU109" s="62">
        <f t="shared" si="98"/>
        <v>345.19555189302378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5.6843418860808015E-14</v>
      </c>
      <c r="EK109" s="18">
        <f>EJ109*VLOOKUP('Données projet'!$B$15,Paramètres!$A$1:$I$89,3,0)*VLOOKUP('Données projet'!$B$15,Paramètres!$A$1:$I$89,5,0)</f>
        <v>5.9412741393316544E-14</v>
      </c>
      <c r="EL109" s="14">
        <f t="shared" si="99"/>
        <v>9.483138037075782E-13</v>
      </c>
      <c r="EM109" s="22">
        <f t="shared" si="73"/>
        <v>1.7551237327173916E-12</v>
      </c>
      <c r="EN109" s="62">
        <f t="shared" si="74"/>
        <v>271.53422332062473</v>
      </c>
      <c r="EO109" s="62">
        <f ca="1">AVERAGE(OFFSET($EN$3,0,0,'Données projet'!$E$15+1,1))-AVERAGE(OFFSET($H$3,0,0,'Données projet'!$E$15+1,1))</f>
        <v>418.23737352070503</v>
      </c>
      <c r="EP109" s="62">
        <f t="shared" si="100"/>
        <v>496.10742685332968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1.1368683772161603E-13</v>
      </c>
      <c r="FF109" s="18">
        <f>FE109*VLOOKUP('Données projet'!$B$16,Paramètres!$A$1:$I$89,3,0)*VLOOKUP('Données projet'!$B$16,Paramètres!$A$1:$I$89,5,0)</f>
        <v>6.7984728957526396E-14</v>
      </c>
      <c r="FG109" s="14">
        <f t="shared" si="101"/>
        <v>1.0682447123141398E-12</v>
      </c>
      <c r="FH109" s="22">
        <f t="shared" si="76"/>
        <v>1.978932943548152E-12</v>
      </c>
      <c r="FI109" s="62">
        <f t="shared" si="77"/>
        <v>271.53422332062496</v>
      </c>
      <c r="FJ109" s="62">
        <f ca="1">AVERAGE(OFFSET($FI$3,0,0,'Données projet'!$E$16+1,1))-AVERAGE(OFFSET($H$3,0,0,'Données projet'!$E$16+1,1))</f>
        <v>341.70983624543067</v>
      </c>
      <c r="FK109" s="62">
        <f t="shared" si="102"/>
        <v>250.82562837973805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4.5084401257576639E-11</v>
      </c>
      <c r="FT109" s="24">
        <f t="shared" si="78"/>
        <v>4.5084401257576639E-11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9</v>
      </c>
      <c r="FZ109" s="13">
        <f>IF('Données projet'!$A$244&gt;35,FZ108+FY109-GH108,IF(A109&lt;'Données projet'!$A$244,$FW$205^A109,IF(A109='Données projet'!$A$244,'Données projet'!$B$244,FZ108+FY109-GH108)))</f>
        <v>437.99999999999972</v>
      </c>
      <c r="GA109" s="18">
        <f>FZ109*VLOOKUP('Données projet'!$B$17,Paramètres!$A$1:$I$89,3,0)*VLOOKUP('Données projet'!$B$17,Paramètres!$A$1:$I$89,5,0)</f>
        <v>204.98399999999987</v>
      </c>
      <c r="GB109" s="14">
        <f t="shared" si="103"/>
        <v>50.837926006791776</v>
      </c>
      <c r="GC109" s="22">
        <f t="shared" si="79"/>
        <v>445.55652112849543</v>
      </c>
      <c r="GD109" s="62">
        <f t="shared" si="80"/>
        <v>717.09074444911835</v>
      </c>
      <c r="GE109" s="62">
        <f ca="1">AVERAGE(OFFSET($GD$3,0,0,'Données projet'!$E$17+1,1))-AVERAGE(OFFSET($H$3,0,0,'Données projet'!$E$17+1,1))</f>
        <v>368.69628434154333</v>
      </c>
      <c r="GF109" s="62">
        <f t="shared" si="104"/>
        <v>202.28197295839524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-1.1368683772161603E-13</v>
      </c>
      <c r="GV109" s="18">
        <f>GU109*VLOOKUP('Données projet'!$B$18,Paramètres!$A$1:$I$89,3,0)*VLOOKUP('Données projet'!$B$18,Paramètres!$A$1:$I$89,5,0)</f>
        <v>-9.9316821433603781E-14</v>
      </c>
      <c r="GW109" s="14" t="e">
        <f t="shared" si="105"/>
        <v>#NUM!</v>
      </c>
      <c r="GX109" s="22" t="e">
        <f t="shared" si="82"/>
        <v>#NUM!</v>
      </c>
      <c r="GY109" s="62" t="e">
        <f t="shared" si="83"/>
        <v>#NUM!</v>
      </c>
      <c r="GZ109" s="62">
        <f ca="1">AVERAGE(OFFSET($GY$3,0,0,'Données projet'!$E$18+1,1))-AVERAGE(OFFSET($H$3,0,0,'Données projet'!$E$18+1,1))</f>
        <v>378.51861272969165</v>
      </c>
      <c r="HA109" s="62">
        <f t="shared" si="106"/>
        <v>387.42368617035459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0</v>
      </c>
      <c r="HH109" s="23">
        <f>EXP(-LN(2)/25)*HH108+(1-EXP(-LN(2)/25))/(LN(2)/25)*Calculateur!HC109*Calculateur!HE109*VLOOKUP('Données projet'!$B$18,Paramètres!$A$1:$I$89,3,0)*0.475*44/12</f>
        <v>0</v>
      </c>
      <c r="HI109" s="23">
        <f>EXP(-LN(2)/2)*HI108+(1-EXP(-LN(2)/2))/(LN(2)/2)*HC109*HF109*VLOOKUP('Données projet'!$B$18,Paramètres!$A$1:$I$89,3,0)*0.475*44/12</f>
        <v>0</v>
      </c>
      <c r="HJ109" s="24">
        <f t="shared" si="84"/>
        <v>0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135.66666666666666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271.91238914383661</v>
      </c>
      <c r="S110" s="62">
        <f ca="1">AVERAGE(OFFSET($R$3,0,0,'Données projet'!$E$9+1,1))-AVERAGE(OFFSET($H$3,0,0,'Données projet'!$E$9+1,1))</f>
        <v>437.94016462147999</v>
      </c>
      <c r="T110" s="62">
        <f t="shared" si="88"/>
        <v>281.88254003380348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2.1064098494073791E-11</v>
      </c>
      <c r="AC110" s="24">
        <f t="shared" si="57"/>
        <v>2.1064098494073791E-11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271.39999999999998</v>
      </c>
      <c r="AJ110" s="14">
        <f>AI110*VLOOKUP('Données projet'!$B$10,Paramètres!$A$1:$I$89,3,0)*VLOOKUP('Données projet'!$B$10,Paramètres!$A$1:$I$89,5,0)</f>
        <v>245.56271999999998</v>
      </c>
      <c r="AK110" s="14">
        <f t="shared" si="89"/>
        <v>59.634776048276898</v>
      </c>
      <c r="AL110" s="22">
        <f t="shared" si="58"/>
        <v>531.55230561741564</v>
      </c>
      <c r="AM110" s="62">
        <f t="shared" si="59"/>
        <v>803.46469476125026</v>
      </c>
      <c r="AN110" s="62">
        <f ca="1">AVERAGE(OFFSET($AM$3,0,0,'Données projet'!$E$10+1,1))-AVERAGE(OFFSET($H$3,0,0,'Données projet'!$E$10+1,1))</f>
        <v>434.56763649859136</v>
      </c>
      <c r="AO110" s="62">
        <f t="shared" si="90"/>
        <v>271.90302066766264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1.1368683772161603E-13</v>
      </c>
      <c r="BE110" s="14">
        <f>BD110*VLOOKUP('Données projet'!$B$11,Paramètres!$A$1:$I$89,3,0)*VLOOKUP('Données projet'!$B$11,Paramètres!$A$1:$I$89,5,0)</f>
        <v>6.7984728957526396E-14</v>
      </c>
      <c r="BF110" s="14">
        <f t="shared" si="91"/>
        <v>1.0682447123141398E-12</v>
      </c>
      <c r="BG110" s="22">
        <f t="shared" si="61"/>
        <v>1.978932943548152E-12</v>
      </c>
      <c r="BH110" s="62">
        <f t="shared" si="62"/>
        <v>271.91238914383661</v>
      </c>
      <c r="BI110" s="62">
        <f ca="1">AVERAGE(OFFSET($BH$3,0,0,'Données projet'!$E$11+1,1))-AVERAGE(OFFSET($H$3,0,0,'Données projet'!$E$11+1,1))</f>
        <v>199.65420589615553</v>
      </c>
      <c r="BJ110" s="62">
        <f t="shared" si="92"/>
        <v>477.85821088970999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11.604528088617984</v>
      </c>
      <c r="BQ110" s="23">
        <f>EXP(-LN(2)/25)*BQ109+(1-EXP(-LN(2)/25))/(LN(2)/25)*Calculateur!BL110*Calculateur!BN110*VLOOKUP('Données projet'!$B$11,Paramètres!$A$1:$I$89,3,0)*0.475*44/12</f>
        <v>5.1972640284590792</v>
      </c>
      <c r="BR110" s="23">
        <f>EXP(-LN(2)/2)*BR109+(1-EXP(-LN(2)/2))/(LN(2)/2)*BL110*BO110*VLOOKUP('Données projet'!$B$11,Paramètres!$A$1:$I$89,3,0)*0.475*44/12</f>
        <v>1.1207446087958606E-10</v>
      </c>
      <c r="BS110" s="24">
        <f t="shared" si="63"/>
        <v>16.801792117189137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1.1368683772161603E-13</v>
      </c>
      <c r="BZ110" s="14">
        <f>BY110*VLOOKUP('Données projet'!$B$12,Paramètres!$A$1:$I$89,3,0)*VLOOKUP('Données projet'!$B$12,Paramètres!$A$1:$I$89,5,0)</f>
        <v>6.7984728957526396E-14</v>
      </c>
      <c r="CA110" s="14">
        <f t="shared" si="93"/>
        <v>1.0682447123141398E-12</v>
      </c>
      <c r="CB110" s="22">
        <f t="shared" si="64"/>
        <v>1.978932943548152E-12</v>
      </c>
      <c r="CC110" s="62">
        <f t="shared" si="65"/>
        <v>271.91238914383661</v>
      </c>
      <c r="CD110" s="62">
        <f ca="1">AVERAGE(OFFSET($CC$3,0,0,'Données projet'!$E$12+1,1))-AVERAGE(OFFSET($H$3,0,0,'Données projet'!$E$12+1,1))</f>
        <v>437.94016462147999</v>
      </c>
      <c r="CE110" s="62">
        <f t="shared" si="94"/>
        <v>281.88254003380348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2.1064098494073791E-11</v>
      </c>
      <c r="CN110" s="24">
        <f t="shared" si="66"/>
        <v>2.1064098494073791E-11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4.2</v>
      </c>
      <c r="CT110" s="13">
        <f>IF('Données projet'!$A$140&gt;35,CT109+CS110-DB109,IF(A110&lt;'Données projet'!$A$140,$CQ$205^A110,IF(A110='Données projet'!$A$140,'Données projet'!$B$140,CT109+CS110-DB109)))</f>
        <v>271.39999999999998</v>
      </c>
      <c r="CU110" s="18">
        <f>CT110*VLOOKUP('Données projet'!$B$13,Paramètres!$A$1:$I$89,3,0)*VLOOKUP('Données projet'!$B$13,Paramètres!$A$1:$I$89,5,0)</f>
        <v>309.07031999999998</v>
      </c>
      <c r="CV110" s="14">
        <f t="shared" si="95"/>
        <v>73.074642059961803</v>
      </c>
      <c r="CW110" s="22">
        <f t="shared" si="67"/>
        <v>665.56914225443347</v>
      </c>
      <c r="CX110" s="62">
        <f t="shared" si="68"/>
        <v>937.48153139826809</v>
      </c>
      <c r="CY110" s="62">
        <f ca="1">AVERAGE(OFFSET($CX$3,0,0,'Données projet'!$E$13+1,1))-AVERAGE(OFFSET($H$3,0,0,'Données projet'!$E$13+1,1))</f>
        <v>520.23742527061836</v>
      </c>
      <c r="CZ110" s="62">
        <f t="shared" si="96"/>
        <v>321.35925479331274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5</v>
      </c>
      <c r="DO110" s="13">
        <f>IF('Données projet'!$A$166&gt;35,DO109+DN110-DW109,IF(A110&lt;'Données projet'!$A$166,$DL$205^A110,IF(A110='Données projet'!$A$166,'Données projet'!$B$166,DO109+DN110-DW109)))</f>
        <v>316.99999999999989</v>
      </c>
      <c r="DP110" s="18">
        <f>DO110*VLOOKUP('Données projet'!$B$14,Paramètres!$A$1:$I$89,3,0)*VLOOKUP('Données projet'!$B$14,Paramètres!$A$1:$I$89,5,0)</f>
        <v>321.43799999999987</v>
      </c>
      <c r="DQ110" s="14">
        <f t="shared" si="97"/>
        <v>75.652479406660177</v>
      </c>
      <c r="DR110" s="22">
        <f t="shared" si="70"/>
        <v>691.59925163326625</v>
      </c>
      <c r="DS110" s="62">
        <f t="shared" si="71"/>
        <v>963.51164077710087</v>
      </c>
      <c r="DT110" s="62">
        <f ca="1">AVERAGE(OFFSET($DS$3,0,0,'Données projet'!$E$14+1,1))-AVERAGE(OFFSET($H$3,0,0,'Données projet'!$E$14+1,1))</f>
        <v>547.89540791313675</v>
      </c>
      <c r="DU110" s="62">
        <f t="shared" si="98"/>
        <v>345.19555189302378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5.6843418860808015E-14</v>
      </c>
      <c r="EK110" s="18">
        <f>EJ110*VLOOKUP('Données projet'!$B$15,Paramètres!$A$1:$I$89,3,0)*VLOOKUP('Données projet'!$B$15,Paramètres!$A$1:$I$89,5,0)</f>
        <v>5.9412741393316544E-14</v>
      </c>
      <c r="EL110" s="14">
        <f t="shared" si="99"/>
        <v>9.483138037075782E-13</v>
      </c>
      <c r="EM110" s="22">
        <f t="shared" si="73"/>
        <v>1.7551237327173916E-12</v>
      </c>
      <c r="EN110" s="62">
        <f t="shared" si="74"/>
        <v>271.91238914383638</v>
      </c>
      <c r="EO110" s="62">
        <f ca="1">AVERAGE(OFFSET($EN$3,0,0,'Données projet'!$E$15+1,1))-AVERAGE(OFFSET($H$3,0,0,'Données projet'!$E$15+1,1))</f>
        <v>418.23737352070503</v>
      </c>
      <c r="EP110" s="62">
        <f t="shared" si="100"/>
        <v>496.10742685332968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1.1368683772161603E-13</v>
      </c>
      <c r="FF110" s="18">
        <f>FE110*VLOOKUP('Données projet'!$B$16,Paramètres!$A$1:$I$89,3,0)*VLOOKUP('Données projet'!$B$16,Paramètres!$A$1:$I$89,5,0)</f>
        <v>6.7984728957526396E-14</v>
      </c>
      <c r="FG110" s="14">
        <f t="shared" si="101"/>
        <v>1.0682447123141398E-12</v>
      </c>
      <c r="FH110" s="22">
        <f t="shared" si="76"/>
        <v>1.978932943548152E-12</v>
      </c>
      <c r="FI110" s="62">
        <f t="shared" si="77"/>
        <v>271.91238914383661</v>
      </c>
      <c r="FJ110" s="62">
        <f ca="1">AVERAGE(OFFSET($FI$3,0,0,'Données projet'!$E$16+1,1))-AVERAGE(OFFSET($H$3,0,0,'Données projet'!$E$16+1,1))</f>
        <v>341.70983624543067</v>
      </c>
      <c r="FK110" s="62">
        <f t="shared" si="102"/>
        <v>250.82562837973805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3.1879485854967752E-11</v>
      </c>
      <c r="FT110" s="24">
        <f t="shared" si="78"/>
        <v>3.1879485854967752E-11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9</v>
      </c>
      <c r="FZ110" s="13">
        <f>IF('Données projet'!$A$244&gt;35,FZ109+FY110-GH109,IF(A110&lt;'Données projet'!$A$244,$FW$205^A110,IF(A110='Données projet'!$A$244,'Données projet'!$B$244,FZ109+FY110-GH109)))</f>
        <v>446.99999999999972</v>
      </c>
      <c r="GA110" s="18">
        <f>FZ110*VLOOKUP('Données projet'!$B$17,Paramètres!$A$1:$I$89,3,0)*VLOOKUP('Données projet'!$B$17,Paramètres!$A$1:$I$89,5,0)</f>
        <v>209.19599999999988</v>
      </c>
      <c r="GB110" s="14">
        <f t="shared" si="103"/>
        <v>51.759852265375784</v>
      </c>
      <c r="GC110" s="22">
        <f t="shared" si="79"/>
        <v>454.49810936219592</v>
      </c>
      <c r="GD110" s="62">
        <f t="shared" si="80"/>
        <v>726.41049850603054</v>
      </c>
      <c r="GE110" s="62">
        <f ca="1">AVERAGE(OFFSET($GD$3,0,0,'Données projet'!$E$17+1,1))-AVERAGE(OFFSET($H$3,0,0,'Données projet'!$E$17+1,1))</f>
        <v>368.69628434154333</v>
      </c>
      <c r="GF110" s="62">
        <f t="shared" si="104"/>
        <v>202.28197295839524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-1.1368683772161603E-13</v>
      </c>
      <c r="GV110" s="18">
        <f>GU110*VLOOKUP('Données projet'!$B$18,Paramètres!$A$1:$I$89,3,0)*VLOOKUP('Données projet'!$B$18,Paramètres!$A$1:$I$89,5,0)</f>
        <v>-9.9316821433603781E-14</v>
      </c>
      <c r="GW110" s="14" t="e">
        <f t="shared" si="105"/>
        <v>#NUM!</v>
      </c>
      <c r="GX110" s="22" t="e">
        <f t="shared" si="82"/>
        <v>#NUM!</v>
      </c>
      <c r="GY110" s="62" t="e">
        <f t="shared" si="83"/>
        <v>#NUM!</v>
      </c>
      <c r="GZ110" s="62">
        <f ca="1">AVERAGE(OFFSET($GY$3,0,0,'Données projet'!$E$18+1,1))-AVERAGE(OFFSET($H$3,0,0,'Données projet'!$E$18+1,1))</f>
        <v>378.51861272969165</v>
      </c>
      <c r="HA110" s="62">
        <f t="shared" si="106"/>
        <v>387.42368617035459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0</v>
      </c>
      <c r="HH110" s="23">
        <f>EXP(-LN(2)/25)*HH109+(1-EXP(-LN(2)/25))/(LN(2)/25)*Calculateur!HC110*Calculateur!HE110*VLOOKUP('Données projet'!$B$18,Paramètres!$A$1:$I$89,3,0)*0.475*44/12</f>
        <v>0</v>
      </c>
      <c r="HI110" s="23">
        <f>EXP(-LN(2)/2)*HI109+(1-EXP(-LN(2)/2))/(LN(2)/2)*HC110*HF110*VLOOKUP('Données projet'!$B$18,Paramètres!$A$1:$I$89,3,0)*0.475*44/12</f>
        <v>0</v>
      </c>
      <c r="HJ110" s="24">
        <f t="shared" si="84"/>
        <v>0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135.66666666666666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272.28399463546771</v>
      </c>
      <c r="S111" s="62">
        <f ca="1">AVERAGE(OFFSET($R$3,0,0,'Données projet'!$E$9+1,1))-AVERAGE(OFFSET($H$3,0,0,'Données projet'!$E$9+1,1))</f>
        <v>437.94016462147999</v>
      </c>
      <c r="T111" s="62">
        <f t="shared" si="88"/>
        <v>281.88254003380348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1.4894566884740921E-11</v>
      </c>
      <c r="AC111" s="24">
        <f t="shared" si="57"/>
        <v>1.4894566884740921E-11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275.59999999999997</v>
      </c>
      <c r="AJ111" s="14">
        <f>AI111*VLOOKUP('Données projet'!$B$10,Paramètres!$A$1:$I$89,3,0)*VLOOKUP('Données projet'!$B$10,Paramètres!$A$1:$I$89,5,0)</f>
        <v>249.36287999999993</v>
      </c>
      <c r="AK111" s="14">
        <f t="shared" si="89"/>
        <v>60.449490938742557</v>
      </c>
      <c r="AL111" s="22">
        <f t="shared" si="58"/>
        <v>539.58987938497648</v>
      </c>
      <c r="AM111" s="62">
        <f t="shared" si="59"/>
        <v>811.87387402044214</v>
      </c>
      <c r="AN111" s="62">
        <f ca="1">AVERAGE(OFFSET($AM$3,0,0,'Données projet'!$E$10+1,1))-AVERAGE(OFFSET($H$3,0,0,'Données projet'!$E$10+1,1))</f>
        <v>434.56763649859136</v>
      </c>
      <c r="AO111" s="62">
        <f t="shared" si="90"/>
        <v>271.90302066766264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1.1368683772161603E-13</v>
      </c>
      <c r="BE111" s="14">
        <f>BD111*VLOOKUP('Données projet'!$B$11,Paramètres!$A$1:$I$89,3,0)*VLOOKUP('Données projet'!$B$11,Paramètres!$A$1:$I$89,5,0)</f>
        <v>6.7984728957526396E-14</v>
      </c>
      <c r="BF111" s="14">
        <f t="shared" si="91"/>
        <v>1.0682447123141398E-12</v>
      </c>
      <c r="BG111" s="22">
        <f t="shared" si="61"/>
        <v>1.978932943548152E-12</v>
      </c>
      <c r="BH111" s="62">
        <f t="shared" si="62"/>
        <v>272.28399463546771</v>
      </c>
      <c r="BI111" s="62">
        <f ca="1">AVERAGE(OFFSET($BH$3,0,0,'Données projet'!$E$11+1,1))-AVERAGE(OFFSET($H$3,0,0,'Données projet'!$E$11+1,1))</f>
        <v>199.65420589615553</v>
      </c>
      <c r="BJ111" s="62">
        <f t="shared" si="92"/>
        <v>477.85821088970999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11.376970370863418</v>
      </c>
      <c r="BQ111" s="23">
        <f>EXP(-LN(2)/25)*BQ110+(1-EXP(-LN(2)/25))/(LN(2)/25)*Calculateur!BL111*Calculateur!BN111*VLOOKUP('Données projet'!$B$11,Paramètres!$A$1:$I$89,3,0)*0.475*44/12</f>
        <v>5.0551445702886291</v>
      </c>
      <c r="BR111" s="23">
        <f>EXP(-LN(2)/2)*BR110+(1-EXP(-LN(2)/2))/(LN(2)/2)*BL111*BO111*VLOOKUP('Données projet'!$B$11,Paramètres!$A$1:$I$89,3,0)*0.475*44/12</f>
        <v>7.9248611285781742E-11</v>
      </c>
      <c r="BS111" s="24">
        <f t="shared" si="63"/>
        <v>16.432114941231298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1.1368683772161603E-13</v>
      </c>
      <c r="BZ111" s="14">
        <f>BY111*VLOOKUP('Données projet'!$B$12,Paramètres!$A$1:$I$89,3,0)*VLOOKUP('Données projet'!$B$12,Paramètres!$A$1:$I$89,5,0)</f>
        <v>6.7984728957526396E-14</v>
      </c>
      <c r="CA111" s="14">
        <f t="shared" si="93"/>
        <v>1.0682447123141398E-12</v>
      </c>
      <c r="CB111" s="22">
        <f t="shared" si="64"/>
        <v>1.978932943548152E-12</v>
      </c>
      <c r="CC111" s="62">
        <f t="shared" si="65"/>
        <v>272.28399463546771</v>
      </c>
      <c r="CD111" s="62">
        <f ca="1">AVERAGE(OFFSET($CC$3,0,0,'Données projet'!$E$12+1,1))-AVERAGE(OFFSET($H$3,0,0,'Données projet'!$E$12+1,1))</f>
        <v>437.94016462147999</v>
      </c>
      <c r="CE111" s="62">
        <f t="shared" si="94"/>
        <v>281.88254003380348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1.4894566884740921E-11</v>
      </c>
      <c r="CN111" s="24">
        <f t="shared" si="66"/>
        <v>1.4894566884740921E-11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4.2</v>
      </c>
      <c r="CT111" s="13">
        <f>IF('Données projet'!$A$140&gt;35,CT110+CS111-DB110,IF(A111&lt;'Données projet'!$A$140,$CQ$205^A111,IF(A111='Données projet'!$A$140,'Données projet'!$B$140,CT110+CS111-DB110)))</f>
        <v>275.59999999999997</v>
      </c>
      <c r="CU111" s="18">
        <f>CT111*VLOOKUP('Données projet'!$B$13,Paramètres!$A$1:$I$89,3,0)*VLOOKUP('Données projet'!$B$13,Paramètres!$A$1:$I$89,5,0)</f>
        <v>313.85327999999993</v>
      </c>
      <c r="CV111" s="14">
        <f t="shared" si="95"/>
        <v>74.072968924700987</v>
      </c>
      <c r="CW111" s="22">
        <f t="shared" si="67"/>
        <v>675.63821687718735</v>
      </c>
      <c r="CX111" s="62">
        <f t="shared" si="68"/>
        <v>947.92221151265312</v>
      </c>
      <c r="CY111" s="62">
        <f ca="1">AVERAGE(OFFSET($CX$3,0,0,'Données projet'!$E$13+1,1))-AVERAGE(OFFSET($H$3,0,0,'Données projet'!$E$13+1,1))</f>
        <v>520.23742527061836</v>
      </c>
      <c r="CZ111" s="62">
        <f t="shared" si="96"/>
        <v>321.35925479331274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5</v>
      </c>
      <c r="DO111" s="13">
        <f>IF('Données projet'!$A$166&gt;35,DO110+DN111-DW110,IF(A111&lt;'Données projet'!$A$166,$DL$205^A111,IF(A111='Données projet'!$A$166,'Données projet'!$B$166,DO110+DN111-DW110)))</f>
        <v>321.99999999999989</v>
      </c>
      <c r="DP111" s="18">
        <f>DO111*VLOOKUP('Données projet'!$B$14,Paramètres!$A$1:$I$89,3,0)*VLOOKUP('Données projet'!$B$14,Paramètres!$A$1:$I$89,5,0)</f>
        <v>326.50799999999987</v>
      </c>
      <c r="DQ111" s="14">
        <f t="shared" si="97"/>
        <v>76.705878841344258</v>
      </c>
      <c r="DR111" s="22">
        <f t="shared" si="70"/>
        <v>702.26417231534106</v>
      </c>
      <c r="DS111" s="62">
        <f t="shared" si="71"/>
        <v>974.54816695080672</v>
      </c>
      <c r="DT111" s="62">
        <f ca="1">AVERAGE(OFFSET($DS$3,0,0,'Données projet'!$E$14+1,1))-AVERAGE(OFFSET($H$3,0,0,'Données projet'!$E$14+1,1))</f>
        <v>547.89540791313675</v>
      </c>
      <c r="DU111" s="62">
        <f t="shared" si="98"/>
        <v>345.19555189302378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5.6843418860808015E-14</v>
      </c>
      <c r="EK111" s="18">
        <f>EJ111*VLOOKUP('Données projet'!$B$15,Paramètres!$A$1:$I$89,3,0)*VLOOKUP('Données projet'!$B$15,Paramètres!$A$1:$I$89,5,0)</f>
        <v>5.9412741393316544E-14</v>
      </c>
      <c r="EL111" s="14">
        <f t="shared" si="99"/>
        <v>9.483138037075782E-13</v>
      </c>
      <c r="EM111" s="22">
        <f t="shared" si="73"/>
        <v>1.7551237327173916E-12</v>
      </c>
      <c r="EN111" s="62">
        <f t="shared" si="74"/>
        <v>272.28399463546748</v>
      </c>
      <c r="EO111" s="62">
        <f ca="1">AVERAGE(OFFSET($EN$3,0,0,'Données projet'!$E$15+1,1))-AVERAGE(OFFSET($H$3,0,0,'Données projet'!$E$15+1,1))</f>
        <v>418.23737352070503</v>
      </c>
      <c r="EP111" s="62">
        <f t="shared" si="100"/>
        <v>496.10742685332968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1.1368683772161603E-13</v>
      </c>
      <c r="FF111" s="18">
        <f>FE111*VLOOKUP('Données projet'!$B$16,Paramètres!$A$1:$I$89,3,0)*VLOOKUP('Données projet'!$B$16,Paramètres!$A$1:$I$89,5,0)</f>
        <v>6.7984728957526396E-14</v>
      </c>
      <c r="FG111" s="14">
        <f t="shared" si="101"/>
        <v>1.0682447123141398E-12</v>
      </c>
      <c r="FH111" s="22">
        <f t="shared" si="76"/>
        <v>1.978932943548152E-12</v>
      </c>
      <c r="FI111" s="62">
        <f t="shared" si="77"/>
        <v>272.28399463546771</v>
      </c>
      <c r="FJ111" s="62">
        <f ca="1">AVERAGE(OFFSET($FI$3,0,0,'Données projet'!$E$16+1,1))-AVERAGE(OFFSET($H$3,0,0,'Données projet'!$E$16+1,1))</f>
        <v>341.70983624543067</v>
      </c>
      <c r="FK111" s="62">
        <f t="shared" si="102"/>
        <v>250.82562837973805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2.2542200628788319E-11</v>
      </c>
      <c r="FT111" s="24">
        <f t="shared" si="78"/>
        <v>2.2542200628788319E-11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>
        <f>VLOOKUP(A111,'Données projet'!$A$243:$I$263,2,0)</f>
        <v>456</v>
      </c>
      <c r="FX111" s="13">
        <f>VLOOKUP(A111,'Données projet'!$A$243:$I$263,9,0)</f>
        <v>9</v>
      </c>
      <c r="FY111" s="13">
        <f t="array" ref="FY111">INDEX(FX:FX,MIN(IF(ISNUMBER(FX111:FX307),ROW(FX111:FX307),"")))</f>
        <v>9</v>
      </c>
      <c r="FZ111" s="13">
        <f>IF('Données projet'!$A$244&gt;35,FZ110+FY111-GH110,IF(A111&lt;'Données projet'!$A$244,$FW$205^A111,IF(A111='Données projet'!$A$244,'Données projet'!$B$244,FZ110+FY111-GH110)))</f>
        <v>455.99999999999972</v>
      </c>
      <c r="GA111" s="18">
        <f>FZ111*VLOOKUP('Données projet'!$B$17,Paramètres!$A$1:$I$89,3,0)*VLOOKUP('Données projet'!$B$17,Paramètres!$A$1:$I$89,5,0)</f>
        <v>213.40799999999984</v>
      </c>
      <c r="GB111" s="14">
        <f t="shared" si="103"/>
        <v>52.679620251058907</v>
      </c>
      <c r="GC111" s="22">
        <f t="shared" si="79"/>
        <v>463.4359386039273</v>
      </c>
      <c r="GD111" s="62">
        <f t="shared" si="80"/>
        <v>735.71993323939296</v>
      </c>
      <c r="GE111" s="62">
        <f ca="1">AVERAGE(OFFSET($GD$3,0,0,'Données projet'!$E$17+1,1))-AVERAGE(OFFSET($H$3,0,0,'Données projet'!$E$17+1,1))</f>
        <v>368.69628434154333</v>
      </c>
      <c r="GF111" s="62">
        <f t="shared" si="104"/>
        <v>202.28197295839524</v>
      </c>
      <c r="GG111" s="16">
        <f>IF(ISNA(VLOOKUP(A111,'Données projet'!$A$243:$I$263,3,0)),0,VLOOKUP(A111,'Données projet'!$A$243:$I$263,3,0))</f>
        <v>14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-1.1368683772161603E-13</v>
      </c>
      <c r="GV111" s="18">
        <f>GU111*VLOOKUP('Données projet'!$B$18,Paramètres!$A$1:$I$89,3,0)*VLOOKUP('Données projet'!$B$18,Paramètres!$A$1:$I$89,5,0)</f>
        <v>-9.9316821433603781E-14</v>
      </c>
      <c r="GW111" s="14" t="e">
        <f t="shared" si="105"/>
        <v>#NUM!</v>
      </c>
      <c r="GX111" s="22" t="e">
        <f t="shared" si="82"/>
        <v>#NUM!</v>
      </c>
      <c r="GY111" s="62" t="e">
        <f t="shared" si="83"/>
        <v>#NUM!</v>
      </c>
      <c r="GZ111" s="62">
        <f ca="1">AVERAGE(OFFSET($GY$3,0,0,'Données projet'!$E$18+1,1))-AVERAGE(OFFSET($H$3,0,0,'Données projet'!$E$18+1,1))</f>
        <v>378.51861272969165</v>
      </c>
      <c r="HA111" s="62">
        <f t="shared" si="106"/>
        <v>387.42368617035459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0</v>
      </c>
      <c r="HH111" s="23">
        <f>EXP(-LN(2)/25)*HH110+(1-EXP(-LN(2)/25))/(LN(2)/25)*Calculateur!HC111*Calculateur!HE111*VLOOKUP('Données projet'!$B$18,Paramètres!$A$1:$I$89,3,0)*0.475*44/12</f>
        <v>0</v>
      </c>
      <c r="HI111" s="23">
        <f>EXP(-LN(2)/2)*HI110+(1-EXP(-LN(2)/2))/(LN(2)/2)*HC111*HF111*VLOOKUP('Données projet'!$B$18,Paramètres!$A$1:$I$89,3,0)*0.475*44/12</f>
        <v>0</v>
      </c>
      <c r="HJ111" s="24">
        <f t="shared" si="84"/>
        <v>0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135.66666666666666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272.64915360260431</v>
      </c>
      <c r="S112" s="62">
        <f ca="1">AVERAGE(OFFSET($R$3,0,0,'Données projet'!$E$9+1,1))-AVERAGE(OFFSET($H$3,0,0,'Données projet'!$E$9+1,1))</f>
        <v>437.94016462147999</v>
      </c>
      <c r="T112" s="62">
        <f t="shared" si="88"/>
        <v>281.88254003380348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1.0532049247036895E-11</v>
      </c>
      <c r="AC112" s="24">
        <f t="shared" si="57"/>
        <v>1.0532049247036895E-11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279.79999999999995</v>
      </c>
      <c r="AJ112" s="14">
        <f>AI112*VLOOKUP('Données projet'!$B$10,Paramètres!$A$1:$I$89,3,0)*VLOOKUP('Données projet'!$B$10,Paramètres!$A$1:$I$89,5,0)</f>
        <v>253.16303999999994</v>
      </c>
      <c r="AK112" s="14">
        <f t="shared" si="89"/>
        <v>61.262761848635037</v>
      </c>
      <c r="AL112" s="22">
        <f t="shared" si="58"/>
        <v>547.62493821970588</v>
      </c>
      <c r="AM112" s="62">
        <f t="shared" si="59"/>
        <v>820.27409182230826</v>
      </c>
      <c r="AN112" s="62">
        <f ca="1">AVERAGE(OFFSET($AM$3,0,0,'Données projet'!$E$10+1,1))-AVERAGE(OFFSET($H$3,0,0,'Données projet'!$E$10+1,1))</f>
        <v>434.56763649859136</v>
      </c>
      <c r="AO112" s="62">
        <f t="shared" si="90"/>
        <v>271.90302066766264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1.1368683772161603E-13</v>
      </c>
      <c r="BE112" s="14">
        <f>BD112*VLOOKUP('Données projet'!$B$11,Paramètres!$A$1:$I$89,3,0)*VLOOKUP('Données projet'!$B$11,Paramètres!$A$1:$I$89,5,0)</f>
        <v>6.7984728957526396E-14</v>
      </c>
      <c r="BF112" s="14">
        <f t="shared" si="91"/>
        <v>1.0682447123141398E-12</v>
      </c>
      <c r="BG112" s="22">
        <f t="shared" si="61"/>
        <v>1.978932943548152E-12</v>
      </c>
      <c r="BH112" s="62">
        <f t="shared" si="62"/>
        <v>272.64915360260431</v>
      </c>
      <c r="BI112" s="62">
        <f ca="1">AVERAGE(OFFSET($BH$3,0,0,'Données projet'!$E$11+1,1))-AVERAGE(OFFSET($H$3,0,0,'Données projet'!$E$11+1,1))</f>
        <v>199.65420589615553</v>
      </c>
      <c r="BJ112" s="62">
        <f t="shared" si="92"/>
        <v>477.85821088970999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11.153874921157517</v>
      </c>
      <c r="BQ112" s="23">
        <f>EXP(-LN(2)/25)*BQ111+(1-EXP(-LN(2)/25))/(LN(2)/25)*Calculateur!BL112*Calculateur!BN112*VLOOKUP('Données projet'!$B$11,Paramètres!$A$1:$I$89,3,0)*0.475*44/12</f>
        <v>4.9169113761755874</v>
      </c>
      <c r="BR112" s="23">
        <f>EXP(-LN(2)/2)*BR111+(1-EXP(-LN(2)/2))/(LN(2)/2)*BL112*BO112*VLOOKUP('Données projet'!$B$11,Paramètres!$A$1:$I$89,3,0)*0.475*44/12</f>
        <v>5.6037230439793034E-11</v>
      </c>
      <c r="BS112" s="24">
        <f t="shared" si="63"/>
        <v>16.070786297389141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1.1368683772161603E-13</v>
      </c>
      <c r="BZ112" s="14">
        <f>BY112*VLOOKUP('Données projet'!$B$12,Paramètres!$A$1:$I$89,3,0)*VLOOKUP('Données projet'!$B$12,Paramètres!$A$1:$I$89,5,0)</f>
        <v>6.7984728957526396E-14</v>
      </c>
      <c r="CA112" s="14">
        <f t="shared" si="93"/>
        <v>1.0682447123141398E-12</v>
      </c>
      <c r="CB112" s="22">
        <f t="shared" si="64"/>
        <v>1.978932943548152E-12</v>
      </c>
      <c r="CC112" s="62">
        <f t="shared" si="65"/>
        <v>272.64915360260431</v>
      </c>
      <c r="CD112" s="62">
        <f ca="1">AVERAGE(OFFSET($CC$3,0,0,'Données projet'!$E$12+1,1))-AVERAGE(OFFSET($H$3,0,0,'Données projet'!$E$12+1,1))</f>
        <v>437.94016462147999</v>
      </c>
      <c r="CE112" s="62">
        <f t="shared" si="94"/>
        <v>281.88254003380348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1.0532049247036895E-11</v>
      </c>
      <c r="CN112" s="24">
        <f t="shared" si="66"/>
        <v>1.0532049247036895E-11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4.2</v>
      </c>
      <c r="CT112" s="13">
        <f>IF('Données projet'!$A$140&gt;35,CT111+CS112-DB111,IF(A112&lt;'Données projet'!$A$140,$CQ$205^A112,IF(A112='Données projet'!$A$140,'Données projet'!$B$140,CT111+CS112-DB111)))</f>
        <v>279.79999999999995</v>
      </c>
      <c r="CU112" s="18">
        <f>CT112*VLOOKUP('Données projet'!$B$13,Paramètres!$A$1:$I$89,3,0)*VLOOKUP('Données projet'!$B$13,Paramètres!$A$1:$I$89,5,0)</f>
        <v>318.63623999999993</v>
      </c>
      <c r="CV112" s="14">
        <f t="shared" si="95"/>
        <v>75.069526379533471</v>
      </c>
      <c r="CW112" s="22">
        <f t="shared" si="67"/>
        <v>685.70420977768742</v>
      </c>
      <c r="CX112" s="62">
        <f t="shared" si="68"/>
        <v>958.35336338028969</v>
      </c>
      <c r="CY112" s="62">
        <f ca="1">AVERAGE(OFFSET($CX$3,0,0,'Données projet'!$E$13+1,1))-AVERAGE(OFFSET($H$3,0,0,'Données projet'!$E$13+1,1))</f>
        <v>520.23742527061836</v>
      </c>
      <c r="CZ112" s="62">
        <f t="shared" si="96"/>
        <v>321.35925479331274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5</v>
      </c>
      <c r="DO112" s="13">
        <f>IF('Données projet'!$A$166&gt;35,DO111+DN112-DW111,IF(A112&lt;'Données projet'!$A$166,$DL$205^A112,IF(A112='Données projet'!$A$166,'Données projet'!$B$166,DO111+DN112-DW111)))</f>
        <v>326.99999999999989</v>
      </c>
      <c r="DP112" s="18">
        <f>DO112*VLOOKUP('Données projet'!$B$14,Paramètres!$A$1:$I$89,3,0)*VLOOKUP('Données projet'!$B$14,Paramètres!$A$1:$I$89,5,0)</f>
        <v>331.57799999999992</v>
      </c>
      <c r="DQ112" s="14">
        <f t="shared" si="97"/>
        <v>77.75737594442586</v>
      </c>
      <c r="DR112" s="22">
        <f t="shared" si="70"/>
        <v>712.92577976987479</v>
      </c>
      <c r="DS112" s="62">
        <f t="shared" si="71"/>
        <v>985.57493337247706</v>
      </c>
      <c r="DT112" s="62">
        <f ca="1">AVERAGE(OFFSET($DS$3,0,0,'Données projet'!$E$14+1,1))-AVERAGE(OFFSET($H$3,0,0,'Données projet'!$E$14+1,1))</f>
        <v>547.89540791313675</v>
      </c>
      <c r="DU112" s="62">
        <f t="shared" si="98"/>
        <v>345.19555189302378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5.6843418860808015E-14</v>
      </c>
      <c r="EK112" s="18">
        <f>EJ112*VLOOKUP('Données projet'!$B$15,Paramètres!$A$1:$I$89,3,0)*VLOOKUP('Données projet'!$B$15,Paramètres!$A$1:$I$89,5,0)</f>
        <v>5.9412741393316544E-14</v>
      </c>
      <c r="EL112" s="14">
        <f t="shared" si="99"/>
        <v>9.483138037075782E-13</v>
      </c>
      <c r="EM112" s="22">
        <f t="shared" si="73"/>
        <v>1.7551237327173916E-12</v>
      </c>
      <c r="EN112" s="62">
        <f t="shared" si="74"/>
        <v>272.64915360260409</v>
      </c>
      <c r="EO112" s="62">
        <f ca="1">AVERAGE(OFFSET($EN$3,0,0,'Données projet'!$E$15+1,1))-AVERAGE(OFFSET($H$3,0,0,'Données projet'!$E$15+1,1))</f>
        <v>418.23737352070503</v>
      </c>
      <c r="EP112" s="62">
        <f t="shared" si="100"/>
        <v>496.10742685332968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1.1368683772161603E-13</v>
      </c>
      <c r="FF112" s="18">
        <f>FE112*VLOOKUP('Données projet'!$B$16,Paramètres!$A$1:$I$89,3,0)*VLOOKUP('Données projet'!$B$16,Paramètres!$A$1:$I$89,5,0)</f>
        <v>6.7984728957526396E-14</v>
      </c>
      <c r="FG112" s="14">
        <f t="shared" si="101"/>
        <v>1.0682447123141398E-12</v>
      </c>
      <c r="FH112" s="22">
        <f t="shared" si="76"/>
        <v>1.978932943548152E-12</v>
      </c>
      <c r="FI112" s="62">
        <f t="shared" si="77"/>
        <v>272.64915360260431</v>
      </c>
      <c r="FJ112" s="62">
        <f ca="1">AVERAGE(OFFSET($FI$3,0,0,'Données projet'!$E$16+1,1))-AVERAGE(OFFSET($H$3,0,0,'Données projet'!$E$16+1,1))</f>
        <v>341.70983624543067</v>
      </c>
      <c r="FK112" s="62">
        <f t="shared" si="102"/>
        <v>250.82562837973805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1.5939742927483876E-11</v>
      </c>
      <c r="FT112" s="24">
        <f t="shared" si="78"/>
        <v>1.5939742927483876E-11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>
        <f>VLOOKUP(A112,'Données projet'!$A$243:$I$263,2,0)</f>
        <v>465</v>
      </c>
      <c r="FX112" s="13">
        <f>VLOOKUP(A112,'Données projet'!$A$243:$I$263,9,0)</f>
        <v>9</v>
      </c>
      <c r="FY112" s="13">
        <f t="array" ref="FY112">INDEX(FX:FX,MIN(IF(ISNUMBER(FX112:FX308),ROW(FX112:FX308),"")))</f>
        <v>9</v>
      </c>
      <c r="FZ112" s="13">
        <f>IF('Données projet'!$A$244&gt;35,FZ111+FY112-GH111,IF(A112&lt;'Données projet'!$A$244,$FW$205^A112,IF(A112='Données projet'!$A$244,'Données projet'!$B$244,FZ111+FY112-GH111)))</f>
        <v>464.99999999999972</v>
      </c>
      <c r="GA112" s="18">
        <f>FZ112*VLOOKUP('Données projet'!$B$17,Paramètres!$A$1:$I$89,3,0)*VLOOKUP('Données projet'!$B$17,Paramètres!$A$1:$I$89,5,0)</f>
        <v>217.61999999999986</v>
      </c>
      <c r="GB112" s="14">
        <f t="shared" si="103"/>
        <v>53.597277471320048</v>
      </c>
      <c r="GC112" s="22">
        <f t="shared" si="79"/>
        <v>472.37009159588212</v>
      </c>
      <c r="GD112" s="62">
        <f t="shared" si="80"/>
        <v>745.01924519848444</v>
      </c>
      <c r="GE112" s="62">
        <f ca="1">AVERAGE(OFFSET($GD$3,0,0,'Données projet'!$E$17+1,1))-AVERAGE(OFFSET($H$3,0,0,'Données projet'!$E$17+1,1))</f>
        <v>368.69628434154333</v>
      </c>
      <c r="GF112" s="62">
        <f t="shared" si="104"/>
        <v>202.28197295839524</v>
      </c>
      <c r="GG112" s="16">
        <f>IF(ISNA(VLOOKUP(A112,'Données projet'!$A$243:$I$263,3,0)),0,VLOOKUP(A112,'Données projet'!$A$243:$I$263,3,0))</f>
        <v>15</v>
      </c>
      <c r="GH112" s="16">
        <f>IF(ISNA(VLOOKUP(A112,'Données projet'!$A$243:$I$263,4,0)),0,VLOOKUP(A112,'Données projet'!$A$243:$I$263,4,0))</f>
        <v>91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-1.1368683772161603E-13</v>
      </c>
      <c r="GV112" s="18">
        <f>GU112*VLOOKUP('Données projet'!$B$18,Paramètres!$A$1:$I$89,3,0)*VLOOKUP('Données projet'!$B$18,Paramètres!$A$1:$I$89,5,0)</f>
        <v>-9.9316821433603781E-14</v>
      </c>
      <c r="GW112" s="14" t="e">
        <f t="shared" si="105"/>
        <v>#NUM!</v>
      </c>
      <c r="GX112" s="22" t="e">
        <f t="shared" si="82"/>
        <v>#NUM!</v>
      </c>
      <c r="GY112" s="62" t="e">
        <f t="shared" si="83"/>
        <v>#NUM!</v>
      </c>
      <c r="GZ112" s="62">
        <f ca="1">AVERAGE(OFFSET($GY$3,0,0,'Données projet'!$E$18+1,1))-AVERAGE(OFFSET($H$3,0,0,'Données projet'!$E$18+1,1))</f>
        <v>378.51861272969165</v>
      </c>
      <c r="HA112" s="62">
        <f t="shared" si="106"/>
        <v>387.42368617035459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0</v>
      </c>
      <c r="HH112" s="23">
        <f>EXP(-LN(2)/25)*HH111+(1-EXP(-LN(2)/25))/(LN(2)/25)*Calculateur!HC112*Calculateur!HE112*VLOOKUP('Données projet'!$B$18,Paramètres!$A$1:$I$89,3,0)*0.475*44/12</f>
        <v>0</v>
      </c>
      <c r="HI112" s="23">
        <f>EXP(-LN(2)/2)*HI111+(1-EXP(-LN(2)/2))/(LN(2)/2)*HC112*HF112*VLOOKUP('Données projet'!$B$18,Paramètres!$A$1:$I$89,3,0)*0.475*44/12</f>
        <v>0</v>
      </c>
      <c r="HJ112" s="24">
        <f t="shared" si="84"/>
        <v>0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135.66666666666666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273.00797787803435</v>
      </c>
      <c r="S113" s="62">
        <f ca="1">AVERAGE(OFFSET($R$3,0,0,'Données projet'!$E$9+1,1))-AVERAGE(OFFSET($H$3,0,0,'Données projet'!$E$9+1,1))</f>
        <v>437.94016462147999</v>
      </c>
      <c r="T113" s="62">
        <f t="shared" si="88"/>
        <v>281.88254003380348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7.4472834423704606E-12</v>
      </c>
      <c r="AC113" s="24">
        <f t="shared" si="57"/>
        <v>7.4472834423704606E-12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284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283.99999999999994</v>
      </c>
      <c r="AJ113" s="14">
        <f>AI113*VLOOKUP('Données projet'!$B$10,Paramètres!$A$1:$I$89,3,0)*VLOOKUP('Données projet'!$B$10,Paramètres!$A$1:$I$89,5,0)</f>
        <v>256.96319999999992</v>
      </c>
      <c r="AK113" s="14">
        <f t="shared" si="89"/>
        <v>62.074612956838024</v>
      </c>
      <c r="AL113" s="22">
        <f t="shared" si="58"/>
        <v>555.65752423315928</v>
      </c>
      <c r="AM113" s="62">
        <f t="shared" si="59"/>
        <v>828.6655021111917</v>
      </c>
      <c r="AN113" s="62">
        <f ca="1">AVERAGE(OFFSET($AM$3,0,0,'Données projet'!$E$10+1,1))-AVERAGE(OFFSET($H$3,0,0,'Données projet'!$E$10+1,1))</f>
        <v>434.56763649859136</v>
      </c>
      <c r="AO113" s="62">
        <f t="shared" si="90"/>
        <v>271.90302066766264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1.1368683772161603E-13</v>
      </c>
      <c r="BE113" s="14">
        <f>BD113*VLOOKUP('Données projet'!$B$11,Paramètres!$A$1:$I$89,3,0)*VLOOKUP('Données projet'!$B$11,Paramètres!$A$1:$I$89,5,0)</f>
        <v>6.7984728957526396E-14</v>
      </c>
      <c r="BF113" s="14">
        <f t="shared" si="91"/>
        <v>1.0682447123141398E-12</v>
      </c>
      <c r="BG113" s="22">
        <f t="shared" si="61"/>
        <v>1.978932943548152E-12</v>
      </c>
      <c r="BH113" s="62">
        <f t="shared" si="62"/>
        <v>273.00797787803435</v>
      </c>
      <c r="BI113" s="62">
        <f ca="1">AVERAGE(OFFSET($BH$3,0,0,'Données projet'!$E$11+1,1))-AVERAGE(OFFSET($H$3,0,0,'Données projet'!$E$11+1,1))</f>
        <v>199.65420589615553</v>
      </c>
      <c r="BJ113" s="62">
        <f t="shared" si="92"/>
        <v>477.85821088970999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10.935154237145561</v>
      </c>
      <c r="BQ113" s="23">
        <f>EXP(-LN(2)/25)*BQ112+(1-EXP(-LN(2)/25))/(LN(2)/25)*Calculateur!BL113*Calculateur!BN113*VLOOKUP('Données projet'!$B$11,Paramètres!$A$1:$I$89,3,0)*0.475*44/12</f>
        <v>4.7824581760249343</v>
      </c>
      <c r="BR113" s="23">
        <f>EXP(-LN(2)/2)*BR112+(1-EXP(-LN(2)/2))/(LN(2)/2)*BL113*BO113*VLOOKUP('Données projet'!$B$11,Paramètres!$A$1:$I$89,3,0)*0.475*44/12</f>
        <v>3.9624305642890877E-11</v>
      </c>
      <c r="BS113" s="24">
        <f t="shared" si="63"/>
        <v>15.717612413210121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1.1368683772161603E-13</v>
      </c>
      <c r="BZ113" s="14">
        <f>BY113*VLOOKUP('Données projet'!$B$12,Paramètres!$A$1:$I$89,3,0)*VLOOKUP('Données projet'!$B$12,Paramètres!$A$1:$I$89,5,0)</f>
        <v>6.7984728957526396E-14</v>
      </c>
      <c r="CA113" s="14">
        <f t="shared" si="93"/>
        <v>1.0682447123141398E-12</v>
      </c>
      <c r="CB113" s="22">
        <f t="shared" si="64"/>
        <v>1.978932943548152E-12</v>
      </c>
      <c r="CC113" s="62">
        <f t="shared" si="65"/>
        <v>273.00797787803435</v>
      </c>
      <c r="CD113" s="62">
        <f ca="1">AVERAGE(OFFSET($CC$3,0,0,'Données projet'!$E$12+1,1))-AVERAGE(OFFSET($H$3,0,0,'Données projet'!$E$12+1,1))</f>
        <v>437.94016462147999</v>
      </c>
      <c r="CE113" s="62">
        <f t="shared" si="94"/>
        <v>281.88254003380348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7.4472834423704606E-12</v>
      </c>
      <c r="CN113" s="24">
        <f t="shared" si="66"/>
        <v>7.4472834423704606E-12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284</v>
      </c>
      <c r="CR113" s="13">
        <f>VLOOKUP(A113,'Données projet'!$A$139:$I$159,9,0)</f>
        <v>4.2</v>
      </c>
      <c r="CS113" s="13">
        <f t="array" ref="CS113">INDEX(CR:CR,MIN(IF(ISNUMBER(CR113:CR309),ROW(CR113:CR309),"")))</f>
        <v>4.2</v>
      </c>
      <c r="CT113" s="13">
        <f>IF('Données projet'!$A$140&gt;35,CT112+CS113-DB112,IF(A113&lt;'Données projet'!$A$140,$CQ$205^A113,IF(A113='Données projet'!$A$140,'Données projet'!$B$140,CT112+CS113-DB112)))</f>
        <v>283.99999999999994</v>
      </c>
      <c r="CU113" s="18">
        <f>CT113*VLOOKUP('Données projet'!$B$13,Paramètres!$A$1:$I$89,3,0)*VLOOKUP('Données projet'!$B$13,Paramètres!$A$1:$I$89,5,0)</f>
        <v>323.41919999999993</v>
      </c>
      <c r="CV113" s="14">
        <f t="shared" si="95"/>
        <v>76.06434405252827</v>
      </c>
      <c r="CW113" s="22">
        <f t="shared" si="67"/>
        <v>695.76717255815322</v>
      </c>
      <c r="CX113" s="62">
        <f t="shared" si="68"/>
        <v>968.77515043618564</v>
      </c>
      <c r="CY113" s="62">
        <f ca="1">AVERAGE(OFFSET($CX$3,0,0,'Données projet'!$E$13+1,1))-AVERAGE(OFFSET($H$3,0,0,'Données projet'!$E$13+1,1))</f>
        <v>520.23742527061836</v>
      </c>
      <c r="CZ113" s="62">
        <f t="shared" si="96"/>
        <v>321.35925479331274</v>
      </c>
      <c r="DA113" s="16">
        <f>IF(ISNA(VLOOKUP(A113,'Données projet'!$A$139:$I$159,3,0)),0,VLOOKUP(A113,'Données projet'!$A$139:$I$159,3,0))</f>
        <v>18</v>
      </c>
      <c r="DB113" s="16">
        <f>IF(ISNA(VLOOKUP(A113,'Données projet'!$A$139:$I$159,4,0)),0,VLOOKUP(A113,'Données projet'!$A$139:$I$159,4,0))</f>
        <v>19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332</v>
      </c>
      <c r="DM113" s="13">
        <f>VLOOKUP(A113,'Données projet'!$A$165:$I$185,9,0)</f>
        <v>5</v>
      </c>
      <c r="DN113" s="13">
        <f t="array" ref="DN113">INDEX(DM:DM,MIN(IF(ISNUMBER(DM113:DM309),ROW(DM113:DM309),"")))</f>
        <v>5</v>
      </c>
      <c r="DO113" s="13">
        <f>IF('Données projet'!$A$166&gt;35,DO112+DN113-DW112,IF(A113&lt;'Données projet'!$A$166,$DL$205^A113,IF(A113='Données projet'!$A$166,'Données projet'!$B$166,DO112+DN113-DW112)))</f>
        <v>331.99999999999989</v>
      </c>
      <c r="DP113" s="18">
        <f>DO113*VLOOKUP('Données projet'!$B$14,Paramètres!$A$1:$I$89,3,0)*VLOOKUP('Données projet'!$B$14,Paramètres!$A$1:$I$89,5,0)</f>
        <v>336.64799999999991</v>
      </c>
      <c r="DQ113" s="14">
        <f t="shared" si="97"/>
        <v>78.807003163010307</v>
      </c>
      <c r="DR113" s="22">
        <f t="shared" si="70"/>
        <v>723.58413050890942</v>
      </c>
      <c r="DS113" s="62">
        <f t="shared" si="71"/>
        <v>996.59210838694185</v>
      </c>
      <c r="DT113" s="62">
        <f ca="1">AVERAGE(OFFSET($DS$3,0,0,'Données projet'!$E$14+1,1))-AVERAGE(OFFSET($H$3,0,0,'Données projet'!$E$14+1,1))</f>
        <v>547.89540791313675</v>
      </c>
      <c r="DU113" s="62">
        <f t="shared" si="98"/>
        <v>345.19555189302378</v>
      </c>
      <c r="DV113" s="16">
        <f>IF(ISNA(VLOOKUP(A113,'Données projet'!$A$165:$I$185,3,0)),0,VLOOKUP(A113,'Données projet'!$A$165:$I$185,3,0))</f>
        <v>19</v>
      </c>
      <c r="DW113" s="16">
        <f>IF(ISNA(VLOOKUP(A113,'Données projet'!$A$165:$I$185,4,0)),0,VLOOKUP(A113,'Données projet'!$A$165:$I$185,4,0))</f>
        <v>25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5.6843418860808015E-14</v>
      </c>
      <c r="EK113" s="18">
        <f>EJ113*VLOOKUP('Données projet'!$B$15,Paramètres!$A$1:$I$89,3,0)*VLOOKUP('Données projet'!$B$15,Paramètres!$A$1:$I$89,5,0)</f>
        <v>5.9412741393316544E-14</v>
      </c>
      <c r="EL113" s="14">
        <f t="shared" si="99"/>
        <v>9.483138037075782E-13</v>
      </c>
      <c r="EM113" s="22">
        <f t="shared" si="73"/>
        <v>1.7551237327173916E-12</v>
      </c>
      <c r="EN113" s="62">
        <f t="shared" si="74"/>
        <v>273.00797787803413</v>
      </c>
      <c r="EO113" s="62">
        <f ca="1">AVERAGE(OFFSET($EN$3,0,0,'Données projet'!$E$15+1,1))-AVERAGE(OFFSET($H$3,0,0,'Données projet'!$E$15+1,1))</f>
        <v>418.23737352070503</v>
      </c>
      <c r="EP113" s="62">
        <f t="shared" si="100"/>
        <v>496.10742685332968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1.1368683772161603E-13</v>
      </c>
      <c r="FF113" s="18">
        <f>FE113*VLOOKUP('Données projet'!$B$16,Paramètres!$A$1:$I$89,3,0)*VLOOKUP('Données projet'!$B$16,Paramètres!$A$1:$I$89,5,0)</f>
        <v>6.7984728957526396E-14</v>
      </c>
      <c r="FG113" s="14">
        <f t="shared" si="101"/>
        <v>1.0682447123141398E-12</v>
      </c>
      <c r="FH113" s="22">
        <f t="shared" si="76"/>
        <v>1.978932943548152E-12</v>
      </c>
      <c r="FI113" s="62">
        <f t="shared" si="77"/>
        <v>273.00797787803435</v>
      </c>
      <c r="FJ113" s="62">
        <f ca="1">AVERAGE(OFFSET($FI$3,0,0,'Données projet'!$E$16+1,1))-AVERAGE(OFFSET($H$3,0,0,'Données projet'!$E$16+1,1))</f>
        <v>341.70983624543067</v>
      </c>
      <c r="FK113" s="62">
        <f t="shared" si="102"/>
        <v>250.82562837973805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1.127110031439416E-11</v>
      </c>
      <c r="FT113" s="24">
        <f t="shared" si="78"/>
        <v>1.127110031439416E-11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>
        <f>VLOOKUP(A113,'Données projet'!$A$243:$I$263,2,0)</f>
        <v>383</v>
      </c>
      <c r="FX113" s="13">
        <f>VLOOKUP(A113,'Données projet'!$A$243:$I$263,9,0)</f>
        <v>9</v>
      </c>
      <c r="FY113" s="13">
        <f t="array" ref="FY113">INDEX(FX:FX,MIN(IF(ISNUMBER(FX113:FX309),ROW(FX113:FX309),"")))</f>
        <v>9</v>
      </c>
      <c r="FZ113" s="13">
        <f>IF('Données projet'!$A$244&gt;35,FZ112+FY113-GH112,IF(A113&lt;'Données projet'!$A$244,$FW$205^A113,IF(A113='Données projet'!$A$244,'Données projet'!$B$244,FZ112+FY113-GH112)))</f>
        <v>382.99999999999972</v>
      </c>
      <c r="GA113" s="18">
        <f>FZ113*VLOOKUP('Données projet'!$B$17,Paramètres!$A$1:$I$89,3,0)*VLOOKUP('Données projet'!$B$17,Paramètres!$A$1:$I$89,5,0)</f>
        <v>179.24399999999986</v>
      </c>
      <c r="GB113" s="14">
        <f t="shared" si="103"/>
        <v>45.153948916787321</v>
      </c>
      <c r="GC113" s="22">
        <f t="shared" si="79"/>
        <v>390.82642769673765</v>
      </c>
      <c r="GD113" s="62">
        <f t="shared" si="80"/>
        <v>663.83440557477002</v>
      </c>
      <c r="GE113" s="62">
        <f ca="1">AVERAGE(OFFSET($GD$3,0,0,'Données projet'!$E$17+1,1))-AVERAGE(OFFSET($H$3,0,0,'Données projet'!$E$17+1,1))</f>
        <v>368.69628434154333</v>
      </c>
      <c r="GF113" s="62">
        <f t="shared" si="104"/>
        <v>202.28197295839524</v>
      </c>
      <c r="GG113" s="16">
        <f>IF(ISNA(VLOOKUP(A113,'Données projet'!$A$243:$I$263,3,0)),0,VLOOKUP(A113,'Données projet'!$A$243:$I$263,3,0))</f>
        <v>16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-1.1368683772161603E-13</v>
      </c>
      <c r="GV113" s="18">
        <f>GU113*VLOOKUP('Données projet'!$B$18,Paramètres!$A$1:$I$89,3,0)*VLOOKUP('Données projet'!$B$18,Paramètres!$A$1:$I$89,5,0)</f>
        <v>-9.9316821433603781E-14</v>
      </c>
      <c r="GW113" s="14" t="e">
        <f t="shared" si="105"/>
        <v>#NUM!</v>
      </c>
      <c r="GX113" s="22" t="e">
        <f t="shared" si="82"/>
        <v>#NUM!</v>
      </c>
      <c r="GY113" s="62" t="e">
        <f t="shared" si="83"/>
        <v>#NUM!</v>
      </c>
      <c r="GZ113" s="62">
        <f ca="1">AVERAGE(OFFSET($GY$3,0,0,'Données projet'!$E$18+1,1))-AVERAGE(OFFSET($H$3,0,0,'Données projet'!$E$18+1,1))</f>
        <v>378.51861272969165</v>
      </c>
      <c r="HA113" s="62">
        <f t="shared" si="106"/>
        <v>387.42368617035459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0</v>
      </c>
      <c r="HH113" s="23">
        <f>EXP(-LN(2)/25)*HH112+(1-EXP(-LN(2)/25))/(LN(2)/25)*Calculateur!HC113*Calculateur!HE113*VLOOKUP('Données projet'!$B$18,Paramètres!$A$1:$I$89,3,0)*0.475*44/12</f>
        <v>0</v>
      </c>
      <c r="HI113" s="23">
        <f>EXP(-LN(2)/2)*HI112+(1-EXP(-LN(2)/2))/(LN(2)/2)*HC113*HF113*VLOOKUP('Données projet'!$B$18,Paramètres!$A$1:$I$89,3,0)*0.475*44/12</f>
        <v>0</v>
      </c>
      <c r="HJ113" s="24">
        <f t="shared" si="84"/>
        <v>0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135.66666666666666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273.36057735449651</v>
      </c>
      <c r="S114" s="62">
        <f ca="1">AVERAGE(OFFSET($R$3,0,0,'Données projet'!$E$9+1,1))-AVERAGE(OFFSET($H$3,0,0,'Données projet'!$E$9+1,1))</f>
        <v>437.94016462147999</v>
      </c>
      <c r="T114" s="62">
        <f t="shared" si="88"/>
        <v>281.88254003380348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5.2660246235184477E-12</v>
      </c>
      <c r="AC114" s="24">
        <f t="shared" si="57"/>
        <v>5.2660246235184477E-12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268.79999999999995</v>
      </c>
      <c r="AJ114" s="14">
        <f>AI114*VLOOKUP('Données projet'!$B$10,Paramètres!$A$1:$I$89,3,0)*VLOOKUP('Données projet'!$B$10,Paramètres!$A$1:$I$89,5,0)</f>
        <v>243.21023999999997</v>
      </c>
      <c r="AK114" s="14">
        <f t="shared" si="89"/>
        <v>59.129694216846737</v>
      </c>
      <c r="AL114" s="22">
        <f t="shared" si="58"/>
        <v>526.57538542767463</v>
      </c>
      <c r="AM114" s="62">
        <f t="shared" si="59"/>
        <v>799.9359627821691</v>
      </c>
      <c r="AN114" s="62">
        <f ca="1">AVERAGE(OFFSET($AM$3,0,0,'Données projet'!$E$10+1,1))-AVERAGE(OFFSET($H$3,0,0,'Données projet'!$E$10+1,1))</f>
        <v>434.56763649859136</v>
      </c>
      <c r="AO114" s="62">
        <f t="shared" si="90"/>
        <v>271.90302066766264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1.1368683772161603E-13</v>
      </c>
      <c r="BE114" s="14">
        <f>BD114*VLOOKUP('Données projet'!$B$11,Paramètres!$A$1:$I$89,3,0)*VLOOKUP('Données projet'!$B$11,Paramètres!$A$1:$I$89,5,0)</f>
        <v>6.7984728957526396E-14</v>
      </c>
      <c r="BF114" s="14">
        <f t="shared" si="91"/>
        <v>1.0682447123141398E-12</v>
      </c>
      <c r="BG114" s="22">
        <f t="shared" si="61"/>
        <v>1.978932943548152E-12</v>
      </c>
      <c r="BH114" s="62">
        <f t="shared" si="62"/>
        <v>273.36057735449651</v>
      </c>
      <c r="BI114" s="62">
        <f ca="1">AVERAGE(OFFSET($BH$3,0,0,'Données projet'!$E$11+1,1))-AVERAGE(OFFSET($H$3,0,0,'Données projet'!$E$11+1,1))</f>
        <v>199.65420589615553</v>
      </c>
      <c r="BJ114" s="62">
        <f t="shared" si="92"/>
        <v>477.85821088970999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10.720722532340634</v>
      </c>
      <c r="BQ114" s="23">
        <f>EXP(-LN(2)/25)*BQ113+(1-EXP(-LN(2)/25))/(LN(2)/25)*Calculateur!BL114*Calculateur!BN114*VLOOKUP('Données projet'!$B$11,Paramètres!$A$1:$I$89,3,0)*0.475*44/12</f>
        <v>4.6516816057029873</v>
      </c>
      <c r="BR114" s="23">
        <f>EXP(-LN(2)/2)*BR113+(1-EXP(-LN(2)/2))/(LN(2)/2)*BL114*BO114*VLOOKUP('Données projet'!$B$11,Paramètres!$A$1:$I$89,3,0)*0.475*44/12</f>
        <v>2.801861521989652E-11</v>
      </c>
      <c r="BS114" s="24">
        <f t="shared" si="63"/>
        <v>15.372404138071639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1.1368683772161603E-13</v>
      </c>
      <c r="BZ114" s="14">
        <f>BY114*VLOOKUP('Données projet'!$B$12,Paramètres!$A$1:$I$89,3,0)*VLOOKUP('Données projet'!$B$12,Paramètres!$A$1:$I$89,5,0)</f>
        <v>6.7984728957526396E-14</v>
      </c>
      <c r="CA114" s="14">
        <f t="shared" si="93"/>
        <v>1.0682447123141398E-12</v>
      </c>
      <c r="CB114" s="22">
        <f t="shared" si="64"/>
        <v>1.978932943548152E-12</v>
      </c>
      <c r="CC114" s="62">
        <f t="shared" si="65"/>
        <v>273.36057735449651</v>
      </c>
      <c r="CD114" s="62">
        <f ca="1">AVERAGE(OFFSET($CC$3,0,0,'Données projet'!$E$12+1,1))-AVERAGE(OFFSET($H$3,0,0,'Données projet'!$E$12+1,1))</f>
        <v>437.94016462147999</v>
      </c>
      <c r="CE114" s="62">
        <f t="shared" si="94"/>
        <v>281.88254003380348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5.2660246235184477E-12</v>
      </c>
      <c r="CN114" s="24">
        <f t="shared" si="66"/>
        <v>5.2660246235184477E-12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3.8</v>
      </c>
      <c r="CT114" s="13">
        <f>IF('Données projet'!$A$140&gt;35,CT113+CS114-DB113,IF(A114&lt;'Données projet'!$A$140,$CQ$205^A114,IF(A114='Données projet'!$A$140,'Données projet'!$B$140,CT113+CS114-DB113)))</f>
        <v>268.79999999999995</v>
      </c>
      <c r="CU114" s="18">
        <f>CT114*VLOOKUP('Données projet'!$B$13,Paramètres!$A$1:$I$89,3,0)*VLOOKUP('Données projet'!$B$13,Paramètres!$A$1:$I$89,5,0)</f>
        <v>306.10943999999995</v>
      </c>
      <c r="CV114" s="14">
        <f t="shared" si="95"/>
        <v>72.455730134932253</v>
      </c>
      <c r="CW114" s="22">
        <f t="shared" si="67"/>
        <v>659.33433798500698</v>
      </c>
      <c r="CX114" s="62">
        <f t="shared" si="68"/>
        <v>932.69491533950145</v>
      </c>
      <c r="CY114" s="62">
        <f ca="1">AVERAGE(OFFSET($CX$3,0,0,'Données projet'!$E$13+1,1))-AVERAGE(OFFSET($H$3,0,0,'Données projet'!$E$13+1,1))</f>
        <v>520.23742527061836</v>
      </c>
      <c r="CZ114" s="62">
        <f t="shared" si="96"/>
        <v>321.35925479331274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4.5999999999999996</v>
      </c>
      <c r="DO114" s="13">
        <f>IF('Données projet'!$A$166&gt;35,DO113+DN114-DW113,IF(A114&lt;'Données projet'!$A$166,$DL$205^A114,IF(A114='Données projet'!$A$166,'Données projet'!$B$166,DO113+DN114-DW113)))</f>
        <v>311.59999999999991</v>
      </c>
      <c r="DP114" s="18">
        <f>DO114*VLOOKUP('Données projet'!$B$14,Paramètres!$A$1:$I$89,3,0)*VLOOKUP('Données projet'!$B$14,Paramètres!$A$1:$I$89,5,0)</f>
        <v>315.96239999999989</v>
      </c>
      <c r="DQ114" s="14">
        <f t="shared" si="97"/>
        <v>74.512632625562503</v>
      </c>
      <c r="DR114" s="22">
        <f t="shared" si="70"/>
        <v>680.07734848952111</v>
      </c>
      <c r="DS114" s="62">
        <f t="shared" si="71"/>
        <v>953.43792584401558</v>
      </c>
      <c r="DT114" s="62">
        <f ca="1">AVERAGE(OFFSET($DS$3,0,0,'Données projet'!$E$14+1,1))-AVERAGE(OFFSET($H$3,0,0,'Données projet'!$E$14+1,1))</f>
        <v>547.89540791313675</v>
      </c>
      <c r="DU114" s="62">
        <f t="shared" si="98"/>
        <v>345.19555189302378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5.6843418860808015E-14</v>
      </c>
      <c r="EK114" s="18">
        <f>EJ114*VLOOKUP('Données projet'!$B$15,Paramètres!$A$1:$I$89,3,0)*VLOOKUP('Données projet'!$B$15,Paramètres!$A$1:$I$89,5,0)</f>
        <v>5.9412741393316544E-14</v>
      </c>
      <c r="EL114" s="14">
        <f t="shared" si="99"/>
        <v>9.483138037075782E-13</v>
      </c>
      <c r="EM114" s="22">
        <f t="shared" si="73"/>
        <v>1.7551237327173916E-12</v>
      </c>
      <c r="EN114" s="62">
        <f t="shared" si="74"/>
        <v>273.36057735449629</v>
      </c>
      <c r="EO114" s="62">
        <f ca="1">AVERAGE(OFFSET($EN$3,0,0,'Données projet'!$E$15+1,1))-AVERAGE(OFFSET($H$3,0,0,'Données projet'!$E$15+1,1))</f>
        <v>418.23737352070503</v>
      </c>
      <c r="EP114" s="62">
        <f t="shared" si="100"/>
        <v>496.10742685332968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1.1368683772161603E-13</v>
      </c>
      <c r="FF114" s="18">
        <f>FE114*VLOOKUP('Données projet'!$B$16,Paramètres!$A$1:$I$89,3,0)*VLOOKUP('Données projet'!$B$16,Paramètres!$A$1:$I$89,5,0)</f>
        <v>6.7984728957526396E-14</v>
      </c>
      <c r="FG114" s="14">
        <f t="shared" si="101"/>
        <v>1.0682447123141398E-12</v>
      </c>
      <c r="FH114" s="22">
        <f t="shared" si="76"/>
        <v>1.978932943548152E-12</v>
      </c>
      <c r="FI114" s="62">
        <f t="shared" si="77"/>
        <v>273.36057735449651</v>
      </c>
      <c r="FJ114" s="62">
        <f ca="1">AVERAGE(OFFSET($FI$3,0,0,'Données projet'!$E$16+1,1))-AVERAGE(OFFSET($H$3,0,0,'Données projet'!$E$16+1,1))</f>
        <v>341.70983624543067</v>
      </c>
      <c r="FK114" s="62">
        <f t="shared" si="102"/>
        <v>250.82562837973805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7.9698714637419381E-12</v>
      </c>
      <c r="FT114" s="24">
        <f t="shared" si="78"/>
        <v>7.9698714637419381E-12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8</v>
      </c>
      <c r="FZ114" s="13">
        <f>IF('Données projet'!$A$244&gt;35,FZ113+FY114-GH113,IF(A114&lt;'Données projet'!$A$244,$FW$205^A114,IF(A114='Données projet'!$A$244,'Données projet'!$B$244,FZ113+FY114-GH113)))</f>
        <v>390.99999999999972</v>
      </c>
      <c r="GA114" s="18">
        <f>FZ114*VLOOKUP('Données projet'!$B$17,Paramètres!$A$1:$I$89,3,0)*VLOOKUP('Données projet'!$B$17,Paramètres!$A$1:$I$89,5,0)</f>
        <v>182.98799999999989</v>
      </c>
      <c r="GB114" s="14">
        <f t="shared" si="103"/>
        <v>45.986322796524831</v>
      </c>
      <c r="GC114" s="22">
        <f t="shared" si="79"/>
        <v>398.79694553728058</v>
      </c>
      <c r="GD114" s="62">
        <f t="shared" si="80"/>
        <v>672.1575228917751</v>
      </c>
      <c r="GE114" s="62">
        <f ca="1">AVERAGE(OFFSET($GD$3,0,0,'Données projet'!$E$17+1,1))-AVERAGE(OFFSET($H$3,0,0,'Données projet'!$E$17+1,1))</f>
        <v>368.69628434154333</v>
      </c>
      <c r="GF114" s="62">
        <f t="shared" si="104"/>
        <v>202.28197295839524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-1.1368683772161603E-13</v>
      </c>
      <c r="GV114" s="18">
        <f>GU114*VLOOKUP('Données projet'!$B$18,Paramètres!$A$1:$I$89,3,0)*VLOOKUP('Données projet'!$B$18,Paramètres!$A$1:$I$89,5,0)</f>
        <v>-9.9316821433603781E-14</v>
      </c>
      <c r="GW114" s="14" t="e">
        <f t="shared" si="105"/>
        <v>#NUM!</v>
      </c>
      <c r="GX114" s="22" t="e">
        <f t="shared" si="82"/>
        <v>#NUM!</v>
      </c>
      <c r="GY114" s="62" t="e">
        <f t="shared" si="83"/>
        <v>#NUM!</v>
      </c>
      <c r="GZ114" s="62">
        <f ca="1">AVERAGE(OFFSET($GY$3,0,0,'Données projet'!$E$18+1,1))-AVERAGE(OFFSET($H$3,0,0,'Données projet'!$E$18+1,1))</f>
        <v>378.51861272969165</v>
      </c>
      <c r="HA114" s="62">
        <f t="shared" si="106"/>
        <v>387.42368617035459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0</v>
      </c>
      <c r="HH114" s="23">
        <f>EXP(-LN(2)/25)*HH113+(1-EXP(-LN(2)/25))/(LN(2)/25)*Calculateur!HC114*Calculateur!HE114*VLOOKUP('Données projet'!$B$18,Paramètres!$A$1:$I$89,3,0)*0.475*44/12</f>
        <v>0</v>
      </c>
      <c r="HI114" s="23">
        <f>EXP(-LN(2)/2)*HI113+(1-EXP(-LN(2)/2))/(LN(2)/2)*HC114*HF114*VLOOKUP('Données projet'!$B$18,Paramètres!$A$1:$I$89,3,0)*0.475*44/12</f>
        <v>0</v>
      </c>
      <c r="HJ114" s="24">
        <f t="shared" si="84"/>
        <v>0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135.66666666666666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273.70706001833639</v>
      </c>
      <c r="S115" s="62">
        <f ca="1">AVERAGE(OFFSET($R$3,0,0,'Données projet'!$E$9+1,1))-AVERAGE(OFFSET($H$3,0,0,'Données projet'!$E$9+1,1))</f>
        <v>437.94016462147999</v>
      </c>
      <c r="T115" s="62">
        <f t="shared" si="88"/>
        <v>281.88254003380348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3.7236417211852303E-12</v>
      </c>
      <c r="AC115" s="24">
        <f t="shared" si="57"/>
        <v>3.7236417211852303E-12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272.59999999999997</v>
      </c>
      <c r="AJ115" s="14">
        <f>AI115*VLOOKUP('Données projet'!$B$10,Paramètres!$A$1:$I$89,3,0)*VLOOKUP('Données projet'!$B$10,Paramètres!$A$1:$I$89,5,0)</f>
        <v>246.64847999999998</v>
      </c>
      <c r="AK115" s="14">
        <f t="shared" si="89"/>
        <v>59.867700517050096</v>
      </c>
      <c r="AL115" s="22">
        <f t="shared" si="58"/>
        <v>533.84901440052897</v>
      </c>
      <c r="AM115" s="62">
        <f t="shared" si="59"/>
        <v>807.55607441886332</v>
      </c>
      <c r="AN115" s="62">
        <f ca="1">AVERAGE(OFFSET($AM$3,0,0,'Données projet'!$E$10+1,1))-AVERAGE(OFFSET($H$3,0,0,'Données projet'!$E$10+1,1))</f>
        <v>434.56763649859136</v>
      </c>
      <c r="AO115" s="62">
        <f t="shared" si="90"/>
        <v>271.90302066766264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1.1368683772161603E-13</v>
      </c>
      <c r="BE115" s="14">
        <f>BD115*VLOOKUP('Données projet'!$B$11,Paramètres!$A$1:$I$89,3,0)*VLOOKUP('Données projet'!$B$11,Paramètres!$A$1:$I$89,5,0)</f>
        <v>6.7984728957526396E-14</v>
      </c>
      <c r="BF115" s="14">
        <f t="shared" si="91"/>
        <v>1.0682447123141398E-12</v>
      </c>
      <c r="BG115" s="22">
        <f t="shared" si="61"/>
        <v>1.978932943548152E-12</v>
      </c>
      <c r="BH115" s="62">
        <f t="shared" si="62"/>
        <v>273.70706001833639</v>
      </c>
      <c r="BI115" s="62">
        <f ca="1">AVERAGE(OFFSET($BH$3,0,0,'Données projet'!$E$11+1,1))-AVERAGE(OFFSET($H$3,0,0,'Données projet'!$E$11+1,1))</f>
        <v>199.65420589615553</v>
      </c>
      <c r="BJ115" s="62">
        <f t="shared" si="92"/>
        <v>477.85821088970999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10.510495702476506</v>
      </c>
      <c r="BQ115" s="23">
        <f>EXP(-LN(2)/25)*BQ114+(1-EXP(-LN(2)/25))/(LN(2)/25)*Calculateur!BL115*Calculateur!BN115*VLOOKUP('Données projet'!$B$11,Paramètres!$A$1:$I$89,3,0)*0.475*44/12</f>
        <v>4.5244811275737353</v>
      </c>
      <c r="BR115" s="23">
        <f>EXP(-LN(2)/2)*BR114+(1-EXP(-LN(2)/2))/(LN(2)/2)*BL115*BO115*VLOOKUP('Données projet'!$B$11,Paramètres!$A$1:$I$89,3,0)*0.475*44/12</f>
        <v>1.9812152821445439E-11</v>
      </c>
      <c r="BS115" s="24">
        <f t="shared" si="63"/>
        <v>15.034976830070052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1.1368683772161603E-13</v>
      </c>
      <c r="BZ115" s="14">
        <f>BY115*VLOOKUP('Données projet'!$B$12,Paramètres!$A$1:$I$89,3,0)*VLOOKUP('Données projet'!$B$12,Paramètres!$A$1:$I$89,5,0)</f>
        <v>6.7984728957526396E-14</v>
      </c>
      <c r="CA115" s="14">
        <f t="shared" si="93"/>
        <v>1.0682447123141398E-12</v>
      </c>
      <c r="CB115" s="22">
        <f t="shared" si="64"/>
        <v>1.978932943548152E-12</v>
      </c>
      <c r="CC115" s="62">
        <f t="shared" si="65"/>
        <v>273.70706001833639</v>
      </c>
      <c r="CD115" s="62">
        <f ca="1">AVERAGE(OFFSET($CC$3,0,0,'Données projet'!$E$12+1,1))-AVERAGE(OFFSET($H$3,0,0,'Données projet'!$E$12+1,1))</f>
        <v>437.94016462147999</v>
      </c>
      <c r="CE115" s="62">
        <f t="shared" si="94"/>
        <v>281.88254003380348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3.7236417211852303E-12</v>
      </c>
      <c r="CN115" s="24">
        <f t="shared" si="66"/>
        <v>3.7236417211852303E-12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3.8</v>
      </c>
      <c r="CT115" s="13">
        <f>IF('Données projet'!$A$140&gt;35,CT114+CS115-DB114,IF(A115&lt;'Données projet'!$A$140,$CQ$205^A115,IF(A115='Données projet'!$A$140,'Données projet'!$B$140,CT114+CS115-DB114)))</f>
        <v>272.59999999999997</v>
      </c>
      <c r="CU115" s="18">
        <f>CT115*VLOOKUP('Données projet'!$B$13,Paramètres!$A$1:$I$89,3,0)*VLOOKUP('Données projet'!$B$13,Paramètres!$A$1:$I$89,5,0)</f>
        <v>310.43687999999997</v>
      </c>
      <c r="CV115" s="14">
        <f t="shared" si="95"/>
        <v>73.360060624606533</v>
      </c>
      <c r="CW115" s="22">
        <f t="shared" si="67"/>
        <v>668.44633825452308</v>
      </c>
      <c r="CX115" s="62">
        <f t="shared" si="68"/>
        <v>942.15339827285743</v>
      </c>
      <c r="CY115" s="62">
        <f ca="1">AVERAGE(OFFSET($CX$3,0,0,'Données projet'!$E$13+1,1))-AVERAGE(OFFSET($H$3,0,0,'Données projet'!$E$13+1,1))</f>
        <v>520.23742527061836</v>
      </c>
      <c r="CZ115" s="62">
        <f t="shared" si="96"/>
        <v>321.35925479331274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4.5999999999999996</v>
      </c>
      <c r="DO115" s="13">
        <f>IF('Données projet'!$A$166&gt;35,DO114+DN115-DW114,IF(A115&lt;'Données projet'!$A$166,$DL$205^A115,IF(A115='Données projet'!$A$166,'Données projet'!$B$166,DO114+DN115-DW114)))</f>
        <v>316.19999999999993</v>
      </c>
      <c r="DP115" s="18">
        <f>DO115*VLOOKUP('Données projet'!$B$14,Paramètres!$A$1:$I$89,3,0)*VLOOKUP('Données projet'!$B$14,Paramètres!$A$1:$I$89,5,0)</f>
        <v>320.62679999999995</v>
      </c>
      <c r="DQ115" s="14">
        <f t="shared" si="97"/>
        <v>75.483756735990909</v>
      </c>
      <c r="DR115" s="22">
        <f t="shared" si="70"/>
        <v>689.89255298185071</v>
      </c>
      <c r="DS115" s="62">
        <f t="shared" si="71"/>
        <v>963.59961300018517</v>
      </c>
      <c r="DT115" s="62">
        <f ca="1">AVERAGE(OFFSET($DS$3,0,0,'Données projet'!$E$14+1,1))-AVERAGE(OFFSET($H$3,0,0,'Données projet'!$E$14+1,1))</f>
        <v>547.89540791313675</v>
      </c>
      <c r="DU115" s="62">
        <f t="shared" si="98"/>
        <v>345.19555189302378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5.6843418860808015E-14</v>
      </c>
      <c r="EK115" s="18">
        <f>EJ115*VLOOKUP('Données projet'!$B$15,Paramètres!$A$1:$I$89,3,0)*VLOOKUP('Données projet'!$B$15,Paramètres!$A$1:$I$89,5,0)</f>
        <v>5.9412741393316544E-14</v>
      </c>
      <c r="EL115" s="14">
        <f t="shared" si="99"/>
        <v>9.483138037075782E-13</v>
      </c>
      <c r="EM115" s="22">
        <f t="shared" si="73"/>
        <v>1.7551237327173916E-12</v>
      </c>
      <c r="EN115" s="62">
        <f t="shared" si="74"/>
        <v>273.70706001833616</v>
      </c>
      <c r="EO115" s="62">
        <f ca="1">AVERAGE(OFFSET($EN$3,0,0,'Données projet'!$E$15+1,1))-AVERAGE(OFFSET($H$3,0,0,'Données projet'!$E$15+1,1))</f>
        <v>418.23737352070503</v>
      </c>
      <c r="EP115" s="62">
        <f t="shared" si="100"/>
        <v>496.10742685332968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1.1368683772161603E-13</v>
      </c>
      <c r="FF115" s="18">
        <f>FE115*VLOOKUP('Données projet'!$B$16,Paramètres!$A$1:$I$89,3,0)*VLOOKUP('Données projet'!$B$16,Paramètres!$A$1:$I$89,5,0)</f>
        <v>6.7984728957526396E-14</v>
      </c>
      <c r="FG115" s="14">
        <f t="shared" si="101"/>
        <v>1.0682447123141398E-12</v>
      </c>
      <c r="FH115" s="22">
        <f t="shared" si="76"/>
        <v>1.978932943548152E-12</v>
      </c>
      <c r="FI115" s="62">
        <f t="shared" si="77"/>
        <v>273.70706001833639</v>
      </c>
      <c r="FJ115" s="62">
        <f ca="1">AVERAGE(OFFSET($FI$3,0,0,'Données projet'!$E$16+1,1))-AVERAGE(OFFSET($H$3,0,0,'Données projet'!$E$16+1,1))</f>
        <v>341.70983624543067</v>
      </c>
      <c r="FK115" s="62">
        <f t="shared" si="102"/>
        <v>250.82562837973805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5.6355501571970798E-12</v>
      </c>
      <c r="FT115" s="24">
        <f t="shared" si="78"/>
        <v>5.6355501571970798E-12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8</v>
      </c>
      <c r="FZ115" s="13">
        <f>IF('Données projet'!$A$244&gt;35,FZ114+FY115-GH114,IF(A115&lt;'Données projet'!$A$244,$FW$205^A115,IF(A115='Données projet'!$A$244,'Données projet'!$B$244,FZ114+FY115-GH114)))</f>
        <v>398.99999999999972</v>
      </c>
      <c r="GA115" s="18">
        <f>FZ115*VLOOKUP('Données projet'!$B$17,Paramètres!$A$1:$I$89,3,0)*VLOOKUP('Données projet'!$B$17,Paramètres!$A$1:$I$89,5,0)</f>
        <v>186.73199999999989</v>
      </c>
      <c r="GB115" s="14">
        <f t="shared" si="103"/>
        <v>46.816716519231377</v>
      </c>
      <c r="GC115" s="22">
        <f t="shared" si="79"/>
        <v>406.76401460432777</v>
      </c>
      <c r="GD115" s="62">
        <f t="shared" si="80"/>
        <v>680.47107462266217</v>
      </c>
      <c r="GE115" s="62">
        <f ca="1">AVERAGE(OFFSET($GD$3,0,0,'Données projet'!$E$17+1,1))-AVERAGE(OFFSET($H$3,0,0,'Données projet'!$E$17+1,1))</f>
        <v>368.69628434154333</v>
      </c>
      <c r="GF115" s="62">
        <f t="shared" si="104"/>
        <v>202.28197295839524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-1.1368683772161603E-13</v>
      </c>
      <c r="GV115" s="18">
        <f>GU115*VLOOKUP('Données projet'!$B$18,Paramètres!$A$1:$I$89,3,0)*VLOOKUP('Données projet'!$B$18,Paramètres!$A$1:$I$89,5,0)</f>
        <v>-9.9316821433603781E-14</v>
      </c>
      <c r="GW115" s="14" t="e">
        <f t="shared" si="105"/>
        <v>#NUM!</v>
      </c>
      <c r="GX115" s="22" t="e">
        <f t="shared" si="82"/>
        <v>#NUM!</v>
      </c>
      <c r="GY115" s="62" t="e">
        <f t="shared" si="83"/>
        <v>#NUM!</v>
      </c>
      <c r="GZ115" s="62">
        <f ca="1">AVERAGE(OFFSET($GY$3,0,0,'Données projet'!$E$18+1,1))-AVERAGE(OFFSET($H$3,0,0,'Données projet'!$E$18+1,1))</f>
        <v>378.51861272969165</v>
      </c>
      <c r="HA115" s="62">
        <f t="shared" si="106"/>
        <v>387.42368617035459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0</v>
      </c>
      <c r="HH115" s="23">
        <f>EXP(-LN(2)/25)*HH114+(1-EXP(-LN(2)/25))/(LN(2)/25)*Calculateur!HC115*Calculateur!HE115*VLOOKUP('Données projet'!$B$18,Paramètres!$A$1:$I$89,3,0)*0.475*44/12</f>
        <v>0</v>
      </c>
      <c r="HI115" s="23">
        <f>EXP(-LN(2)/2)*HI114+(1-EXP(-LN(2)/2))/(LN(2)/2)*HC115*HF115*VLOOKUP('Données projet'!$B$18,Paramètres!$A$1:$I$89,3,0)*0.475*44/12</f>
        <v>0</v>
      </c>
      <c r="HJ115" s="24">
        <f t="shared" si="84"/>
        <v>0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135.66666666666666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274.04753198257782</v>
      </c>
      <c r="S116" s="62">
        <f ca="1">AVERAGE(OFFSET($R$3,0,0,'Données projet'!$E$9+1,1))-AVERAGE(OFFSET($H$3,0,0,'Données projet'!$E$9+1,1))</f>
        <v>437.94016462147999</v>
      </c>
      <c r="T116" s="62">
        <f t="shared" si="88"/>
        <v>281.88254003380348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2.6330123117592238E-12</v>
      </c>
      <c r="AC116" s="24">
        <f t="shared" si="57"/>
        <v>2.6330123117592238E-12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276.39999999999998</v>
      </c>
      <c r="AJ116" s="14">
        <f>AI116*VLOOKUP('Données projet'!$B$10,Paramètres!$A$1:$I$89,3,0)*VLOOKUP('Données projet'!$B$10,Paramètres!$A$1:$I$89,5,0)</f>
        <v>250.08671999999999</v>
      </c>
      <c r="AK116" s="14">
        <f t="shared" si="89"/>
        <v>60.604510260306157</v>
      </c>
      <c r="AL116" s="22">
        <f t="shared" si="58"/>
        <v>541.12055937003322</v>
      </c>
      <c r="AM116" s="62">
        <f t="shared" si="59"/>
        <v>815.16809135260905</v>
      </c>
      <c r="AN116" s="62">
        <f ca="1">AVERAGE(OFFSET($AM$3,0,0,'Données projet'!$E$10+1,1))-AVERAGE(OFFSET($H$3,0,0,'Données projet'!$E$10+1,1))</f>
        <v>434.56763649859136</v>
      </c>
      <c r="AO116" s="62">
        <f t="shared" si="90"/>
        <v>271.90302066766264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1.1368683772161603E-13</v>
      </c>
      <c r="BE116" s="14">
        <f>BD116*VLOOKUP('Données projet'!$B$11,Paramètres!$A$1:$I$89,3,0)*VLOOKUP('Données projet'!$B$11,Paramètres!$A$1:$I$89,5,0)</f>
        <v>6.7984728957526396E-14</v>
      </c>
      <c r="BF116" s="14">
        <f t="shared" si="91"/>
        <v>1.0682447123141398E-12</v>
      </c>
      <c r="BG116" s="22">
        <f t="shared" si="61"/>
        <v>1.978932943548152E-12</v>
      </c>
      <c r="BH116" s="62">
        <f t="shared" si="62"/>
        <v>274.04753198257782</v>
      </c>
      <c r="BI116" s="62">
        <f ca="1">AVERAGE(OFFSET($BH$3,0,0,'Données projet'!$E$11+1,1))-AVERAGE(OFFSET($H$3,0,0,'Données projet'!$E$11+1,1))</f>
        <v>199.65420589615553</v>
      </c>
      <c r="BJ116" s="62">
        <f t="shared" si="92"/>
        <v>477.85821088970999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10.304391292520309</v>
      </c>
      <c r="BQ116" s="23">
        <f>EXP(-LN(2)/25)*BQ115+(1-EXP(-LN(2)/25))/(LN(2)/25)*Calculateur!BL116*Calculateur!BN116*VLOOKUP('Données projet'!$B$11,Paramètres!$A$1:$I$89,3,0)*0.475*44/12</f>
        <v>4.4007589532081095</v>
      </c>
      <c r="BR116" s="23">
        <f>EXP(-LN(2)/2)*BR115+(1-EXP(-LN(2)/2))/(LN(2)/2)*BL116*BO116*VLOOKUP('Données projet'!$B$11,Paramètres!$A$1:$I$89,3,0)*0.475*44/12</f>
        <v>1.400930760994826E-11</v>
      </c>
      <c r="BS116" s="24">
        <f t="shared" si="63"/>
        <v>14.705150245742429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1.1368683772161603E-13</v>
      </c>
      <c r="BZ116" s="14">
        <f>BY116*VLOOKUP('Données projet'!$B$12,Paramètres!$A$1:$I$89,3,0)*VLOOKUP('Données projet'!$B$12,Paramètres!$A$1:$I$89,5,0)</f>
        <v>6.7984728957526396E-14</v>
      </c>
      <c r="CA116" s="14">
        <f t="shared" si="93"/>
        <v>1.0682447123141398E-12</v>
      </c>
      <c r="CB116" s="22">
        <f t="shared" si="64"/>
        <v>1.978932943548152E-12</v>
      </c>
      <c r="CC116" s="62">
        <f t="shared" si="65"/>
        <v>274.04753198257782</v>
      </c>
      <c r="CD116" s="62">
        <f ca="1">AVERAGE(OFFSET($CC$3,0,0,'Données projet'!$E$12+1,1))-AVERAGE(OFFSET($H$3,0,0,'Données projet'!$E$12+1,1))</f>
        <v>437.94016462147999</v>
      </c>
      <c r="CE116" s="62">
        <f t="shared" si="94"/>
        <v>281.88254003380348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2.6330123117592238E-12</v>
      </c>
      <c r="CN116" s="24">
        <f t="shared" si="66"/>
        <v>2.6330123117592238E-12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3.8</v>
      </c>
      <c r="CT116" s="13">
        <f>IF('Données projet'!$A$140&gt;35,CT115+CS116-DB115,IF(A116&lt;'Données projet'!$A$140,$CQ$205^A116,IF(A116='Données projet'!$A$140,'Données projet'!$B$140,CT115+CS116-DB115)))</f>
        <v>276.39999999999998</v>
      </c>
      <c r="CU116" s="18">
        <f>CT116*VLOOKUP('Données projet'!$B$13,Paramètres!$A$1:$I$89,3,0)*VLOOKUP('Données projet'!$B$13,Paramètres!$A$1:$I$89,5,0)</f>
        <v>314.76432</v>
      </c>
      <c r="CV116" s="14">
        <f t="shared" si="95"/>
        <v>74.262924889765188</v>
      </c>
      <c r="CW116" s="22">
        <f t="shared" si="67"/>
        <v>677.5557848496743</v>
      </c>
      <c r="CX116" s="62">
        <f t="shared" si="68"/>
        <v>951.60331683225013</v>
      </c>
      <c r="CY116" s="62">
        <f ca="1">AVERAGE(OFFSET($CX$3,0,0,'Données projet'!$E$13+1,1))-AVERAGE(OFFSET($H$3,0,0,'Données projet'!$E$13+1,1))</f>
        <v>520.23742527061836</v>
      </c>
      <c r="CZ116" s="62">
        <f t="shared" si="96"/>
        <v>321.35925479331274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4.5999999999999996</v>
      </c>
      <c r="DO116" s="13">
        <f>IF('Données projet'!$A$166&gt;35,DO115+DN116-DW115,IF(A116&lt;'Données projet'!$A$166,$DL$205^A116,IF(A116='Données projet'!$A$166,'Données projet'!$B$166,DO115+DN116-DW115)))</f>
        <v>320.79999999999995</v>
      </c>
      <c r="DP116" s="18">
        <f>DO116*VLOOKUP('Données projet'!$B$14,Paramètres!$A$1:$I$89,3,0)*VLOOKUP('Données projet'!$B$14,Paramètres!$A$1:$I$89,5,0)</f>
        <v>325.2912</v>
      </c>
      <c r="DQ116" s="14">
        <f t="shared" si="97"/>
        <v>76.453237715285965</v>
      </c>
      <c r="DR116" s="22">
        <f t="shared" si="70"/>
        <v>699.70489568745631</v>
      </c>
      <c r="DS116" s="62">
        <f t="shared" si="71"/>
        <v>973.75242767003215</v>
      </c>
      <c r="DT116" s="62">
        <f ca="1">AVERAGE(OFFSET($DS$3,0,0,'Données projet'!$E$14+1,1))-AVERAGE(OFFSET($H$3,0,0,'Données projet'!$E$14+1,1))</f>
        <v>547.89540791313675</v>
      </c>
      <c r="DU116" s="62">
        <f t="shared" si="98"/>
        <v>345.19555189302378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5.6843418860808015E-14</v>
      </c>
      <c r="EK116" s="18">
        <f>EJ116*VLOOKUP('Données projet'!$B$15,Paramètres!$A$1:$I$89,3,0)*VLOOKUP('Données projet'!$B$15,Paramètres!$A$1:$I$89,5,0)</f>
        <v>5.9412741393316544E-14</v>
      </c>
      <c r="EL116" s="14">
        <f t="shared" si="99"/>
        <v>9.483138037075782E-13</v>
      </c>
      <c r="EM116" s="22">
        <f t="shared" si="73"/>
        <v>1.7551237327173916E-12</v>
      </c>
      <c r="EN116" s="62">
        <f t="shared" si="74"/>
        <v>274.0475319825776</v>
      </c>
      <c r="EO116" s="62">
        <f ca="1">AVERAGE(OFFSET($EN$3,0,0,'Données projet'!$E$15+1,1))-AVERAGE(OFFSET($H$3,0,0,'Données projet'!$E$15+1,1))</f>
        <v>418.23737352070503</v>
      </c>
      <c r="EP116" s="62">
        <f t="shared" si="100"/>
        <v>496.10742685332968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1.1368683772161603E-13</v>
      </c>
      <c r="FF116" s="18">
        <f>FE116*VLOOKUP('Données projet'!$B$16,Paramètres!$A$1:$I$89,3,0)*VLOOKUP('Données projet'!$B$16,Paramètres!$A$1:$I$89,5,0)</f>
        <v>6.7984728957526396E-14</v>
      </c>
      <c r="FG116" s="14">
        <f t="shared" si="101"/>
        <v>1.0682447123141398E-12</v>
      </c>
      <c r="FH116" s="22">
        <f t="shared" si="76"/>
        <v>1.978932943548152E-12</v>
      </c>
      <c r="FI116" s="62">
        <f t="shared" si="77"/>
        <v>274.04753198257782</v>
      </c>
      <c r="FJ116" s="62">
        <f ca="1">AVERAGE(OFFSET($FI$3,0,0,'Données projet'!$E$16+1,1))-AVERAGE(OFFSET($H$3,0,0,'Données projet'!$E$16+1,1))</f>
        <v>341.70983624543067</v>
      </c>
      <c r="FK116" s="62">
        <f t="shared" si="102"/>
        <v>250.82562837973805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3.984935731870969E-12</v>
      </c>
      <c r="FT116" s="24">
        <f t="shared" si="78"/>
        <v>3.984935731870969E-12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8</v>
      </c>
      <c r="FZ116" s="13">
        <f>IF('Données projet'!$A$244&gt;35,FZ115+FY116-GH115,IF(A116&lt;'Données projet'!$A$244,$FW$205^A116,IF(A116='Données projet'!$A$244,'Données projet'!$B$244,FZ115+FY116-GH115)))</f>
        <v>406.99999999999972</v>
      </c>
      <c r="GA116" s="18">
        <f>FZ116*VLOOKUP('Données projet'!$B$17,Paramètres!$A$1:$I$89,3,0)*VLOOKUP('Données projet'!$B$17,Paramètres!$A$1:$I$89,5,0)</f>
        <v>190.47599999999989</v>
      </c>
      <c r="GB116" s="14">
        <f t="shared" si="103"/>
        <v>47.645174362968312</v>
      </c>
      <c r="GC116" s="22">
        <f t="shared" si="79"/>
        <v>414.7277120155029</v>
      </c>
      <c r="GD116" s="62">
        <f t="shared" si="80"/>
        <v>688.77524399807874</v>
      </c>
      <c r="GE116" s="62">
        <f ca="1">AVERAGE(OFFSET($GD$3,0,0,'Données projet'!$E$17+1,1))-AVERAGE(OFFSET($H$3,0,0,'Données projet'!$E$17+1,1))</f>
        <v>368.69628434154333</v>
      </c>
      <c r="GF116" s="62">
        <f t="shared" si="104"/>
        <v>202.28197295839524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-1.1368683772161603E-13</v>
      </c>
      <c r="GV116" s="18">
        <f>GU116*VLOOKUP('Données projet'!$B$18,Paramètres!$A$1:$I$89,3,0)*VLOOKUP('Données projet'!$B$18,Paramètres!$A$1:$I$89,5,0)</f>
        <v>-9.9316821433603781E-14</v>
      </c>
      <c r="GW116" s="14" t="e">
        <f t="shared" si="105"/>
        <v>#NUM!</v>
      </c>
      <c r="GX116" s="22" t="e">
        <f t="shared" si="82"/>
        <v>#NUM!</v>
      </c>
      <c r="GY116" s="62" t="e">
        <f t="shared" si="83"/>
        <v>#NUM!</v>
      </c>
      <c r="GZ116" s="62">
        <f ca="1">AVERAGE(OFFSET($GY$3,0,0,'Données projet'!$E$18+1,1))-AVERAGE(OFFSET($H$3,0,0,'Données projet'!$E$18+1,1))</f>
        <v>378.51861272969165</v>
      </c>
      <c r="HA116" s="62">
        <f t="shared" si="106"/>
        <v>387.42368617035459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0</v>
      </c>
      <c r="HH116" s="23">
        <f>EXP(-LN(2)/25)*HH115+(1-EXP(-LN(2)/25))/(LN(2)/25)*Calculateur!HC116*Calculateur!HE116*VLOOKUP('Données projet'!$B$18,Paramètres!$A$1:$I$89,3,0)*0.475*44/12</f>
        <v>0</v>
      </c>
      <c r="HI116" s="23">
        <f>EXP(-LN(2)/2)*HI115+(1-EXP(-LN(2)/2))/(LN(2)/2)*HC116*HF116*VLOOKUP('Données projet'!$B$18,Paramètres!$A$1:$I$89,3,0)*0.475*44/12</f>
        <v>0</v>
      </c>
      <c r="HJ116" s="24">
        <f t="shared" si="84"/>
        <v>0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135.66666666666666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274.382097519421</v>
      </c>
      <c r="S117" s="62">
        <f ca="1">AVERAGE(OFFSET($R$3,0,0,'Données projet'!$E$9+1,1))-AVERAGE(OFFSET($H$3,0,0,'Données projet'!$E$9+1,1))</f>
        <v>437.94016462147999</v>
      </c>
      <c r="T117" s="62">
        <f t="shared" si="88"/>
        <v>281.88254003380348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1.8618208605926151E-12</v>
      </c>
      <c r="AC117" s="24">
        <f t="shared" si="57"/>
        <v>1.8618208605926151E-12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280.2</v>
      </c>
      <c r="AJ117" s="14">
        <f>AI117*VLOOKUP('Données projet'!$B$10,Paramètres!$A$1:$I$89,3,0)*VLOOKUP('Données projet'!$B$10,Paramètres!$A$1:$I$89,5,0)</f>
        <v>253.52495999999999</v>
      </c>
      <c r="AK117" s="14">
        <f t="shared" si="89"/>
        <v>61.340141798422209</v>
      </c>
      <c r="AL117" s="22">
        <f t="shared" si="58"/>
        <v>548.39005229891859</v>
      </c>
      <c r="AM117" s="62">
        <f t="shared" si="59"/>
        <v>822.77214981833754</v>
      </c>
      <c r="AN117" s="62">
        <f ca="1">AVERAGE(OFFSET($AM$3,0,0,'Données projet'!$E$10+1,1))-AVERAGE(OFFSET($H$3,0,0,'Données projet'!$E$10+1,1))</f>
        <v>434.56763649859136</v>
      </c>
      <c r="AO117" s="62">
        <f t="shared" si="90"/>
        <v>271.90302066766264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1.1368683772161603E-13</v>
      </c>
      <c r="BE117" s="14">
        <f>BD117*VLOOKUP('Données projet'!$B$11,Paramètres!$A$1:$I$89,3,0)*VLOOKUP('Données projet'!$B$11,Paramètres!$A$1:$I$89,5,0)</f>
        <v>6.7984728957526396E-14</v>
      </c>
      <c r="BF117" s="14">
        <f t="shared" si="91"/>
        <v>1.0682447123141398E-12</v>
      </c>
      <c r="BG117" s="22">
        <f t="shared" si="61"/>
        <v>1.978932943548152E-12</v>
      </c>
      <c r="BH117" s="62">
        <f t="shared" si="62"/>
        <v>274.382097519421</v>
      </c>
      <c r="BI117" s="62">
        <f ca="1">AVERAGE(OFFSET($BH$3,0,0,'Données projet'!$E$11+1,1))-AVERAGE(OFFSET($H$3,0,0,'Données projet'!$E$11+1,1))</f>
        <v>199.65420589615553</v>
      </c>
      <c r="BJ117" s="62">
        <f t="shared" si="92"/>
        <v>477.85821088970999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10.102328464332077</v>
      </c>
      <c r="BQ117" s="23">
        <f>EXP(-LN(2)/25)*BQ116+(1-EXP(-LN(2)/25))/(LN(2)/25)*Calculateur!BL117*Calculateur!BN117*VLOOKUP('Données projet'!$B$11,Paramètres!$A$1:$I$89,3,0)*0.475*44/12</f>
        <v>4.2804199682067781</v>
      </c>
      <c r="BR117" s="23">
        <f>EXP(-LN(2)/2)*BR116+(1-EXP(-LN(2)/2))/(LN(2)/2)*BL117*BO117*VLOOKUP('Données projet'!$B$11,Paramètres!$A$1:$I$89,3,0)*0.475*44/12</f>
        <v>9.9060764107227193E-12</v>
      </c>
      <c r="BS117" s="24">
        <f t="shared" si="63"/>
        <v>14.382748432548761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1.1368683772161603E-13</v>
      </c>
      <c r="BZ117" s="14">
        <f>BY117*VLOOKUP('Données projet'!$B$12,Paramètres!$A$1:$I$89,3,0)*VLOOKUP('Données projet'!$B$12,Paramètres!$A$1:$I$89,5,0)</f>
        <v>6.7984728957526396E-14</v>
      </c>
      <c r="CA117" s="14">
        <f t="shared" si="93"/>
        <v>1.0682447123141398E-12</v>
      </c>
      <c r="CB117" s="22">
        <f t="shared" si="64"/>
        <v>1.978932943548152E-12</v>
      </c>
      <c r="CC117" s="62">
        <f t="shared" si="65"/>
        <v>274.382097519421</v>
      </c>
      <c r="CD117" s="62">
        <f ca="1">AVERAGE(OFFSET($CC$3,0,0,'Données projet'!$E$12+1,1))-AVERAGE(OFFSET($H$3,0,0,'Données projet'!$E$12+1,1))</f>
        <v>437.94016462147999</v>
      </c>
      <c r="CE117" s="62">
        <f t="shared" si="94"/>
        <v>281.88254003380348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1.8618208605926151E-12</v>
      </c>
      <c r="CN117" s="24">
        <f t="shared" si="66"/>
        <v>1.8618208605926151E-12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3.8</v>
      </c>
      <c r="CT117" s="13">
        <f>IF('Données projet'!$A$140&gt;35,CT116+CS117-DB116,IF(A117&lt;'Données projet'!$A$140,$CQ$205^A117,IF(A117='Données projet'!$A$140,'Données projet'!$B$140,CT116+CS117-DB116)))</f>
        <v>280.2</v>
      </c>
      <c r="CU117" s="18">
        <f>CT117*VLOOKUP('Données projet'!$B$13,Paramètres!$A$1:$I$89,3,0)*VLOOKUP('Données projet'!$B$13,Paramètres!$A$1:$I$89,5,0)</f>
        <v>319.09176000000002</v>
      </c>
      <c r="CV117" s="14">
        <f t="shared" si="95"/>
        <v>75.164345418155065</v>
      </c>
      <c r="CW117" s="22">
        <f t="shared" si="67"/>
        <v>686.66271693662009</v>
      </c>
      <c r="CX117" s="62">
        <f t="shared" si="68"/>
        <v>961.04481445603915</v>
      </c>
      <c r="CY117" s="62">
        <f ca="1">AVERAGE(OFFSET($CX$3,0,0,'Données projet'!$E$13+1,1))-AVERAGE(OFFSET($H$3,0,0,'Données projet'!$E$13+1,1))</f>
        <v>520.23742527061836</v>
      </c>
      <c r="CZ117" s="62">
        <f t="shared" si="96"/>
        <v>321.35925479331274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4.5999999999999996</v>
      </c>
      <c r="DO117" s="13">
        <f>IF('Données projet'!$A$166&gt;35,DO116+DN117-DW116,IF(A117&lt;'Données projet'!$A$166,$DL$205^A117,IF(A117='Données projet'!$A$166,'Données projet'!$B$166,DO116+DN117-DW116)))</f>
        <v>325.39999999999998</v>
      </c>
      <c r="DP117" s="18">
        <f>DO117*VLOOKUP('Données projet'!$B$14,Paramètres!$A$1:$I$89,3,0)*VLOOKUP('Données projet'!$B$14,Paramètres!$A$1:$I$89,5,0)</f>
        <v>329.9556</v>
      </c>
      <c r="DQ117" s="14">
        <f t="shared" si="97"/>
        <v>77.421101846941795</v>
      </c>
      <c r="DR117" s="22">
        <f t="shared" si="70"/>
        <v>709.51442238342361</v>
      </c>
      <c r="DS117" s="62">
        <f t="shared" si="71"/>
        <v>983.89651990284256</v>
      </c>
      <c r="DT117" s="62">
        <f ca="1">AVERAGE(OFFSET($DS$3,0,0,'Données projet'!$E$14+1,1))-AVERAGE(OFFSET($H$3,0,0,'Données projet'!$E$14+1,1))</f>
        <v>547.89540791313675</v>
      </c>
      <c r="DU117" s="62">
        <f t="shared" si="98"/>
        <v>345.19555189302378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5.6843418860808015E-14</v>
      </c>
      <c r="EK117" s="18">
        <f>EJ117*VLOOKUP('Données projet'!$B$15,Paramètres!$A$1:$I$89,3,0)*VLOOKUP('Données projet'!$B$15,Paramètres!$A$1:$I$89,5,0)</f>
        <v>5.9412741393316544E-14</v>
      </c>
      <c r="EL117" s="14">
        <f t="shared" si="99"/>
        <v>9.483138037075782E-13</v>
      </c>
      <c r="EM117" s="22">
        <f t="shared" si="73"/>
        <v>1.7551237327173916E-12</v>
      </c>
      <c r="EN117" s="62">
        <f t="shared" si="74"/>
        <v>274.38209751942077</v>
      </c>
      <c r="EO117" s="62">
        <f ca="1">AVERAGE(OFFSET($EN$3,0,0,'Données projet'!$E$15+1,1))-AVERAGE(OFFSET($H$3,0,0,'Données projet'!$E$15+1,1))</f>
        <v>418.23737352070503</v>
      </c>
      <c r="EP117" s="62">
        <f t="shared" si="100"/>
        <v>496.10742685332968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1.1368683772161603E-13</v>
      </c>
      <c r="FF117" s="18">
        <f>FE117*VLOOKUP('Données projet'!$B$16,Paramètres!$A$1:$I$89,3,0)*VLOOKUP('Données projet'!$B$16,Paramètres!$A$1:$I$89,5,0)</f>
        <v>6.7984728957526396E-14</v>
      </c>
      <c r="FG117" s="14">
        <f t="shared" si="101"/>
        <v>1.0682447123141398E-12</v>
      </c>
      <c r="FH117" s="22">
        <f t="shared" si="76"/>
        <v>1.978932943548152E-12</v>
      </c>
      <c r="FI117" s="62">
        <f t="shared" si="77"/>
        <v>274.382097519421</v>
      </c>
      <c r="FJ117" s="62">
        <f ca="1">AVERAGE(OFFSET($FI$3,0,0,'Données projet'!$E$16+1,1))-AVERAGE(OFFSET($H$3,0,0,'Données projet'!$E$16+1,1))</f>
        <v>341.70983624543067</v>
      </c>
      <c r="FK117" s="62">
        <f t="shared" si="102"/>
        <v>250.82562837973805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2.8177750785985399E-12</v>
      </c>
      <c r="FT117" s="24">
        <f t="shared" si="78"/>
        <v>2.8177750785985399E-12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8</v>
      </c>
      <c r="FZ117" s="13">
        <f>IF('Données projet'!$A$244&gt;35,FZ116+FY117-GH116,IF(A117&lt;'Données projet'!$A$244,$FW$205^A117,IF(A117='Données projet'!$A$244,'Données projet'!$B$244,FZ116+FY117-GH116)))</f>
        <v>414.99999999999972</v>
      </c>
      <c r="GA117" s="18">
        <f>FZ117*VLOOKUP('Données projet'!$B$17,Paramètres!$A$1:$I$89,3,0)*VLOOKUP('Données projet'!$B$17,Paramètres!$A$1:$I$89,5,0)</f>
        <v>194.21999999999986</v>
      </c>
      <c r="GB117" s="14">
        <f t="shared" si="103"/>
        <v>48.471738765579786</v>
      </c>
      <c r="GC117" s="22">
        <f t="shared" si="79"/>
        <v>422.68811168338453</v>
      </c>
      <c r="GD117" s="62">
        <f t="shared" si="80"/>
        <v>697.07020920280354</v>
      </c>
      <c r="GE117" s="62">
        <f ca="1">AVERAGE(OFFSET($GD$3,0,0,'Données projet'!$E$17+1,1))-AVERAGE(OFFSET($H$3,0,0,'Données projet'!$E$17+1,1))</f>
        <v>368.69628434154333</v>
      </c>
      <c r="GF117" s="62">
        <f t="shared" si="104"/>
        <v>202.28197295839524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-1.1368683772161603E-13</v>
      </c>
      <c r="GV117" s="18">
        <f>GU117*VLOOKUP('Données projet'!$B$18,Paramètres!$A$1:$I$89,3,0)*VLOOKUP('Données projet'!$B$18,Paramètres!$A$1:$I$89,5,0)</f>
        <v>-9.9316821433603781E-14</v>
      </c>
      <c r="GW117" s="14" t="e">
        <f t="shared" si="105"/>
        <v>#NUM!</v>
      </c>
      <c r="GX117" s="22" t="e">
        <f t="shared" si="82"/>
        <v>#NUM!</v>
      </c>
      <c r="GY117" s="62" t="e">
        <f t="shared" si="83"/>
        <v>#NUM!</v>
      </c>
      <c r="GZ117" s="62">
        <f ca="1">AVERAGE(OFFSET($GY$3,0,0,'Données projet'!$E$18+1,1))-AVERAGE(OFFSET($H$3,0,0,'Données projet'!$E$18+1,1))</f>
        <v>378.51861272969165</v>
      </c>
      <c r="HA117" s="62">
        <f t="shared" si="106"/>
        <v>387.42368617035459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0</v>
      </c>
      <c r="HH117" s="23">
        <f>EXP(-LN(2)/25)*HH116+(1-EXP(-LN(2)/25))/(LN(2)/25)*Calculateur!HC117*Calculateur!HE117*VLOOKUP('Données projet'!$B$18,Paramètres!$A$1:$I$89,3,0)*0.475*44/12</f>
        <v>0</v>
      </c>
      <c r="HI117" s="23">
        <f>EXP(-LN(2)/2)*HI116+(1-EXP(-LN(2)/2))/(LN(2)/2)*HC117*HF117*VLOOKUP('Données projet'!$B$18,Paramètres!$A$1:$I$89,3,0)*0.475*44/12</f>
        <v>0</v>
      </c>
      <c r="HJ117" s="24">
        <f t="shared" si="84"/>
        <v>0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135.66666666666666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274.71085909217641</v>
      </c>
      <c r="S118" s="62">
        <f ca="1">AVERAGE(OFFSET($R$3,0,0,'Données projet'!$E$9+1,1))-AVERAGE(OFFSET($H$3,0,0,'Données projet'!$E$9+1,1))</f>
        <v>437.94016462147999</v>
      </c>
      <c r="T118" s="62">
        <f t="shared" si="88"/>
        <v>281.88254003380348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1.3165061558796119E-12</v>
      </c>
      <c r="AC118" s="24">
        <f t="shared" si="57"/>
        <v>1.3165061558796119E-12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284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284</v>
      </c>
      <c r="AJ118" s="14">
        <f>AI118*VLOOKUP('Données projet'!$B$10,Paramètres!$A$1:$I$89,3,0)*VLOOKUP('Données projet'!$B$10,Paramètres!$A$1:$I$89,5,0)</f>
        <v>256.96320000000003</v>
      </c>
      <c r="AK118" s="14">
        <f t="shared" si="89"/>
        <v>62.074612956838024</v>
      </c>
      <c r="AL118" s="22">
        <f t="shared" si="58"/>
        <v>555.65752423315951</v>
      </c>
      <c r="AM118" s="62">
        <f t="shared" si="59"/>
        <v>830.36838332533398</v>
      </c>
      <c r="AN118" s="62">
        <f ca="1">AVERAGE(OFFSET($AM$3,0,0,'Données projet'!$E$10+1,1))-AVERAGE(OFFSET($H$3,0,0,'Données projet'!$E$10+1,1))</f>
        <v>434.56763649859136</v>
      </c>
      <c r="AO118" s="62">
        <f t="shared" si="90"/>
        <v>271.90302066766264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1.1368683772161603E-13</v>
      </c>
      <c r="BE118" s="14">
        <f>BD118*VLOOKUP('Données projet'!$B$11,Paramètres!$A$1:$I$89,3,0)*VLOOKUP('Données projet'!$B$11,Paramètres!$A$1:$I$89,5,0)</f>
        <v>6.7984728957526396E-14</v>
      </c>
      <c r="BF118" s="14">
        <f t="shared" si="91"/>
        <v>1.0682447123141398E-12</v>
      </c>
      <c r="BG118" s="22">
        <f t="shared" si="61"/>
        <v>1.978932943548152E-12</v>
      </c>
      <c r="BH118" s="62">
        <f t="shared" si="62"/>
        <v>274.71085909217641</v>
      </c>
      <c r="BI118" s="62">
        <f ca="1">AVERAGE(OFFSET($BH$3,0,0,'Données projet'!$E$11+1,1))-AVERAGE(OFFSET($H$3,0,0,'Données projet'!$E$11+1,1))</f>
        <v>199.65420589615553</v>
      </c>
      <c r="BJ118" s="62">
        <f t="shared" si="92"/>
        <v>477.85821088970999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9.9042279649584604</v>
      </c>
      <c r="BQ118" s="23">
        <f>EXP(-LN(2)/25)*BQ117+(1-EXP(-LN(2)/25))/(LN(2)/25)*Calculateur!BL118*Calculateur!BN118*VLOOKUP('Données projet'!$B$11,Paramètres!$A$1:$I$89,3,0)*0.475*44/12</f>
        <v>4.1633716590786607</v>
      </c>
      <c r="BR118" s="23">
        <f>EXP(-LN(2)/2)*BR117+(1-EXP(-LN(2)/2))/(LN(2)/2)*BL118*BO118*VLOOKUP('Données projet'!$B$11,Paramètres!$A$1:$I$89,3,0)*0.475*44/12</f>
        <v>7.0046538049741301E-12</v>
      </c>
      <c r="BS118" s="24">
        <f t="shared" si="63"/>
        <v>14.067599624044126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1.1368683772161603E-13</v>
      </c>
      <c r="BZ118" s="14">
        <f>BY118*VLOOKUP('Données projet'!$B$12,Paramètres!$A$1:$I$89,3,0)*VLOOKUP('Données projet'!$B$12,Paramètres!$A$1:$I$89,5,0)</f>
        <v>6.7984728957526396E-14</v>
      </c>
      <c r="CA118" s="14">
        <f t="shared" si="93"/>
        <v>1.0682447123141398E-12</v>
      </c>
      <c r="CB118" s="22">
        <f t="shared" si="64"/>
        <v>1.978932943548152E-12</v>
      </c>
      <c r="CC118" s="62">
        <f t="shared" si="65"/>
        <v>274.71085909217641</v>
      </c>
      <c r="CD118" s="62">
        <f ca="1">AVERAGE(OFFSET($CC$3,0,0,'Données projet'!$E$12+1,1))-AVERAGE(OFFSET($H$3,0,0,'Données projet'!$E$12+1,1))</f>
        <v>437.94016462147999</v>
      </c>
      <c r="CE118" s="62">
        <f t="shared" si="94"/>
        <v>281.88254003380348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1.3165061558796119E-12</v>
      </c>
      <c r="CN118" s="24">
        <f t="shared" si="66"/>
        <v>1.3165061558796119E-12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>
        <f>VLOOKUP(A118,'Données projet'!$A$139:$I$159,2,0)</f>
        <v>284</v>
      </c>
      <c r="CR118" s="13">
        <f>VLOOKUP(A118,'Données projet'!$A$139:$I$159,9,0)</f>
        <v>3.8</v>
      </c>
      <c r="CS118" s="13">
        <f t="array" ref="CS118">INDEX(CR:CR,MIN(IF(ISNUMBER(CR118:CR314),ROW(CR118:CR314),"")))</f>
        <v>3.8</v>
      </c>
      <c r="CT118" s="13">
        <f>IF('Données projet'!$A$140&gt;35,CT117+CS118-DB117,IF(A118&lt;'Données projet'!$A$140,$CQ$205^A118,IF(A118='Données projet'!$A$140,'Données projet'!$B$140,CT117+CS118-DB117)))</f>
        <v>284</v>
      </c>
      <c r="CU118" s="18">
        <f>CT118*VLOOKUP('Données projet'!$B$13,Paramètres!$A$1:$I$89,3,0)*VLOOKUP('Données projet'!$B$13,Paramètres!$A$1:$I$89,5,0)</f>
        <v>323.41919999999999</v>
      </c>
      <c r="CV118" s="14">
        <f t="shared" si="95"/>
        <v>76.06434405252827</v>
      </c>
      <c r="CW118" s="22">
        <f t="shared" si="67"/>
        <v>695.76717255815345</v>
      </c>
      <c r="CX118" s="62">
        <f t="shared" si="68"/>
        <v>970.47803165032792</v>
      </c>
      <c r="CY118" s="62">
        <f ca="1">AVERAGE(OFFSET($CX$3,0,0,'Données projet'!$E$13+1,1))-AVERAGE(OFFSET($H$3,0,0,'Données projet'!$E$13+1,1))</f>
        <v>520.23742527061836</v>
      </c>
      <c r="CZ118" s="62">
        <f t="shared" si="96"/>
        <v>321.35925479331274</v>
      </c>
      <c r="DA118" s="16">
        <f>IF(ISNA(VLOOKUP(A118,'Données projet'!$A$139:$I$159,3,0)),0,VLOOKUP(A118,'Données projet'!$A$139:$I$159,3,0))</f>
        <v>19</v>
      </c>
      <c r="DB118" s="16">
        <f>IF(ISNA(VLOOKUP(A118,'Données projet'!$A$139:$I$159,4,0)),0,VLOOKUP(A118,'Données projet'!$A$139:$I$159,4,0))</f>
        <v>18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>
        <f>VLOOKUP(A118,'Données projet'!$A$165:$I$185,2,0)</f>
        <v>330</v>
      </c>
      <c r="DM118" s="13">
        <f>VLOOKUP(A118,'Données projet'!$A$165:$I$185,9,0)</f>
        <v>4.5999999999999996</v>
      </c>
      <c r="DN118" s="13">
        <f t="array" ref="DN118">INDEX(DM:DM,MIN(IF(ISNUMBER(DM118:DM314),ROW(DM118:DM314),"")))</f>
        <v>4.5999999999999996</v>
      </c>
      <c r="DO118" s="13">
        <f>IF('Données projet'!$A$166&gt;35,DO117+DN118-DW117,IF(A118&lt;'Données projet'!$A$166,$DL$205^A118,IF(A118='Données projet'!$A$166,'Données projet'!$B$166,DO117+DN118-DW117)))</f>
        <v>330</v>
      </c>
      <c r="DP118" s="18">
        <f>DO118*VLOOKUP('Données projet'!$B$14,Paramètres!$A$1:$I$89,3,0)*VLOOKUP('Données projet'!$B$14,Paramètres!$A$1:$I$89,5,0)</f>
        <v>334.62</v>
      </c>
      <c r="DQ118" s="14">
        <f t="shared" si="97"/>
        <v>78.387374628661505</v>
      </c>
      <c r="DR118" s="22">
        <f t="shared" si="70"/>
        <v>719.32117747825214</v>
      </c>
      <c r="DS118" s="62">
        <f t="shared" si="71"/>
        <v>994.0320365704265</v>
      </c>
      <c r="DT118" s="62">
        <f ca="1">AVERAGE(OFFSET($DS$3,0,0,'Données projet'!$E$14+1,1))-AVERAGE(OFFSET($H$3,0,0,'Données projet'!$E$14+1,1))</f>
        <v>547.89540791313675</v>
      </c>
      <c r="DU118" s="62">
        <f t="shared" si="98"/>
        <v>345.19555189302378</v>
      </c>
      <c r="DV118" s="16">
        <f>IF(ISNA(VLOOKUP(A118,'Données projet'!$A$165:$I$185,3,0)),0,VLOOKUP(A118,'Données projet'!$A$165:$I$185,3,0))</f>
        <v>20</v>
      </c>
      <c r="DW118" s="16">
        <f>IF(ISNA(VLOOKUP(A118,'Données projet'!$A$165:$I$185,4,0)),0,VLOOKUP(A118,'Données projet'!$A$165:$I$185,4,0))</f>
        <v>330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5.6843418860808015E-14</v>
      </c>
      <c r="EK118" s="18">
        <f>EJ118*VLOOKUP('Données projet'!$B$15,Paramètres!$A$1:$I$89,3,0)*VLOOKUP('Données projet'!$B$15,Paramètres!$A$1:$I$89,5,0)</f>
        <v>5.9412741393316544E-14</v>
      </c>
      <c r="EL118" s="14">
        <f t="shared" si="99"/>
        <v>9.483138037075782E-13</v>
      </c>
      <c r="EM118" s="22">
        <f t="shared" si="73"/>
        <v>1.7551237327173916E-12</v>
      </c>
      <c r="EN118" s="62">
        <f t="shared" si="74"/>
        <v>274.71085909217618</v>
      </c>
      <c r="EO118" s="62">
        <f ca="1">AVERAGE(OFFSET($EN$3,0,0,'Données projet'!$E$15+1,1))-AVERAGE(OFFSET($H$3,0,0,'Données projet'!$E$15+1,1))</f>
        <v>418.23737352070503</v>
      </c>
      <c r="EP118" s="62">
        <f t="shared" si="100"/>
        <v>496.10742685332968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1.1368683772161603E-13</v>
      </c>
      <c r="FF118" s="18">
        <f>FE118*VLOOKUP('Données projet'!$B$16,Paramètres!$A$1:$I$89,3,0)*VLOOKUP('Données projet'!$B$16,Paramètres!$A$1:$I$89,5,0)</f>
        <v>6.7984728957526396E-14</v>
      </c>
      <c r="FG118" s="14">
        <f t="shared" si="101"/>
        <v>1.0682447123141398E-12</v>
      </c>
      <c r="FH118" s="22">
        <f t="shared" si="76"/>
        <v>1.978932943548152E-12</v>
      </c>
      <c r="FI118" s="62">
        <f t="shared" si="77"/>
        <v>274.71085909217641</v>
      </c>
      <c r="FJ118" s="62">
        <f ca="1">AVERAGE(OFFSET($FI$3,0,0,'Données projet'!$E$16+1,1))-AVERAGE(OFFSET($H$3,0,0,'Données projet'!$E$16+1,1))</f>
        <v>341.70983624543067</v>
      </c>
      <c r="FK118" s="62">
        <f t="shared" si="102"/>
        <v>250.82562837973805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1.9924678659354845E-12</v>
      </c>
      <c r="FT118" s="24">
        <f t="shared" si="78"/>
        <v>1.9924678659354845E-12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8</v>
      </c>
      <c r="FZ118" s="13">
        <f>IF('Données projet'!$A$244&gt;35,FZ117+FY118-GH117,IF(A118&lt;'Données projet'!$A$244,$FW$205^A118,IF(A118='Données projet'!$A$244,'Données projet'!$B$244,FZ117+FY118-GH117)))</f>
        <v>422.99999999999972</v>
      </c>
      <c r="GA118" s="18">
        <f>FZ118*VLOOKUP('Données projet'!$B$17,Paramètres!$A$1:$I$89,3,0)*VLOOKUP('Données projet'!$B$17,Paramètres!$A$1:$I$89,5,0)</f>
        <v>197.96399999999986</v>
      </c>
      <c r="GB118" s="14">
        <f t="shared" si="103"/>
        <v>49.296450435147719</v>
      </c>
      <c r="GC118" s="22">
        <f t="shared" si="79"/>
        <v>430.64528450788202</v>
      </c>
      <c r="GD118" s="62">
        <f t="shared" si="80"/>
        <v>705.35614360005638</v>
      </c>
      <c r="GE118" s="62">
        <f ca="1">AVERAGE(OFFSET($GD$3,0,0,'Données projet'!$E$17+1,1))-AVERAGE(OFFSET($H$3,0,0,'Données projet'!$E$17+1,1))</f>
        <v>368.69628434154333</v>
      </c>
      <c r="GF118" s="62">
        <f t="shared" si="104"/>
        <v>202.28197295839524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-1.1368683772161603E-13</v>
      </c>
      <c r="GV118" s="18">
        <f>GU118*VLOOKUP('Données projet'!$B$18,Paramètres!$A$1:$I$89,3,0)*VLOOKUP('Données projet'!$B$18,Paramètres!$A$1:$I$89,5,0)</f>
        <v>-9.9316821433603781E-14</v>
      </c>
      <c r="GW118" s="14" t="e">
        <f t="shared" si="105"/>
        <v>#NUM!</v>
      </c>
      <c r="GX118" s="22" t="e">
        <f t="shared" si="82"/>
        <v>#NUM!</v>
      </c>
      <c r="GY118" s="62" t="e">
        <f t="shared" si="83"/>
        <v>#NUM!</v>
      </c>
      <c r="GZ118" s="62">
        <f ca="1">AVERAGE(OFFSET($GY$3,0,0,'Données projet'!$E$18+1,1))-AVERAGE(OFFSET($H$3,0,0,'Données projet'!$E$18+1,1))</f>
        <v>378.51861272969165</v>
      </c>
      <c r="HA118" s="62">
        <f t="shared" si="106"/>
        <v>387.42368617035459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0</v>
      </c>
      <c r="HH118" s="23">
        <f>EXP(-LN(2)/25)*HH117+(1-EXP(-LN(2)/25))/(LN(2)/25)*Calculateur!HC118*Calculateur!HE118*VLOOKUP('Données projet'!$B$18,Paramètres!$A$1:$I$89,3,0)*0.475*44/12</f>
        <v>0</v>
      </c>
      <c r="HI118" s="23">
        <f>EXP(-LN(2)/2)*HI117+(1-EXP(-LN(2)/2))/(LN(2)/2)*HC118*HF118*VLOOKUP('Données projet'!$B$18,Paramètres!$A$1:$I$89,3,0)*0.475*44/12</f>
        <v>0</v>
      </c>
      <c r="HJ118" s="24">
        <f t="shared" si="84"/>
        <v>0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135.66666666666666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275.03391738664533</v>
      </c>
      <c r="S119" s="62">
        <f ca="1">AVERAGE(OFFSET($R$3,0,0,'Données projet'!$E$9+1,1))-AVERAGE(OFFSET($H$3,0,0,'Données projet'!$E$9+1,1))</f>
        <v>437.94016462147999</v>
      </c>
      <c r="T119" s="62">
        <f t="shared" si="88"/>
        <v>281.88254003380348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9.3091043029630757E-13</v>
      </c>
      <c r="AC119" s="24">
        <f t="shared" si="57"/>
        <v>9.3091043029630757E-13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269.60000000000002</v>
      </c>
      <c r="AJ119" s="14">
        <f>AI119*VLOOKUP('Données projet'!$B$10,Paramètres!$A$1:$I$89,3,0)*VLOOKUP('Données projet'!$B$10,Paramètres!$A$1:$I$89,5,0)</f>
        <v>243.93407999999999</v>
      </c>
      <c r="AK119" s="14">
        <f t="shared" si="89"/>
        <v>59.285164329617594</v>
      </c>
      <c r="AL119" s="22">
        <f t="shared" si="58"/>
        <v>528.10685054075066</v>
      </c>
      <c r="AM119" s="62">
        <f t="shared" si="59"/>
        <v>803.14076792739399</v>
      </c>
      <c r="AN119" s="62">
        <f ca="1">AVERAGE(OFFSET($AM$3,0,0,'Données projet'!$E$10+1,1))-AVERAGE(OFFSET($H$3,0,0,'Données projet'!$E$10+1,1))</f>
        <v>434.56763649859136</v>
      </c>
      <c r="AO119" s="62">
        <f t="shared" si="90"/>
        <v>271.90302066766264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1.1368683772161603E-13</v>
      </c>
      <c r="BE119" s="14">
        <f>BD119*VLOOKUP('Données projet'!$B$11,Paramètres!$A$1:$I$89,3,0)*VLOOKUP('Données projet'!$B$11,Paramètres!$A$1:$I$89,5,0)</f>
        <v>6.7984728957526396E-14</v>
      </c>
      <c r="BF119" s="14">
        <f t="shared" si="91"/>
        <v>1.0682447123141398E-12</v>
      </c>
      <c r="BG119" s="22">
        <f t="shared" si="61"/>
        <v>1.978932943548152E-12</v>
      </c>
      <c r="BH119" s="62">
        <f t="shared" si="62"/>
        <v>275.03391738664533</v>
      </c>
      <c r="BI119" s="62">
        <f ca="1">AVERAGE(OFFSET($BH$3,0,0,'Données projet'!$E$11+1,1))-AVERAGE(OFFSET($H$3,0,0,'Données projet'!$E$11+1,1))</f>
        <v>199.65420589615553</v>
      </c>
      <c r="BJ119" s="62">
        <f t="shared" si="92"/>
        <v>477.85821088970999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9.7100120955481852</v>
      </c>
      <c r="BQ119" s="23">
        <f>EXP(-LN(2)/25)*BQ118+(1-EXP(-LN(2)/25))/(LN(2)/25)*Calculateur!BL119*Calculateur!BN119*VLOOKUP('Données projet'!$B$11,Paramètres!$A$1:$I$89,3,0)*0.475*44/12</f>
        <v>4.0495240421189544</v>
      </c>
      <c r="BR119" s="23">
        <f>EXP(-LN(2)/2)*BR118+(1-EXP(-LN(2)/2))/(LN(2)/2)*BL119*BO119*VLOOKUP('Données projet'!$B$11,Paramètres!$A$1:$I$89,3,0)*0.475*44/12</f>
        <v>4.9530382053613597E-12</v>
      </c>
      <c r="BS119" s="24">
        <f t="shared" si="63"/>
        <v>13.759536137672093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1.1368683772161603E-13</v>
      </c>
      <c r="BZ119" s="14">
        <f>BY119*VLOOKUP('Données projet'!$B$12,Paramètres!$A$1:$I$89,3,0)*VLOOKUP('Données projet'!$B$12,Paramètres!$A$1:$I$89,5,0)</f>
        <v>6.7984728957526396E-14</v>
      </c>
      <c r="CA119" s="14">
        <f t="shared" si="93"/>
        <v>1.0682447123141398E-12</v>
      </c>
      <c r="CB119" s="22">
        <f t="shared" si="64"/>
        <v>1.978932943548152E-12</v>
      </c>
      <c r="CC119" s="62">
        <f t="shared" si="65"/>
        <v>275.03391738664533</v>
      </c>
      <c r="CD119" s="62">
        <f ca="1">AVERAGE(OFFSET($CC$3,0,0,'Données projet'!$E$12+1,1))-AVERAGE(OFFSET($H$3,0,0,'Données projet'!$E$12+1,1))</f>
        <v>437.94016462147999</v>
      </c>
      <c r="CE119" s="62">
        <f t="shared" si="94"/>
        <v>281.88254003380348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9.3091043029630757E-13</v>
      </c>
      <c r="CN119" s="24">
        <f t="shared" si="66"/>
        <v>9.3091043029630757E-13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3.6</v>
      </c>
      <c r="CT119" s="13">
        <f>IF('Données projet'!$A$140&gt;35,CT118+CS119-DB118,IF(A119&lt;'Données projet'!$A$140,$CQ$205^A119,IF(A119='Données projet'!$A$140,'Données projet'!$B$140,CT118+CS119-DB118)))</f>
        <v>269.60000000000002</v>
      </c>
      <c r="CU119" s="18">
        <f>CT119*VLOOKUP('Données projet'!$B$13,Paramètres!$A$1:$I$89,3,0)*VLOOKUP('Données projet'!$B$13,Paramètres!$A$1:$I$89,5,0)</f>
        <v>307.02048000000002</v>
      </c>
      <c r="CV119" s="14">
        <f t="shared" si="95"/>
        <v>72.646238485840655</v>
      </c>
      <c r="CW119" s="22">
        <f t="shared" si="67"/>
        <v>661.25286802950575</v>
      </c>
      <c r="CX119" s="62">
        <f t="shared" si="68"/>
        <v>936.28678541614909</v>
      </c>
      <c r="CY119" s="62">
        <f ca="1">AVERAGE(OFFSET($CX$3,0,0,'Données projet'!$E$13+1,1))-AVERAGE(OFFSET($H$3,0,0,'Données projet'!$E$13+1,1))</f>
        <v>520.23742527061836</v>
      </c>
      <c r="CZ119" s="62">
        <f t="shared" si="96"/>
        <v>321.35925479331274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>
        <f>DO119*VLOOKUP('Données projet'!$B$14,Paramètres!$A$1:$I$89,3,0)*VLOOKUP('Données projet'!$B$14,Paramètres!$A$1:$I$89,5,0)</f>
        <v>0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547.89540791313675</v>
      </c>
      <c r="DU119" s="62">
        <f t="shared" si="98"/>
        <v>345.19555189302378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5.6843418860808015E-14</v>
      </c>
      <c r="EK119" s="18">
        <f>EJ119*VLOOKUP('Données projet'!$B$15,Paramètres!$A$1:$I$89,3,0)*VLOOKUP('Données projet'!$B$15,Paramètres!$A$1:$I$89,5,0)</f>
        <v>5.9412741393316544E-14</v>
      </c>
      <c r="EL119" s="14">
        <f t="shared" si="99"/>
        <v>9.483138037075782E-13</v>
      </c>
      <c r="EM119" s="22">
        <f t="shared" si="73"/>
        <v>1.7551237327173916E-12</v>
      </c>
      <c r="EN119" s="62">
        <f t="shared" si="74"/>
        <v>275.0339173866451</v>
      </c>
      <c r="EO119" s="62">
        <f ca="1">AVERAGE(OFFSET($EN$3,0,0,'Données projet'!$E$15+1,1))-AVERAGE(OFFSET($H$3,0,0,'Données projet'!$E$15+1,1))</f>
        <v>418.23737352070503</v>
      </c>
      <c r="EP119" s="62">
        <f t="shared" si="100"/>
        <v>496.10742685332968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1.1368683772161603E-13</v>
      </c>
      <c r="FF119" s="18">
        <f>FE119*VLOOKUP('Données projet'!$B$16,Paramètres!$A$1:$I$89,3,0)*VLOOKUP('Données projet'!$B$16,Paramètres!$A$1:$I$89,5,0)</f>
        <v>6.7984728957526396E-14</v>
      </c>
      <c r="FG119" s="14">
        <f t="shared" si="101"/>
        <v>1.0682447123141398E-12</v>
      </c>
      <c r="FH119" s="22">
        <f t="shared" si="76"/>
        <v>1.978932943548152E-12</v>
      </c>
      <c r="FI119" s="62">
        <f t="shared" si="77"/>
        <v>275.03391738664533</v>
      </c>
      <c r="FJ119" s="62">
        <f ca="1">AVERAGE(OFFSET($FI$3,0,0,'Données projet'!$E$16+1,1))-AVERAGE(OFFSET($H$3,0,0,'Données projet'!$E$16+1,1))</f>
        <v>341.70983624543067</v>
      </c>
      <c r="FK119" s="62">
        <f t="shared" si="102"/>
        <v>250.82562837973805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1.40888753929927E-12</v>
      </c>
      <c r="FT119" s="24">
        <f t="shared" si="78"/>
        <v>1.40888753929927E-12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8</v>
      </c>
      <c r="FZ119" s="13">
        <f>IF('Données projet'!$A$244&gt;35,FZ118+FY119-GH118,IF(A119&lt;'Données projet'!$A$244,$FW$205^A119,IF(A119='Données projet'!$A$244,'Données projet'!$B$244,FZ118+FY119-GH118)))</f>
        <v>430.99999999999972</v>
      </c>
      <c r="GA119" s="18">
        <f>FZ119*VLOOKUP('Données projet'!$B$17,Paramètres!$A$1:$I$89,3,0)*VLOOKUP('Données projet'!$B$17,Paramètres!$A$1:$I$89,5,0)</f>
        <v>201.70799999999986</v>
      </c>
      <c r="GB119" s="14">
        <f t="shared" si="103"/>
        <v>50.119348451854243</v>
      </c>
      <c r="GC119" s="22">
        <f t="shared" si="79"/>
        <v>438.59929855364589</v>
      </c>
      <c r="GD119" s="62">
        <f t="shared" si="80"/>
        <v>713.63321594028923</v>
      </c>
      <c r="GE119" s="62">
        <f ca="1">AVERAGE(OFFSET($GD$3,0,0,'Données projet'!$E$17+1,1))-AVERAGE(OFFSET($H$3,0,0,'Données projet'!$E$17+1,1))</f>
        <v>368.69628434154333</v>
      </c>
      <c r="GF119" s="62">
        <f t="shared" si="104"/>
        <v>202.28197295839524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-1.1368683772161603E-13</v>
      </c>
      <c r="GV119" s="18">
        <f>GU119*VLOOKUP('Données projet'!$B$18,Paramètres!$A$1:$I$89,3,0)*VLOOKUP('Données projet'!$B$18,Paramètres!$A$1:$I$89,5,0)</f>
        <v>-9.9316821433603781E-14</v>
      </c>
      <c r="GW119" s="14" t="e">
        <f t="shared" si="105"/>
        <v>#NUM!</v>
      </c>
      <c r="GX119" s="22" t="e">
        <f t="shared" si="82"/>
        <v>#NUM!</v>
      </c>
      <c r="GY119" s="62" t="e">
        <f t="shared" si="83"/>
        <v>#NUM!</v>
      </c>
      <c r="GZ119" s="62">
        <f ca="1">AVERAGE(OFFSET($GY$3,0,0,'Données projet'!$E$18+1,1))-AVERAGE(OFFSET($H$3,0,0,'Données projet'!$E$18+1,1))</f>
        <v>378.51861272969165</v>
      </c>
      <c r="HA119" s="62">
        <f t="shared" si="106"/>
        <v>387.42368617035459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0</v>
      </c>
      <c r="HH119" s="23">
        <f>EXP(-LN(2)/25)*HH118+(1-EXP(-LN(2)/25))/(LN(2)/25)*Calculateur!HC119*Calculateur!HE119*VLOOKUP('Données projet'!$B$18,Paramètres!$A$1:$I$89,3,0)*0.475*44/12</f>
        <v>0</v>
      </c>
      <c r="HI119" s="23">
        <f>EXP(-LN(2)/2)*HI118+(1-EXP(-LN(2)/2))/(LN(2)/2)*HC119*HF119*VLOOKUP('Données projet'!$B$18,Paramètres!$A$1:$I$89,3,0)*0.475*44/12</f>
        <v>0</v>
      </c>
      <c r="HJ119" s="24">
        <f t="shared" si="84"/>
        <v>0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135.66666666666666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275.35137134195526</v>
      </c>
      <c r="S120" s="62">
        <f ca="1">AVERAGE(OFFSET($R$3,0,0,'Données projet'!$E$9+1,1))-AVERAGE(OFFSET($H$3,0,0,'Données projet'!$E$9+1,1))</f>
        <v>437.94016462147999</v>
      </c>
      <c r="T120" s="62">
        <f t="shared" si="88"/>
        <v>281.88254003380348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6.5825307793980596E-13</v>
      </c>
      <c r="AC120" s="24">
        <f t="shared" si="57"/>
        <v>6.5825307793980596E-13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273.20000000000005</v>
      </c>
      <c r="AJ120" s="14">
        <f>AI120*VLOOKUP('Données projet'!$B$10,Paramètres!$A$1:$I$89,3,0)*VLOOKUP('Données projet'!$B$10,Paramètres!$A$1:$I$89,5,0)</f>
        <v>247.19136000000003</v>
      </c>
      <c r="AK120" s="14">
        <f t="shared" si="89"/>
        <v>59.984117969781565</v>
      </c>
      <c r="AL120" s="22">
        <f t="shared" si="58"/>
        <v>534.99729079736949</v>
      </c>
      <c r="AM120" s="62">
        <f t="shared" si="59"/>
        <v>810.34866213932276</v>
      </c>
      <c r="AN120" s="62">
        <f ca="1">AVERAGE(OFFSET($AM$3,0,0,'Données projet'!$E$10+1,1))-AVERAGE(OFFSET($H$3,0,0,'Données projet'!$E$10+1,1))</f>
        <v>434.56763649859136</v>
      </c>
      <c r="AO120" s="62">
        <f t="shared" si="90"/>
        <v>271.90302066766264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1.1368683772161603E-13</v>
      </c>
      <c r="BE120" s="14">
        <f>BD120*VLOOKUP('Données projet'!$B$11,Paramètres!$A$1:$I$89,3,0)*VLOOKUP('Données projet'!$B$11,Paramètres!$A$1:$I$89,5,0)</f>
        <v>6.7984728957526396E-14</v>
      </c>
      <c r="BF120" s="14">
        <f t="shared" si="91"/>
        <v>1.0682447123141398E-12</v>
      </c>
      <c r="BG120" s="22">
        <f t="shared" si="61"/>
        <v>1.978932943548152E-12</v>
      </c>
      <c r="BH120" s="62">
        <f t="shared" si="62"/>
        <v>275.35137134195526</v>
      </c>
      <c r="BI120" s="62">
        <f ca="1">AVERAGE(OFFSET($BH$3,0,0,'Données projet'!$E$11+1,1))-AVERAGE(OFFSET($H$3,0,0,'Données projet'!$E$11+1,1))</f>
        <v>199.65420589615553</v>
      </c>
      <c r="BJ120" s="62">
        <f t="shared" si="92"/>
        <v>477.85821088970999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9.5196046808770625</v>
      </c>
      <c r="BQ120" s="23">
        <f>EXP(-LN(2)/25)*BQ119+(1-EXP(-LN(2)/25))/(LN(2)/25)*Calculateur!BL120*Calculateur!BN120*VLOOKUP('Données projet'!$B$11,Paramètres!$A$1:$I$89,3,0)*0.475*44/12</f>
        <v>3.9387895942319977</v>
      </c>
      <c r="BR120" s="23">
        <f>EXP(-LN(2)/2)*BR119+(1-EXP(-LN(2)/2))/(LN(2)/2)*BL120*BO120*VLOOKUP('Données projet'!$B$11,Paramètres!$A$1:$I$89,3,0)*0.475*44/12</f>
        <v>3.502326902487065E-12</v>
      </c>
      <c r="BS120" s="24">
        <f t="shared" si="63"/>
        <v>13.458394275112564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1.1368683772161603E-13</v>
      </c>
      <c r="BZ120" s="14">
        <f>BY120*VLOOKUP('Données projet'!$B$12,Paramètres!$A$1:$I$89,3,0)*VLOOKUP('Données projet'!$B$12,Paramètres!$A$1:$I$89,5,0)</f>
        <v>6.7984728957526396E-14</v>
      </c>
      <c r="CA120" s="14">
        <f t="shared" si="93"/>
        <v>1.0682447123141398E-12</v>
      </c>
      <c r="CB120" s="22">
        <f t="shared" si="64"/>
        <v>1.978932943548152E-12</v>
      </c>
      <c r="CC120" s="62">
        <f t="shared" si="65"/>
        <v>275.35137134195526</v>
      </c>
      <c r="CD120" s="62">
        <f ca="1">AVERAGE(OFFSET($CC$3,0,0,'Données projet'!$E$12+1,1))-AVERAGE(OFFSET($H$3,0,0,'Données projet'!$E$12+1,1))</f>
        <v>437.94016462147999</v>
      </c>
      <c r="CE120" s="62">
        <f t="shared" si="94"/>
        <v>281.88254003380348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6.5825307793980596E-13</v>
      </c>
      <c r="CN120" s="24">
        <f t="shared" si="66"/>
        <v>6.5825307793980596E-13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3.6</v>
      </c>
      <c r="CT120" s="13">
        <f>IF('Données projet'!$A$140&gt;35,CT119+CS120-DB119,IF(A120&lt;'Données projet'!$A$140,$CQ$205^A120,IF(A120='Données projet'!$A$140,'Données projet'!$B$140,CT119+CS120-DB119)))</f>
        <v>273.20000000000005</v>
      </c>
      <c r="CU120" s="18">
        <f>CT120*VLOOKUP('Données projet'!$B$13,Paramètres!$A$1:$I$89,3,0)*VLOOKUP('Données projet'!$B$13,Paramètres!$A$1:$I$89,5,0)</f>
        <v>311.12016000000006</v>
      </c>
      <c r="CV120" s="14">
        <f t="shared" si="95"/>
        <v>73.502715032849821</v>
      </c>
      <c r="CW120" s="22">
        <f t="shared" si="67"/>
        <v>669.88484068221362</v>
      </c>
      <c r="CX120" s="62">
        <f t="shared" si="68"/>
        <v>945.23621202416689</v>
      </c>
      <c r="CY120" s="62">
        <f ca="1">AVERAGE(OFFSET($CX$3,0,0,'Données projet'!$E$13+1,1))-AVERAGE(OFFSET($H$3,0,0,'Données projet'!$E$13+1,1))</f>
        <v>520.23742527061836</v>
      </c>
      <c r="CZ120" s="62">
        <f t="shared" si="96"/>
        <v>321.35925479331274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>
        <f>DO120*VLOOKUP('Données projet'!$B$14,Paramètres!$A$1:$I$89,3,0)*VLOOKUP('Données projet'!$B$14,Paramètres!$A$1:$I$89,5,0)</f>
        <v>0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547.89540791313675</v>
      </c>
      <c r="DU120" s="62">
        <f t="shared" si="98"/>
        <v>345.19555189302378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5.6843418860808015E-14</v>
      </c>
      <c r="EK120" s="18">
        <f>EJ120*VLOOKUP('Données projet'!$B$15,Paramètres!$A$1:$I$89,3,0)*VLOOKUP('Données projet'!$B$15,Paramètres!$A$1:$I$89,5,0)</f>
        <v>5.9412741393316544E-14</v>
      </c>
      <c r="EL120" s="14">
        <f t="shared" si="99"/>
        <v>9.483138037075782E-13</v>
      </c>
      <c r="EM120" s="22">
        <f t="shared" si="73"/>
        <v>1.7551237327173916E-12</v>
      </c>
      <c r="EN120" s="62">
        <f t="shared" si="74"/>
        <v>275.35137134195503</v>
      </c>
      <c r="EO120" s="62">
        <f ca="1">AVERAGE(OFFSET($EN$3,0,0,'Données projet'!$E$15+1,1))-AVERAGE(OFFSET($H$3,0,0,'Données projet'!$E$15+1,1))</f>
        <v>418.23737352070503</v>
      </c>
      <c r="EP120" s="62">
        <f t="shared" si="100"/>
        <v>496.10742685332968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1.1368683772161603E-13</v>
      </c>
      <c r="FF120" s="18">
        <f>FE120*VLOOKUP('Données projet'!$B$16,Paramètres!$A$1:$I$89,3,0)*VLOOKUP('Données projet'!$B$16,Paramètres!$A$1:$I$89,5,0)</f>
        <v>6.7984728957526396E-14</v>
      </c>
      <c r="FG120" s="14">
        <f t="shared" si="101"/>
        <v>1.0682447123141398E-12</v>
      </c>
      <c r="FH120" s="22">
        <f t="shared" si="76"/>
        <v>1.978932943548152E-12</v>
      </c>
      <c r="FI120" s="62">
        <f t="shared" si="77"/>
        <v>275.35137134195526</v>
      </c>
      <c r="FJ120" s="62">
        <f ca="1">AVERAGE(OFFSET($FI$3,0,0,'Données projet'!$E$16+1,1))-AVERAGE(OFFSET($H$3,0,0,'Données projet'!$E$16+1,1))</f>
        <v>341.70983624543067</v>
      </c>
      <c r="FK120" s="62">
        <f t="shared" si="102"/>
        <v>250.82562837973805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9.9623393296774226E-13</v>
      </c>
      <c r="FT120" s="24">
        <f t="shared" si="78"/>
        <v>9.9623393296774226E-13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8</v>
      </c>
      <c r="FZ120" s="13">
        <f>IF('Données projet'!$A$244&gt;35,FZ119+FY120-GH119,IF(A120&lt;'Données projet'!$A$244,$FW$205^A120,IF(A120='Données projet'!$A$244,'Données projet'!$B$244,FZ119+FY120-GH119)))</f>
        <v>438.99999999999972</v>
      </c>
      <c r="GA120" s="18">
        <f>FZ120*VLOOKUP('Données projet'!$B$17,Paramètres!$A$1:$I$89,3,0)*VLOOKUP('Données projet'!$B$17,Paramètres!$A$1:$I$89,5,0)</f>
        <v>205.45199999999986</v>
      </c>
      <c r="GB120" s="14">
        <f t="shared" si="103"/>
        <v>50.940470362067636</v>
      </c>
      <c r="GC120" s="22">
        <f t="shared" si="79"/>
        <v>446.55021921393427</v>
      </c>
      <c r="GD120" s="62">
        <f t="shared" si="80"/>
        <v>721.90159055588754</v>
      </c>
      <c r="GE120" s="62">
        <f ca="1">AVERAGE(OFFSET($GD$3,0,0,'Données projet'!$E$17+1,1))-AVERAGE(OFFSET($H$3,0,0,'Données projet'!$E$17+1,1))</f>
        <v>368.69628434154333</v>
      </c>
      <c r="GF120" s="62">
        <f t="shared" si="104"/>
        <v>202.28197295839524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-1.1368683772161603E-13</v>
      </c>
      <c r="GV120" s="18">
        <f>GU120*VLOOKUP('Données projet'!$B$18,Paramètres!$A$1:$I$89,3,0)*VLOOKUP('Données projet'!$B$18,Paramètres!$A$1:$I$89,5,0)</f>
        <v>-9.9316821433603781E-14</v>
      </c>
      <c r="GW120" s="14" t="e">
        <f t="shared" si="105"/>
        <v>#NUM!</v>
      </c>
      <c r="GX120" s="22" t="e">
        <f t="shared" si="82"/>
        <v>#NUM!</v>
      </c>
      <c r="GY120" s="62" t="e">
        <f t="shared" si="83"/>
        <v>#NUM!</v>
      </c>
      <c r="GZ120" s="62">
        <f ca="1">AVERAGE(OFFSET($GY$3,0,0,'Données projet'!$E$18+1,1))-AVERAGE(OFFSET($H$3,0,0,'Données projet'!$E$18+1,1))</f>
        <v>378.51861272969165</v>
      </c>
      <c r="HA120" s="62">
        <f t="shared" si="106"/>
        <v>387.42368617035459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0</v>
      </c>
      <c r="HH120" s="23">
        <f>EXP(-LN(2)/25)*HH119+(1-EXP(-LN(2)/25))/(LN(2)/25)*Calculateur!HC120*Calculateur!HE120*VLOOKUP('Données projet'!$B$18,Paramètres!$A$1:$I$89,3,0)*0.475*44/12</f>
        <v>0</v>
      </c>
      <c r="HI120" s="23">
        <f>EXP(-LN(2)/2)*HI119+(1-EXP(-LN(2)/2))/(LN(2)/2)*HC120*HF120*VLOOKUP('Données projet'!$B$18,Paramètres!$A$1:$I$89,3,0)*0.475*44/12</f>
        <v>0</v>
      </c>
      <c r="HJ120" s="24">
        <f t="shared" si="84"/>
        <v>0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135.66666666666666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275.66331818086132</v>
      </c>
      <c r="S121" s="62">
        <f ca="1">AVERAGE(OFFSET($R$3,0,0,'Données projet'!$E$9+1,1))-AVERAGE(OFFSET($H$3,0,0,'Données projet'!$E$9+1,1))</f>
        <v>437.94016462147999</v>
      </c>
      <c r="T121" s="62">
        <f t="shared" si="88"/>
        <v>281.88254003380348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4.6545521514815379E-13</v>
      </c>
      <c r="AC121" s="24">
        <f t="shared" si="57"/>
        <v>4.6545521514815379E-13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276.80000000000007</v>
      </c>
      <c r="AJ121" s="14">
        <f>AI121*VLOOKUP('Données projet'!$B$10,Paramètres!$A$1:$I$89,3,0)*VLOOKUP('Données projet'!$B$10,Paramètres!$A$1:$I$89,5,0)</f>
        <v>250.44864000000007</v>
      </c>
      <c r="AK121" s="14">
        <f t="shared" si="89"/>
        <v>60.682000328890055</v>
      </c>
      <c r="AL121" s="22">
        <f t="shared" si="58"/>
        <v>541.88586523948368</v>
      </c>
      <c r="AM121" s="62">
        <f t="shared" si="59"/>
        <v>817.54918342034307</v>
      </c>
      <c r="AN121" s="62">
        <f ca="1">AVERAGE(OFFSET($AM$3,0,0,'Données projet'!$E$10+1,1))-AVERAGE(OFFSET($H$3,0,0,'Données projet'!$E$10+1,1))</f>
        <v>434.56763649859136</v>
      </c>
      <c r="AO121" s="62">
        <f t="shared" si="90"/>
        <v>271.90302066766264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1.1368683772161603E-13</v>
      </c>
      <c r="BE121" s="14">
        <f>BD121*VLOOKUP('Données projet'!$B$11,Paramètres!$A$1:$I$89,3,0)*VLOOKUP('Données projet'!$B$11,Paramètres!$A$1:$I$89,5,0)</f>
        <v>6.7984728957526396E-14</v>
      </c>
      <c r="BF121" s="14">
        <f t="shared" si="91"/>
        <v>1.0682447123141398E-12</v>
      </c>
      <c r="BG121" s="22">
        <f t="shared" si="61"/>
        <v>1.978932943548152E-12</v>
      </c>
      <c r="BH121" s="62">
        <f t="shared" si="62"/>
        <v>275.66331818086132</v>
      </c>
      <c r="BI121" s="62">
        <f ca="1">AVERAGE(OFFSET($BH$3,0,0,'Données projet'!$E$11+1,1))-AVERAGE(OFFSET($H$3,0,0,'Données projet'!$E$11+1,1))</f>
        <v>199.65420589615553</v>
      </c>
      <c r="BJ121" s="62">
        <f t="shared" si="92"/>
        <v>477.85821088970999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9.3329310394705853</v>
      </c>
      <c r="BQ121" s="23">
        <f>EXP(-LN(2)/25)*BQ120+(1-EXP(-LN(2)/25))/(LN(2)/25)*Calculateur!BL121*Calculateur!BN121*VLOOKUP('Données projet'!$B$11,Paramètres!$A$1:$I$89,3,0)*0.475*44/12</f>
        <v>3.831083185645781</v>
      </c>
      <c r="BR121" s="23">
        <f>EXP(-LN(2)/2)*BR120+(1-EXP(-LN(2)/2))/(LN(2)/2)*BL121*BO121*VLOOKUP('Données projet'!$B$11,Paramètres!$A$1:$I$89,3,0)*0.475*44/12</f>
        <v>2.4765191026806798E-12</v>
      </c>
      <c r="BS121" s="24">
        <f t="shared" si="63"/>
        <v>13.164014225118843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1.1368683772161603E-13</v>
      </c>
      <c r="BZ121" s="14">
        <f>BY121*VLOOKUP('Données projet'!$B$12,Paramètres!$A$1:$I$89,3,0)*VLOOKUP('Données projet'!$B$12,Paramètres!$A$1:$I$89,5,0)</f>
        <v>6.7984728957526396E-14</v>
      </c>
      <c r="CA121" s="14">
        <f t="shared" si="93"/>
        <v>1.0682447123141398E-12</v>
      </c>
      <c r="CB121" s="22">
        <f t="shared" si="64"/>
        <v>1.978932943548152E-12</v>
      </c>
      <c r="CC121" s="62">
        <f t="shared" si="65"/>
        <v>275.66331818086132</v>
      </c>
      <c r="CD121" s="62">
        <f ca="1">AVERAGE(OFFSET($CC$3,0,0,'Données projet'!$E$12+1,1))-AVERAGE(OFFSET($H$3,0,0,'Données projet'!$E$12+1,1))</f>
        <v>437.94016462147999</v>
      </c>
      <c r="CE121" s="62">
        <f t="shared" si="94"/>
        <v>281.88254003380348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4.6545521514815379E-13</v>
      </c>
      <c r="CN121" s="24">
        <f t="shared" si="66"/>
        <v>4.6545521514815379E-13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3.6</v>
      </c>
      <c r="CT121" s="13">
        <f>IF('Données projet'!$A$140&gt;35,CT120+CS121-DB120,IF(A121&lt;'Données projet'!$A$140,$CQ$205^A121,IF(A121='Données projet'!$A$140,'Données projet'!$B$140,CT120+CS121-DB120)))</f>
        <v>276.80000000000007</v>
      </c>
      <c r="CU121" s="18">
        <f>CT121*VLOOKUP('Données projet'!$B$13,Paramètres!$A$1:$I$89,3,0)*VLOOKUP('Données projet'!$B$13,Paramètres!$A$1:$I$89,5,0)</f>
        <v>315.21984000000009</v>
      </c>
      <c r="CV121" s="14">
        <f t="shared" si="95"/>
        <v>74.357878864613525</v>
      </c>
      <c r="CW121" s="22">
        <f t="shared" si="67"/>
        <v>678.51452702253539</v>
      </c>
      <c r="CX121" s="62">
        <f t="shared" si="68"/>
        <v>954.17784520339478</v>
      </c>
      <c r="CY121" s="62">
        <f ca="1">AVERAGE(OFFSET($CX$3,0,0,'Données projet'!$E$13+1,1))-AVERAGE(OFFSET($H$3,0,0,'Données projet'!$E$13+1,1))</f>
        <v>520.23742527061836</v>
      </c>
      <c r="CZ121" s="62">
        <f t="shared" si="96"/>
        <v>321.35925479331274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>
        <f>DO121*VLOOKUP('Données projet'!$B$14,Paramètres!$A$1:$I$89,3,0)*VLOOKUP('Données projet'!$B$14,Paramètres!$A$1:$I$89,5,0)</f>
        <v>0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547.89540791313675</v>
      </c>
      <c r="DU121" s="62">
        <f t="shared" si="98"/>
        <v>345.19555189302378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5.6843418860808015E-14</v>
      </c>
      <c r="EK121" s="18">
        <f>EJ121*VLOOKUP('Données projet'!$B$15,Paramètres!$A$1:$I$89,3,0)*VLOOKUP('Données projet'!$B$15,Paramètres!$A$1:$I$89,5,0)</f>
        <v>5.9412741393316544E-14</v>
      </c>
      <c r="EL121" s="14">
        <f t="shared" si="99"/>
        <v>9.483138037075782E-13</v>
      </c>
      <c r="EM121" s="22">
        <f t="shared" si="73"/>
        <v>1.7551237327173916E-12</v>
      </c>
      <c r="EN121" s="62">
        <f t="shared" si="74"/>
        <v>275.6633181808611</v>
      </c>
      <c r="EO121" s="62">
        <f ca="1">AVERAGE(OFFSET($EN$3,0,0,'Données projet'!$E$15+1,1))-AVERAGE(OFFSET($H$3,0,0,'Données projet'!$E$15+1,1))</f>
        <v>418.23737352070503</v>
      </c>
      <c r="EP121" s="62">
        <f t="shared" si="100"/>
        <v>496.10742685332968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1.1368683772161603E-13</v>
      </c>
      <c r="FF121" s="18">
        <f>FE121*VLOOKUP('Données projet'!$B$16,Paramètres!$A$1:$I$89,3,0)*VLOOKUP('Données projet'!$B$16,Paramètres!$A$1:$I$89,5,0)</f>
        <v>6.7984728957526396E-14</v>
      </c>
      <c r="FG121" s="14">
        <f t="shared" si="101"/>
        <v>1.0682447123141398E-12</v>
      </c>
      <c r="FH121" s="22">
        <f t="shared" si="76"/>
        <v>1.978932943548152E-12</v>
      </c>
      <c r="FI121" s="62">
        <f t="shared" si="77"/>
        <v>275.66331818086132</v>
      </c>
      <c r="FJ121" s="62">
        <f ca="1">AVERAGE(OFFSET($FI$3,0,0,'Données projet'!$E$16+1,1))-AVERAGE(OFFSET($H$3,0,0,'Données projet'!$E$16+1,1))</f>
        <v>341.70983624543067</v>
      </c>
      <c r="FK121" s="62">
        <f t="shared" si="102"/>
        <v>250.82562837973805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7.0444376964963498E-13</v>
      </c>
      <c r="FT121" s="24">
        <f t="shared" si="78"/>
        <v>7.0444376964963498E-13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8</v>
      </c>
      <c r="FZ121" s="13">
        <f>IF('Données projet'!$A$244&gt;35,FZ120+FY121-GH120,IF(A121&lt;'Données projet'!$A$244,$FW$205^A121,IF(A121='Données projet'!$A$244,'Données projet'!$B$244,FZ120+FY121-GH120)))</f>
        <v>446.99999999999972</v>
      </c>
      <c r="GA121" s="18">
        <f>FZ121*VLOOKUP('Données projet'!$B$17,Paramètres!$A$1:$I$89,3,0)*VLOOKUP('Données projet'!$B$17,Paramètres!$A$1:$I$89,5,0)</f>
        <v>209.19599999999988</v>
      </c>
      <c r="GB121" s="14">
        <f t="shared" si="103"/>
        <v>51.759852265375784</v>
      </c>
      <c r="GC121" s="22">
        <f t="shared" si="79"/>
        <v>454.49810936219592</v>
      </c>
      <c r="GD121" s="62">
        <f t="shared" si="80"/>
        <v>730.1614275430552</v>
      </c>
      <c r="GE121" s="62">
        <f ca="1">AVERAGE(OFFSET($GD$3,0,0,'Données projet'!$E$17+1,1))-AVERAGE(OFFSET($H$3,0,0,'Données projet'!$E$17+1,1))</f>
        <v>368.69628434154333</v>
      </c>
      <c r="GF121" s="62">
        <f t="shared" si="104"/>
        <v>202.28197295839524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-1.1368683772161603E-13</v>
      </c>
      <c r="GV121" s="18">
        <f>GU121*VLOOKUP('Données projet'!$B$18,Paramètres!$A$1:$I$89,3,0)*VLOOKUP('Données projet'!$B$18,Paramètres!$A$1:$I$89,5,0)</f>
        <v>-9.9316821433603781E-14</v>
      </c>
      <c r="GW121" s="14" t="e">
        <f t="shared" si="105"/>
        <v>#NUM!</v>
      </c>
      <c r="GX121" s="22" t="e">
        <f t="shared" si="82"/>
        <v>#NUM!</v>
      </c>
      <c r="GY121" s="62" t="e">
        <f t="shared" si="83"/>
        <v>#NUM!</v>
      </c>
      <c r="GZ121" s="62">
        <f ca="1">AVERAGE(OFFSET($GY$3,0,0,'Données projet'!$E$18+1,1))-AVERAGE(OFFSET($H$3,0,0,'Données projet'!$E$18+1,1))</f>
        <v>378.51861272969165</v>
      </c>
      <c r="HA121" s="62">
        <f t="shared" si="106"/>
        <v>387.42368617035459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0</v>
      </c>
      <c r="HH121" s="23">
        <f>EXP(-LN(2)/25)*HH120+(1-EXP(-LN(2)/25))/(LN(2)/25)*Calculateur!HC121*Calculateur!HE121*VLOOKUP('Données projet'!$B$18,Paramètres!$A$1:$I$89,3,0)*0.475*44/12</f>
        <v>0</v>
      </c>
      <c r="HI121" s="23">
        <f>EXP(-LN(2)/2)*HI120+(1-EXP(-LN(2)/2))/(LN(2)/2)*HC121*HF121*VLOOKUP('Données projet'!$B$18,Paramètres!$A$1:$I$89,3,0)*0.475*44/12</f>
        <v>0</v>
      </c>
      <c r="HJ121" s="24">
        <f t="shared" si="84"/>
        <v>0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135.66666666666666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275.96985343952099</v>
      </c>
      <c r="S122" s="62">
        <f ca="1">AVERAGE(OFFSET($R$3,0,0,'Données projet'!$E$9+1,1))-AVERAGE(OFFSET($H$3,0,0,'Données projet'!$E$9+1,1))</f>
        <v>437.94016462147999</v>
      </c>
      <c r="T122" s="62">
        <f t="shared" si="88"/>
        <v>281.88254003380348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3.2912653896990298E-13</v>
      </c>
      <c r="AC122" s="24">
        <f t="shared" si="57"/>
        <v>3.2912653896990298E-13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280.40000000000009</v>
      </c>
      <c r="AJ122" s="14">
        <f>AI122*VLOOKUP('Données projet'!$B$10,Paramètres!$A$1:$I$89,3,0)*VLOOKUP('Données projet'!$B$10,Paramètres!$A$1:$I$89,5,0)</f>
        <v>253.70592000000005</v>
      </c>
      <c r="AK122" s="14">
        <f t="shared" si="89"/>
        <v>61.378826950685919</v>
      </c>
      <c r="AL122" s="22">
        <f t="shared" si="58"/>
        <v>548.77260093911138</v>
      </c>
      <c r="AM122" s="62">
        <f t="shared" si="59"/>
        <v>824.74245437863033</v>
      </c>
      <c r="AN122" s="62">
        <f ca="1">AVERAGE(OFFSET($AM$3,0,0,'Données projet'!$E$10+1,1))-AVERAGE(OFFSET($H$3,0,0,'Données projet'!$E$10+1,1))</f>
        <v>434.56763649859136</v>
      </c>
      <c r="AO122" s="62">
        <f t="shared" si="90"/>
        <v>271.90302066766264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1.1368683772161603E-13</v>
      </c>
      <c r="BE122" s="14">
        <f>BD122*VLOOKUP('Données projet'!$B$11,Paramètres!$A$1:$I$89,3,0)*VLOOKUP('Données projet'!$B$11,Paramètres!$A$1:$I$89,5,0)</f>
        <v>6.7984728957526396E-14</v>
      </c>
      <c r="BF122" s="14">
        <f t="shared" si="91"/>
        <v>1.0682447123141398E-12</v>
      </c>
      <c r="BG122" s="22">
        <f t="shared" si="61"/>
        <v>1.978932943548152E-12</v>
      </c>
      <c r="BH122" s="62">
        <f t="shared" si="62"/>
        <v>275.96985343952099</v>
      </c>
      <c r="BI122" s="62">
        <f ca="1">AVERAGE(OFFSET($BH$3,0,0,'Données projet'!$E$11+1,1))-AVERAGE(OFFSET($H$3,0,0,'Données projet'!$E$11+1,1))</f>
        <v>199.65420589615553</v>
      </c>
      <c r="BJ122" s="62">
        <f t="shared" si="92"/>
        <v>477.85821088970999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9.1499179543124107</v>
      </c>
      <c r="BQ122" s="23">
        <f>EXP(-LN(2)/25)*BQ121+(1-EXP(-LN(2)/25))/(LN(2)/25)*Calculateur!BL122*Calculateur!BN122*VLOOKUP('Données projet'!$B$11,Paramètres!$A$1:$I$89,3,0)*0.475*44/12</f>
        <v>3.7263220144663882</v>
      </c>
      <c r="BR122" s="23">
        <f>EXP(-LN(2)/2)*BR121+(1-EXP(-LN(2)/2))/(LN(2)/2)*BL122*BO122*VLOOKUP('Données projet'!$B$11,Paramètres!$A$1:$I$89,3,0)*0.475*44/12</f>
        <v>1.7511634512435325E-12</v>
      </c>
      <c r="BS122" s="24">
        <f t="shared" si="63"/>
        <v>12.876239968780551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1.1368683772161603E-13</v>
      </c>
      <c r="BZ122" s="14">
        <f>BY122*VLOOKUP('Données projet'!$B$12,Paramètres!$A$1:$I$89,3,0)*VLOOKUP('Données projet'!$B$12,Paramètres!$A$1:$I$89,5,0)</f>
        <v>6.7984728957526396E-14</v>
      </c>
      <c r="CA122" s="14">
        <f t="shared" si="93"/>
        <v>1.0682447123141398E-12</v>
      </c>
      <c r="CB122" s="22">
        <f t="shared" si="64"/>
        <v>1.978932943548152E-12</v>
      </c>
      <c r="CC122" s="62">
        <f t="shared" si="65"/>
        <v>275.96985343952099</v>
      </c>
      <c r="CD122" s="62">
        <f ca="1">AVERAGE(OFFSET($CC$3,0,0,'Données projet'!$E$12+1,1))-AVERAGE(OFFSET($H$3,0,0,'Données projet'!$E$12+1,1))</f>
        <v>437.94016462147999</v>
      </c>
      <c r="CE122" s="62">
        <f t="shared" si="94"/>
        <v>281.88254003380348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3.2912653896990298E-13</v>
      </c>
      <c r="CN122" s="24">
        <f t="shared" si="66"/>
        <v>3.2912653896990298E-13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3.6</v>
      </c>
      <c r="CT122" s="13">
        <f>IF('Données projet'!$A$140&gt;35,CT121+CS122-DB121,IF(A122&lt;'Données projet'!$A$140,$CQ$205^A122,IF(A122='Données projet'!$A$140,'Données projet'!$B$140,CT121+CS122-DB121)))</f>
        <v>280.40000000000009</v>
      </c>
      <c r="CU122" s="18">
        <f>CT122*VLOOKUP('Données projet'!$B$13,Paramètres!$A$1:$I$89,3,0)*VLOOKUP('Données projet'!$B$13,Paramètres!$A$1:$I$89,5,0)</f>
        <v>319.31952000000013</v>
      </c>
      <c r="CV122" s="14">
        <f t="shared" si="95"/>
        <v>75.211749027961957</v>
      </c>
      <c r="CW122" s="22">
        <f t="shared" si="67"/>
        <v>687.14196022370061</v>
      </c>
      <c r="CX122" s="62">
        <f t="shared" si="68"/>
        <v>963.11181366321966</v>
      </c>
      <c r="CY122" s="62">
        <f ca="1">AVERAGE(OFFSET($CX$3,0,0,'Données projet'!$E$13+1,1))-AVERAGE(OFFSET($H$3,0,0,'Données projet'!$E$13+1,1))</f>
        <v>520.23742527061836</v>
      </c>
      <c r="CZ122" s="62">
        <f t="shared" si="96"/>
        <v>321.35925479331274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>
        <f>DO122*VLOOKUP('Données projet'!$B$14,Paramètres!$A$1:$I$89,3,0)*VLOOKUP('Données projet'!$B$14,Paramètres!$A$1:$I$89,5,0)</f>
        <v>0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547.89540791313675</v>
      </c>
      <c r="DU122" s="62">
        <f t="shared" si="98"/>
        <v>345.19555189302378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5.6843418860808015E-14</v>
      </c>
      <c r="EK122" s="18">
        <f>EJ122*VLOOKUP('Données projet'!$B$15,Paramètres!$A$1:$I$89,3,0)*VLOOKUP('Données projet'!$B$15,Paramètres!$A$1:$I$89,5,0)</f>
        <v>5.9412741393316544E-14</v>
      </c>
      <c r="EL122" s="14">
        <f t="shared" si="99"/>
        <v>9.483138037075782E-13</v>
      </c>
      <c r="EM122" s="22">
        <f t="shared" si="73"/>
        <v>1.7551237327173916E-12</v>
      </c>
      <c r="EN122" s="62">
        <f t="shared" si="74"/>
        <v>275.96985343952076</v>
      </c>
      <c r="EO122" s="62">
        <f ca="1">AVERAGE(OFFSET($EN$3,0,0,'Données projet'!$E$15+1,1))-AVERAGE(OFFSET($H$3,0,0,'Données projet'!$E$15+1,1))</f>
        <v>418.23737352070503</v>
      </c>
      <c r="EP122" s="62">
        <f t="shared" si="100"/>
        <v>496.10742685332968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1.1368683772161603E-13</v>
      </c>
      <c r="FF122" s="18">
        <f>FE122*VLOOKUP('Données projet'!$B$16,Paramètres!$A$1:$I$89,3,0)*VLOOKUP('Données projet'!$B$16,Paramètres!$A$1:$I$89,5,0)</f>
        <v>6.7984728957526396E-14</v>
      </c>
      <c r="FG122" s="14">
        <f t="shared" si="101"/>
        <v>1.0682447123141398E-12</v>
      </c>
      <c r="FH122" s="22">
        <f t="shared" si="76"/>
        <v>1.978932943548152E-12</v>
      </c>
      <c r="FI122" s="62">
        <f t="shared" si="77"/>
        <v>275.96985343952099</v>
      </c>
      <c r="FJ122" s="62">
        <f ca="1">AVERAGE(OFFSET($FI$3,0,0,'Données projet'!$E$16+1,1))-AVERAGE(OFFSET($H$3,0,0,'Données projet'!$E$16+1,1))</f>
        <v>341.70983624543067</v>
      </c>
      <c r="FK122" s="62">
        <f t="shared" si="102"/>
        <v>250.82562837973805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4.9811696648387113E-13</v>
      </c>
      <c r="FT122" s="24">
        <f t="shared" si="78"/>
        <v>4.9811696648387113E-13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8</v>
      </c>
      <c r="FZ122" s="13">
        <f>IF('Données projet'!$A$244&gt;35,FZ121+FY122-GH121,IF(A122&lt;'Données projet'!$A$244,$FW$205^A122,IF(A122='Données projet'!$A$244,'Données projet'!$B$244,FZ121+FY122-GH121)))</f>
        <v>454.99999999999972</v>
      </c>
      <c r="GA122" s="18">
        <f>FZ122*VLOOKUP('Données projet'!$B$17,Paramètres!$A$1:$I$89,3,0)*VLOOKUP('Données projet'!$B$17,Paramètres!$A$1:$I$89,5,0)</f>
        <v>212.93999999999988</v>
      </c>
      <c r="GB122" s="14">
        <f t="shared" si="103"/>
        <v>52.577528895212815</v>
      </c>
      <c r="GC122" s="22">
        <f t="shared" si="79"/>
        <v>462.44302949249544</v>
      </c>
      <c r="GD122" s="62">
        <f t="shared" si="80"/>
        <v>738.41288293201444</v>
      </c>
      <c r="GE122" s="62">
        <f ca="1">AVERAGE(OFFSET($GD$3,0,0,'Données projet'!$E$17+1,1))-AVERAGE(OFFSET($H$3,0,0,'Données projet'!$E$17+1,1))</f>
        <v>368.69628434154333</v>
      </c>
      <c r="GF122" s="62">
        <f t="shared" si="104"/>
        <v>202.28197295839524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-1.1368683772161603E-13</v>
      </c>
      <c r="GV122" s="18">
        <f>GU122*VLOOKUP('Données projet'!$B$18,Paramètres!$A$1:$I$89,3,0)*VLOOKUP('Données projet'!$B$18,Paramètres!$A$1:$I$89,5,0)</f>
        <v>-9.9316821433603781E-14</v>
      </c>
      <c r="GW122" s="14" t="e">
        <f t="shared" si="105"/>
        <v>#NUM!</v>
      </c>
      <c r="GX122" s="22" t="e">
        <f t="shared" si="82"/>
        <v>#NUM!</v>
      </c>
      <c r="GY122" s="62" t="e">
        <f t="shared" si="83"/>
        <v>#NUM!</v>
      </c>
      <c r="GZ122" s="62">
        <f ca="1">AVERAGE(OFFSET($GY$3,0,0,'Données projet'!$E$18+1,1))-AVERAGE(OFFSET($H$3,0,0,'Données projet'!$E$18+1,1))</f>
        <v>378.51861272969165</v>
      </c>
      <c r="HA122" s="62">
        <f t="shared" si="106"/>
        <v>387.42368617035459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0</v>
      </c>
      <c r="HH122" s="23">
        <f>EXP(-LN(2)/25)*HH121+(1-EXP(-LN(2)/25))/(LN(2)/25)*Calculateur!HC122*Calculateur!HE122*VLOOKUP('Données projet'!$B$18,Paramètres!$A$1:$I$89,3,0)*0.475*44/12</f>
        <v>0</v>
      </c>
      <c r="HI122" s="23">
        <f>EXP(-LN(2)/2)*HI121+(1-EXP(-LN(2)/2))/(LN(2)/2)*HC122*HF122*VLOOKUP('Données projet'!$B$18,Paramètres!$A$1:$I$89,3,0)*0.475*44/12</f>
        <v>0</v>
      </c>
      <c r="HJ122" s="24">
        <f t="shared" si="84"/>
        <v>0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135.66666666666666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276.27107099675317</v>
      </c>
      <c r="S123" s="62">
        <f ca="1">AVERAGE(OFFSET($R$3,0,0,'Données projet'!$E$9+1,1))-AVERAGE(OFFSET($H$3,0,0,'Données projet'!$E$9+1,1))</f>
        <v>437.94016462147999</v>
      </c>
      <c r="T123" s="62">
        <f t="shared" si="88"/>
        <v>281.88254003380348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2.3272760757407689E-13</v>
      </c>
      <c r="AC123" s="24">
        <f t="shared" si="57"/>
        <v>2.3272760757407689E-13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284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284.00000000000011</v>
      </c>
      <c r="AJ123" s="14">
        <f>AI123*VLOOKUP('Données projet'!$B$10,Paramètres!$A$1:$I$89,3,0)*VLOOKUP('Données projet'!$B$10,Paramètres!$A$1:$I$89,5,0)</f>
        <v>256.96320000000009</v>
      </c>
      <c r="AK123" s="14">
        <f t="shared" si="89"/>
        <v>62.074612956838024</v>
      </c>
      <c r="AL123" s="22">
        <f t="shared" si="58"/>
        <v>555.65752423315973</v>
      </c>
      <c r="AM123" s="62">
        <f t="shared" si="59"/>
        <v>831.92859522991091</v>
      </c>
      <c r="AN123" s="62">
        <f ca="1">AVERAGE(OFFSET($AM$3,0,0,'Données projet'!$E$10+1,1))-AVERAGE(OFFSET($H$3,0,0,'Données projet'!$E$10+1,1))</f>
        <v>434.56763649859136</v>
      </c>
      <c r="AO123" s="62">
        <f t="shared" si="90"/>
        <v>271.90302066766264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284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1.1368683772161603E-13</v>
      </c>
      <c r="BE123" s="14">
        <f>BD123*VLOOKUP('Données projet'!$B$11,Paramètres!$A$1:$I$89,3,0)*VLOOKUP('Données projet'!$B$11,Paramètres!$A$1:$I$89,5,0)</f>
        <v>6.7984728957526396E-14</v>
      </c>
      <c r="BF123" s="14">
        <f t="shared" si="91"/>
        <v>1.0682447123141398E-12</v>
      </c>
      <c r="BG123" s="22">
        <f t="shared" si="61"/>
        <v>1.978932943548152E-12</v>
      </c>
      <c r="BH123" s="62">
        <f t="shared" si="62"/>
        <v>276.27107099675317</v>
      </c>
      <c r="BI123" s="62">
        <f ca="1">AVERAGE(OFFSET($BH$3,0,0,'Données projet'!$E$11+1,1))-AVERAGE(OFFSET($H$3,0,0,'Données projet'!$E$11+1,1))</f>
        <v>199.65420589615553</v>
      </c>
      <c r="BJ123" s="62">
        <f t="shared" si="92"/>
        <v>477.85821088970999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8.9704936441272292</v>
      </c>
      <c r="BQ123" s="23">
        <f>EXP(-LN(2)/25)*BQ122+(1-EXP(-LN(2)/25))/(LN(2)/25)*Calculateur!BL123*Calculateur!BN123*VLOOKUP('Données projet'!$B$11,Paramètres!$A$1:$I$89,3,0)*0.475*44/12</f>
        <v>3.6244255430220469</v>
      </c>
      <c r="BR123" s="23">
        <f>EXP(-LN(2)/2)*BR122+(1-EXP(-LN(2)/2))/(LN(2)/2)*BL123*BO123*VLOOKUP('Données projet'!$B$11,Paramètres!$A$1:$I$89,3,0)*0.475*44/12</f>
        <v>1.2382595513403399E-12</v>
      </c>
      <c r="BS123" s="24">
        <f t="shared" si="63"/>
        <v>12.594919187150515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1.1368683772161603E-13</v>
      </c>
      <c r="BZ123" s="14">
        <f>BY123*VLOOKUP('Données projet'!$B$12,Paramètres!$A$1:$I$89,3,0)*VLOOKUP('Données projet'!$B$12,Paramètres!$A$1:$I$89,5,0)</f>
        <v>6.7984728957526396E-14</v>
      </c>
      <c r="CA123" s="14">
        <f t="shared" si="93"/>
        <v>1.0682447123141398E-12</v>
      </c>
      <c r="CB123" s="22">
        <f t="shared" si="64"/>
        <v>1.978932943548152E-12</v>
      </c>
      <c r="CC123" s="62">
        <f t="shared" si="65"/>
        <v>276.27107099675317</v>
      </c>
      <c r="CD123" s="62">
        <f ca="1">AVERAGE(OFFSET($CC$3,0,0,'Données projet'!$E$12+1,1))-AVERAGE(OFFSET($H$3,0,0,'Données projet'!$E$12+1,1))</f>
        <v>437.94016462147999</v>
      </c>
      <c r="CE123" s="62">
        <f t="shared" si="94"/>
        <v>281.88254003380348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2.3272760757407689E-13</v>
      </c>
      <c r="CN123" s="24">
        <f t="shared" si="66"/>
        <v>2.3272760757407689E-13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284</v>
      </c>
      <c r="CR123" s="13">
        <f>VLOOKUP(A123,'Données projet'!$A$139:$I$159,9,0)</f>
        <v>3.6</v>
      </c>
      <c r="CS123" s="13">
        <f t="array" ref="CS123">INDEX(CR:CR,MIN(IF(ISNUMBER(CR123:CR319),ROW(CR123:CR319),"")))</f>
        <v>3.6</v>
      </c>
      <c r="CT123" s="13">
        <f>IF('Données projet'!$A$140&gt;35,CT122+CS123-DB122,IF(A123&lt;'Données projet'!$A$140,$CQ$205^A123,IF(A123='Données projet'!$A$140,'Données projet'!$B$140,CT122+CS123-DB122)))</f>
        <v>284.00000000000011</v>
      </c>
      <c r="CU123" s="18">
        <f>CT123*VLOOKUP('Données projet'!$B$13,Paramètres!$A$1:$I$89,3,0)*VLOOKUP('Données projet'!$B$13,Paramètres!$A$1:$I$89,5,0)</f>
        <v>323.41920000000016</v>
      </c>
      <c r="CV123" s="14">
        <f t="shared" si="95"/>
        <v>76.06434405252827</v>
      </c>
      <c r="CW123" s="22">
        <f t="shared" si="67"/>
        <v>695.76717255815367</v>
      </c>
      <c r="CX123" s="62">
        <f t="shared" si="68"/>
        <v>972.03824355490485</v>
      </c>
      <c r="CY123" s="62">
        <f ca="1">AVERAGE(OFFSET($CX$3,0,0,'Données projet'!$E$13+1,1))-AVERAGE(OFFSET($H$3,0,0,'Données projet'!$E$13+1,1))</f>
        <v>520.23742527061836</v>
      </c>
      <c r="CZ123" s="62">
        <f t="shared" si="96"/>
        <v>321.35925479331274</v>
      </c>
      <c r="DA123" s="16">
        <f>IF(ISNA(VLOOKUP(A123,'Données projet'!$A$139:$I$159,3,0)),0,VLOOKUP(A123,'Données projet'!$A$139:$I$159,3,0))</f>
        <v>20</v>
      </c>
      <c r="DB123" s="16">
        <f>IF(ISNA(VLOOKUP(A123,'Données projet'!$A$139:$I$159,4,0)),0,VLOOKUP(A123,'Données projet'!$A$139:$I$159,4,0))</f>
        <v>284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>
        <f>DO123*VLOOKUP('Données projet'!$B$14,Paramètres!$A$1:$I$89,3,0)*VLOOKUP('Données projet'!$B$14,Paramètres!$A$1:$I$89,5,0)</f>
        <v>0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547.89540791313675</v>
      </c>
      <c r="DU123" s="62">
        <f t="shared" si="98"/>
        <v>345.19555189302378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5.6843418860808015E-14</v>
      </c>
      <c r="EK123" s="18">
        <f>EJ123*VLOOKUP('Données projet'!$B$15,Paramètres!$A$1:$I$89,3,0)*VLOOKUP('Données projet'!$B$15,Paramètres!$A$1:$I$89,5,0)</f>
        <v>5.9412741393316544E-14</v>
      </c>
      <c r="EL123" s="14">
        <f t="shared" si="99"/>
        <v>9.483138037075782E-13</v>
      </c>
      <c r="EM123" s="22">
        <f t="shared" si="73"/>
        <v>1.7551237327173916E-12</v>
      </c>
      <c r="EN123" s="62">
        <f t="shared" si="74"/>
        <v>276.27107099675294</v>
      </c>
      <c r="EO123" s="62">
        <f ca="1">AVERAGE(OFFSET($EN$3,0,0,'Données projet'!$E$15+1,1))-AVERAGE(OFFSET($H$3,0,0,'Données projet'!$E$15+1,1))</f>
        <v>418.23737352070503</v>
      </c>
      <c r="EP123" s="62">
        <f t="shared" si="100"/>
        <v>496.10742685332968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1.1368683772161603E-13</v>
      </c>
      <c r="FF123" s="18">
        <f>FE123*VLOOKUP('Données projet'!$B$16,Paramètres!$A$1:$I$89,3,0)*VLOOKUP('Données projet'!$B$16,Paramètres!$A$1:$I$89,5,0)</f>
        <v>6.7984728957526396E-14</v>
      </c>
      <c r="FG123" s="14">
        <f t="shared" si="101"/>
        <v>1.0682447123141398E-12</v>
      </c>
      <c r="FH123" s="22">
        <f t="shared" si="76"/>
        <v>1.978932943548152E-12</v>
      </c>
      <c r="FI123" s="62">
        <f t="shared" si="77"/>
        <v>276.27107099675317</v>
      </c>
      <c r="FJ123" s="62">
        <f ca="1">AVERAGE(OFFSET($FI$3,0,0,'Données projet'!$E$16+1,1))-AVERAGE(OFFSET($H$3,0,0,'Données projet'!$E$16+1,1))</f>
        <v>341.70983624543067</v>
      </c>
      <c r="FK123" s="62">
        <f t="shared" si="102"/>
        <v>250.82562837973805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3.5222188482481749E-13</v>
      </c>
      <c r="FT123" s="24">
        <f t="shared" si="78"/>
        <v>3.5222188482481749E-13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>
        <f>VLOOKUP(A123,'Données projet'!$A$243:$I$263,2,0)</f>
        <v>463</v>
      </c>
      <c r="FX123" s="13">
        <f>VLOOKUP(A123,'Données projet'!$A$243:$I$263,9,0)</f>
        <v>8</v>
      </c>
      <c r="FY123" s="13">
        <f t="array" ref="FY123">INDEX(FX:FX,MIN(IF(ISNUMBER(FX123:FX319),ROW(FX123:FX319),"")))</f>
        <v>8</v>
      </c>
      <c r="FZ123" s="13">
        <f>IF('Données projet'!$A$244&gt;35,FZ122+FY123-GH122,IF(A123&lt;'Données projet'!$A$244,$FW$205^A123,IF(A123='Données projet'!$A$244,'Données projet'!$B$244,FZ122+FY123-GH122)))</f>
        <v>462.99999999999972</v>
      </c>
      <c r="GA123" s="18">
        <f>FZ123*VLOOKUP('Données projet'!$B$17,Paramètres!$A$1:$I$89,3,0)*VLOOKUP('Données projet'!$B$17,Paramètres!$A$1:$I$89,5,0)</f>
        <v>216.68399999999986</v>
      </c>
      <c r="GB123" s="14">
        <f t="shared" si="103"/>
        <v>53.393533693654852</v>
      </c>
      <c r="GC123" s="22">
        <f t="shared" si="79"/>
        <v>470.3850378497819</v>
      </c>
      <c r="GD123" s="62">
        <f t="shared" si="80"/>
        <v>746.65610884653302</v>
      </c>
      <c r="GE123" s="62">
        <f ca="1">AVERAGE(OFFSET($GD$3,0,0,'Données projet'!$E$17+1,1))-AVERAGE(OFFSET($H$3,0,0,'Données projet'!$E$17+1,1))</f>
        <v>368.69628434154333</v>
      </c>
      <c r="GF123" s="62">
        <f t="shared" si="104"/>
        <v>202.28197295839524</v>
      </c>
      <c r="GG123" s="16">
        <f>IF(ISNA(VLOOKUP(A123,'Données projet'!$A$243:$I$263,3,0)),0,VLOOKUP(A123,'Données projet'!$A$243:$I$263,3,0))</f>
        <v>17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-1.1368683772161603E-13</v>
      </c>
      <c r="GV123" s="18">
        <f>GU123*VLOOKUP('Données projet'!$B$18,Paramètres!$A$1:$I$89,3,0)*VLOOKUP('Données projet'!$B$18,Paramètres!$A$1:$I$89,5,0)</f>
        <v>-9.9316821433603781E-14</v>
      </c>
      <c r="GW123" s="14" t="e">
        <f t="shared" si="105"/>
        <v>#NUM!</v>
      </c>
      <c r="GX123" s="22" t="e">
        <f t="shared" si="82"/>
        <v>#NUM!</v>
      </c>
      <c r="GY123" s="62" t="e">
        <f t="shared" si="83"/>
        <v>#NUM!</v>
      </c>
      <c r="GZ123" s="62">
        <f ca="1">AVERAGE(OFFSET($GY$3,0,0,'Données projet'!$E$18+1,1))-AVERAGE(OFFSET($H$3,0,0,'Données projet'!$E$18+1,1))</f>
        <v>378.51861272969165</v>
      </c>
      <c r="HA123" s="62">
        <f t="shared" si="106"/>
        <v>387.42368617035459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0</v>
      </c>
      <c r="HH123" s="23">
        <f>EXP(-LN(2)/25)*HH122+(1-EXP(-LN(2)/25))/(LN(2)/25)*Calculateur!HC123*Calculateur!HE123*VLOOKUP('Données projet'!$B$18,Paramètres!$A$1:$I$89,3,0)*0.475*44/12</f>
        <v>0</v>
      </c>
      <c r="HI123" s="23">
        <f>EXP(-LN(2)/2)*HI122+(1-EXP(-LN(2)/2))/(LN(2)/2)*HC123*HF123*VLOOKUP('Données projet'!$B$18,Paramètres!$A$1:$I$89,3,0)*0.475*44/12</f>
        <v>0</v>
      </c>
      <c r="HJ123" s="24">
        <f t="shared" si="84"/>
        <v>0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135.66666666666666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276.56706310278889</v>
      </c>
      <c r="S124" s="62">
        <f ca="1">AVERAGE(OFFSET($R$3,0,0,'Données projet'!$E$9+1,1))-AVERAGE(OFFSET($H$3,0,0,'Données projet'!$E$9+1,1))</f>
        <v>437.94016462147999</v>
      </c>
      <c r="T124" s="62">
        <f t="shared" si="88"/>
        <v>281.88254003380348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1.6456326948495149E-13</v>
      </c>
      <c r="AC124" s="24">
        <f t="shared" si="57"/>
        <v>1.6456326948495149E-13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1.0286385077051818E-13</v>
      </c>
      <c r="AK124" s="14">
        <f t="shared" si="89"/>
        <v>1.5402366592183556E-12</v>
      </c>
      <c r="AL124" s="22">
        <f t="shared" si="58"/>
        <v>2.8617333882306215E-12</v>
      </c>
      <c r="AM124" s="62">
        <f t="shared" si="59"/>
        <v>276.56706310278975</v>
      </c>
      <c r="AN124" s="62">
        <f ca="1">AVERAGE(OFFSET($AM$3,0,0,'Données projet'!$E$10+1,1))-AVERAGE(OFFSET($H$3,0,0,'Données projet'!$E$10+1,1))</f>
        <v>434.56763649859136</v>
      </c>
      <c r="AO124" s="62">
        <f t="shared" si="90"/>
        <v>271.90302066766264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6.7984728957526396E-14</v>
      </c>
      <c r="BF124" s="14">
        <f t="shared" si="91"/>
        <v>1.0682447123141398E-12</v>
      </c>
      <c r="BG124" s="22">
        <f t="shared" si="61"/>
        <v>1.978932943548152E-12</v>
      </c>
      <c r="BH124" s="62">
        <f t="shared" si="62"/>
        <v>276.56706310278889</v>
      </c>
      <c r="BI124" s="62">
        <f ca="1">AVERAGE(OFFSET($BH$3,0,0,'Données projet'!$E$11+1,1))-AVERAGE(OFFSET($H$3,0,0,'Données projet'!$E$11+1,1))</f>
        <v>199.65420589615553</v>
      </c>
      <c r="BJ124" s="62">
        <f t="shared" si="92"/>
        <v>477.85821088970999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8.7945877352267559</v>
      </c>
      <c r="BQ124" s="23">
        <f>EXP(-LN(2)/25)*BQ123+(1-EXP(-LN(2)/25))/(LN(2)/25)*Calculateur!BL124*Calculateur!BN124*VLOOKUP('Données projet'!$B$11,Paramètres!$A$1:$I$89,3,0)*0.475*44/12</f>
        <v>3.5253154359478533</v>
      </c>
      <c r="BR124" s="23">
        <f>EXP(-LN(2)/2)*BR123+(1-EXP(-LN(2)/2))/(LN(2)/2)*BL124*BO124*VLOOKUP('Données projet'!$B$11,Paramètres!$A$1:$I$89,3,0)*0.475*44/12</f>
        <v>8.7558172562176626E-13</v>
      </c>
      <c r="BS124" s="24">
        <f t="shared" si="63"/>
        <v>12.319903171175485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1.1368683772161603E-13</v>
      </c>
      <c r="BZ124" s="14">
        <f>BY124*VLOOKUP('Données projet'!$B$12,Paramètres!$A$1:$I$89,3,0)*VLOOKUP('Données projet'!$B$12,Paramètres!$A$1:$I$89,5,0)</f>
        <v>6.7984728957526396E-14</v>
      </c>
      <c r="CA124" s="14">
        <f t="shared" si="93"/>
        <v>1.0682447123141398E-12</v>
      </c>
      <c r="CB124" s="22">
        <f t="shared" si="64"/>
        <v>1.978932943548152E-12</v>
      </c>
      <c r="CC124" s="62">
        <f t="shared" si="65"/>
        <v>276.56706310278889</v>
      </c>
      <c r="CD124" s="62">
        <f ca="1">AVERAGE(OFFSET($CC$3,0,0,'Données projet'!$E$12+1,1))-AVERAGE(OFFSET($H$3,0,0,'Données projet'!$E$12+1,1))</f>
        <v>437.94016462147999</v>
      </c>
      <c r="CE124" s="62">
        <f t="shared" si="94"/>
        <v>281.88254003380348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1.6456326948495149E-13</v>
      </c>
      <c r="CN124" s="24">
        <f t="shared" si="66"/>
        <v>1.6456326948495149E-13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1.1368683772161603E-13</v>
      </c>
      <c r="CU124" s="18">
        <f>CT124*VLOOKUP('Données projet'!$B$13,Paramètres!$A$1:$I$89,3,0)*VLOOKUP('Données projet'!$B$13,Paramètres!$A$1:$I$89,5,0)</f>
        <v>1.2946657079737634E-13</v>
      </c>
      <c r="CV124" s="14">
        <f t="shared" si="95"/>
        <v>1.8873591890224769E-12</v>
      </c>
      <c r="CW124" s="22">
        <f t="shared" si="67"/>
        <v>3.5126381983529106E-12</v>
      </c>
      <c r="CX124" s="62">
        <f t="shared" si="68"/>
        <v>276.56706310279043</v>
      </c>
      <c r="CY124" s="62">
        <f ca="1">AVERAGE(OFFSET($CX$3,0,0,'Données projet'!$E$13+1,1))-AVERAGE(OFFSET($H$3,0,0,'Données projet'!$E$13+1,1))</f>
        <v>520.23742527061836</v>
      </c>
      <c r="CZ124" s="62">
        <f t="shared" si="96"/>
        <v>321.35925479331274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>
        <f>DO124*VLOOKUP('Données projet'!$B$14,Paramètres!$A$1:$I$89,3,0)*VLOOKUP('Données projet'!$B$14,Paramètres!$A$1:$I$89,5,0)</f>
        <v>0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547.89540791313675</v>
      </c>
      <c r="DU124" s="62">
        <f t="shared" si="98"/>
        <v>345.19555189302378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5.6843418860808015E-14</v>
      </c>
      <c r="EK124" s="18">
        <f>EJ124*VLOOKUP('Données projet'!$B$15,Paramètres!$A$1:$I$89,3,0)*VLOOKUP('Données projet'!$B$15,Paramètres!$A$1:$I$89,5,0)</f>
        <v>5.9412741393316544E-14</v>
      </c>
      <c r="EL124" s="14">
        <f t="shared" si="99"/>
        <v>9.483138037075782E-13</v>
      </c>
      <c r="EM124" s="22">
        <f t="shared" si="73"/>
        <v>1.7551237327173916E-12</v>
      </c>
      <c r="EN124" s="62">
        <f t="shared" si="74"/>
        <v>276.56706310278867</v>
      </c>
      <c r="EO124" s="62">
        <f ca="1">AVERAGE(OFFSET($EN$3,0,0,'Données projet'!$E$15+1,1))-AVERAGE(OFFSET($H$3,0,0,'Données projet'!$E$15+1,1))</f>
        <v>418.23737352070503</v>
      </c>
      <c r="EP124" s="62">
        <f t="shared" si="100"/>
        <v>496.10742685332968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1.1368683772161603E-13</v>
      </c>
      <c r="FF124" s="18">
        <f>FE124*VLOOKUP('Données projet'!$B$16,Paramètres!$A$1:$I$89,3,0)*VLOOKUP('Données projet'!$B$16,Paramètres!$A$1:$I$89,5,0)</f>
        <v>6.7984728957526396E-14</v>
      </c>
      <c r="FG124" s="14">
        <f t="shared" si="101"/>
        <v>1.0682447123141398E-12</v>
      </c>
      <c r="FH124" s="22">
        <f t="shared" si="76"/>
        <v>1.978932943548152E-12</v>
      </c>
      <c r="FI124" s="62">
        <f t="shared" si="77"/>
        <v>276.56706310278889</v>
      </c>
      <c r="FJ124" s="62">
        <f ca="1">AVERAGE(OFFSET($FI$3,0,0,'Données projet'!$E$16+1,1))-AVERAGE(OFFSET($H$3,0,0,'Données projet'!$E$16+1,1))</f>
        <v>341.70983624543067</v>
      </c>
      <c r="FK124" s="62">
        <f t="shared" si="102"/>
        <v>250.82562837973805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2.4905848324193556E-13</v>
      </c>
      <c r="FT124" s="24">
        <f t="shared" si="78"/>
        <v>2.4905848324193556E-13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>
        <f>VLOOKUP(A124,'Données projet'!$A$243:$I$263,2,0)</f>
        <v>471</v>
      </c>
      <c r="FX124" s="13">
        <f>VLOOKUP(A124,'Données projet'!$A$243:$I$263,9,0)</f>
        <v>8</v>
      </c>
      <c r="FY124" s="13">
        <f t="array" ref="FY124">INDEX(FX:FX,MIN(IF(ISNUMBER(FX124:FX320),ROW(FX124:FX320),"")))</f>
        <v>8</v>
      </c>
      <c r="FZ124" s="13">
        <f>IF('Données projet'!$A$244&gt;35,FZ123+FY124-GH123,IF(A124&lt;'Données projet'!$A$244,$FW$205^A124,IF(A124='Données projet'!$A$244,'Données projet'!$B$244,FZ123+FY124-GH123)))</f>
        <v>470.99999999999972</v>
      </c>
      <c r="GA124" s="18">
        <f>FZ124*VLOOKUP('Données projet'!$B$17,Paramètres!$A$1:$I$89,3,0)*VLOOKUP('Données projet'!$B$17,Paramètres!$A$1:$I$89,5,0)</f>
        <v>220.42799999999986</v>
      </c>
      <c r="GB124" s="14">
        <f t="shared" si="103"/>
        <v>54.207898880899513</v>
      </c>
      <c r="GC124" s="22">
        <f t="shared" si="79"/>
        <v>478.3241905508998</v>
      </c>
      <c r="GD124" s="62">
        <f t="shared" si="80"/>
        <v>754.8912536536867</v>
      </c>
      <c r="GE124" s="62">
        <f ca="1">AVERAGE(OFFSET($GD$3,0,0,'Données projet'!$E$17+1,1))-AVERAGE(OFFSET($H$3,0,0,'Données projet'!$E$17+1,1))</f>
        <v>368.69628434154333</v>
      </c>
      <c r="GF124" s="62">
        <f t="shared" si="104"/>
        <v>202.28197295839524</v>
      </c>
      <c r="GG124" s="16">
        <f>IF(ISNA(VLOOKUP(A124,'Données projet'!$A$243:$I$263,3,0)),0,VLOOKUP(A124,'Données projet'!$A$243:$I$263,3,0))</f>
        <v>18</v>
      </c>
      <c r="GH124" s="16">
        <f>IF(ISNA(VLOOKUP(A124,'Données projet'!$A$243:$I$263,4,0)),0,VLOOKUP(A124,'Données projet'!$A$243:$I$263,4,0))</f>
        <v>234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-1.1368683772161603E-13</v>
      </c>
      <c r="GV124" s="18">
        <f>GU124*VLOOKUP('Données projet'!$B$18,Paramètres!$A$1:$I$89,3,0)*VLOOKUP('Données projet'!$B$18,Paramètres!$A$1:$I$89,5,0)</f>
        <v>-9.9316821433603781E-14</v>
      </c>
      <c r="GW124" s="14" t="e">
        <f t="shared" si="105"/>
        <v>#NUM!</v>
      </c>
      <c r="GX124" s="22" t="e">
        <f t="shared" si="82"/>
        <v>#NUM!</v>
      </c>
      <c r="GY124" s="62" t="e">
        <f t="shared" si="83"/>
        <v>#NUM!</v>
      </c>
      <c r="GZ124" s="62">
        <f ca="1">AVERAGE(OFFSET($GY$3,0,0,'Données projet'!$E$18+1,1))-AVERAGE(OFFSET($H$3,0,0,'Données projet'!$E$18+1,1))</f>
        <v>378.51861272969165</v>
      </c>
      <c r="HA124" s="62">
        <f t="shared" si="106"/>
        <v>387.42368617035459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0</v>
      </c>
      <c r="HH124" s="23">
        <f>EXP(-LN(2)/25)*HH123+(1-EXP(-LN(2)/25))/(LN(2)/25)*Calculateur!HC124*Calculateur!HE124*VLOOKUP('Données projet'!$B$18,Paramètres!$A$1:$I$89,3,0)*0.475*44/12</f>
        <v>0</v>
      </c>
      <c r="HI124" s="23">
        <f>EXP(-LN(2)/2)*HI123+(1-EXP(-LN(2)/2))/(LN(2)/2)*HC124*HF124*VLOOKUP('Données projet'!$B$18,Paramètres!$A$1:$I$89,3,0)*0.475*44/12</f>
        <v>0</v>
      </c>
      <c r="HJ124" s="24">
        <f t="shared" si="84"/>
        <v>0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135.66666666666666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276.85792040752415</v>
      </c>
      <c r="S125" s="62">
        <f ca="1">AVERAGE(OFFSET($R$3,0,0,'Données projet'!$E$9+1,1))-AVERAGE(OFFSET($H$3,0,0,'Données projet'!$E$9+1,1))</f>
        <v>437.94016462147999</v>
      </c>
      <c r="T125" s="62">
        <f t="shared" si="88"/>
        <v>281.88254003380348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1.1636380378703845E-13</v>
      </c>
      <c r="AC125" s="24">
        <f t="shared" si="57"/>
        <v>1.1636380378703845E-13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1.0286385077051818E-13</v>
      </c>
      <c r="AK125" s="14">
        <f t="shared" si="89"/>
        <v>1.5402366592183556E-12</v>
      </c>
      <c r="AL125" s="22">
        <f t="shared" si="58"/>
        <v>2.8617333882306215E-12</v>
      </c>
      <c r="AM125" s="62">
        <f t="shared" si="59"/>
        <v>276.857920407525</v>
      </c>
      <c r="AN125" s="62">
        <f ca="1">AVERAGE(OFFSET($AM$3,0,0,'Données projet'!$E$10+1,1))-AVERAGE(OFFSET($H$3,0,0,'Données projet'!$E$10+1,1))</f>
        <v>434.56763649859136</v>
      </c>
      <c r="AO125" s="62">
        <f t="shared" si="90"/>
        <v>271.90302066766264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6.7984728957526396E-14</v>
      </c>
      <c r="BF125" s="14">
        <f t="shared" si="91"/>
        <v>1.0682447123141398E-12</v>
      </c>
      <c r="BG125" s="22">
        <f t="shared" si="61"/>
        <v>1.978932943548152E-12</v>
      </c>
      <c r="BH125" s="62">
        <f t="shared" si="62"/>
        <v>276.85792040752415</v>
      </c>
      <c r="BI125" s="62">
        <f ca="1">AVERAGE(OFFSET($BH$3,0,0,'Données projet'!$E$11+1,1))-AVERAGE(OFFSET($H$3,0,0,'Données projet'!$E$11+1,1))</f>
        <v>199.65420589615553</v>
      </c>
      <c r="BJ125" s="62">
        <f t="shared" si="92"/>
        <v>477.85821088970999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8.62213123390781</v>
      </c>
      <c r="BQ125" s="23">
        <f>EXP(-LN(2)/25)*BQ124+(1-EXP(-LN(2)/25))/(LN(2)/25)*Calculateur!BL125*Calculateur!BN125*VLOOKUP('Données projet'!$B$11,Paramètres!$A$1:$I$89,3,0)*0.475*44/12</f>
        <v>3.4289154999635776</v>
      </c>
      <c r="BR125" s="23">
        <f>EXP(-LN(2)/2)*BR124+(1-EXP(-LN(2)/2))/(LN(2)/2)*BL125*BO125*VLOOKUP('Données projet'!$B$11,Paramètres!$A$1:$I$89,3,0)*0.475*44/12</f>
        <v>6.1912977567016996E-13</v>
      </c>
      <c r="BS125" s="24">
        <f t="shared" si="63"/>
        <v>12.051046733872008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1.1368683772161603E-13</v>
      </c>
      <c r="BZ125" s="14">
        <f>BY125*VLOOKUP('Données projet'!$B$12,Paramètres!$A$1:$I$89,3,0)*VLOOKUP('Données projet'!$B$12,Paramètres!$A$1:$I$89,5,0)</f>
        <v>6.7984728957526396E-14</v>
      </c>
      <c r="CA125" s="14">
        <f t="shared" si="93"/>
        <v>1.0682447123141398E-12</v>
      </c>
      <c r="CB125" s="22">
        <f t="shared" si="64"/>
        <v>1.978932943548152E-12</v>
      </c>
      <c r="CC125" s="62">
        <f t="shared" si="65"/>
        <v>276.85792040752415</v>
      </c>
      <c r="CD125" s="62">
        <f ca="1">AVERAGE(OFFSET($CC$3,0,0,'Données projet'!$E$12+1,1))-AVERAGE(OFFSET($H$3,0,0,'Données projet'!$E$12+1,1))</f>
        <v>437.94016462147999</v>
      </c>
      <c r="CE125" s="62">
        <f t="shared" si="94"/>
        <v>281.88254003380348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1.1636380378703845E-13</v>
      </c>
      <c r="CN125" s="24">
        <f t="shared" si="66"/>
        <v>1.1636380378703845E-13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1.1368683772161603E-13</v>
      </c>
      <c r="CU125" s="18">
        <f>CT125*VLOOKUP('Données projet'!$B$13,Paramètres!$A$1:$I$89,3,0)*VLOOKUP('Données projet'!$B$13,Paramètres!$A$1:$I$89,5,0)</f>
        <v>1.2946657079737634E-13</v>
      </c>
      <c r="CV125" s="14">
        <f t="shared" si="95"/>
        <v>1.8873591890224769E-12</v>
      </c>
      <c r="CW125" s="22">
        <f t="shared" si="67"/>
        <v>3.5126381983529106E-12</v>
      </c>
      <c r="CX125" s="62">
        <f t="shared" si="68"/>
        <v>276.85792040752568</v>
      </c>
      <c r="CY125" s="62">
        <f ca="1">AVERAGE(OFFSET($CX$3,0,0,'Données projet'!$E$13+1,1))-AVERAGE(OFFSET($H$3,0,0,'Données projet'!$E$13+1,1))</f>
        <v>520.23742527061836</v>
      </c>
      <c r="CZ125" s="62">
        <f t="shared" si="96"/>
        <v>321.35925479331274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>
        <f>DO125*VLOOKUP('Données projet'!$B$14,Paramètres!$A$1:$I$89,3,0)*VLOOKUP('Données projet'!$B$14,Paramètres!$A$1:$I$89,5,0)</f>
        <v>0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547.89540791313675</v>
      </c>
      <c r="DU125" s="62">
        <f t="shared" si="98"/>
        <v>345.19555189302378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5.6843418860808015E-14</v>
      </c>
      <c r="EK125" s="18">
        <f>EJ125*VLOOKUP('Données projet'!$B$15,Paramètres!$A$1:$I$89,3,0)*VLOOKUP('Données projet'!$B$15,Paramètres!$A$1:$I$89,5,0)</f>
        <v>5.9412741393316544E-14</v>
      </c>
      <c r="EL125" s="14">
        <f t="shared" si="99"/>
        <v>9.483138037075782E-13</v>
      </c>
      <c r="EM125" s="22">
        <f t="shared" si="73"/>
        <v>1.7551237327173916E-12</v>
      </c>
      <c r="EN125" s="62">
        <f t="shared" si="74"/>
        <v>276.85792040752392</v>
      </c>
      <c r="EO125" s="62">
        <f ca="1">AVERAGE(OFFSET($EN$3,0,0,'Données projet'!$E$15+1,1))-AVERAGE(OFFSET($H$3,0,0,'Données projet'!$E$15+1,1))</f>
        <v>418.23737352070503</v>
      </c>
      <c r="EP125" s="62">
        <f t="shared" si="100"/>
        <v>496.10742685332968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1.1368683772161603E-13</v>
      </c>
      <c r="FF125" s="18">
        <f>FE125*VLOOKUP('Données projet'!$B$16,Paramètres!$A$1:$I$89,3,0)*VLOOKUP('Données projet'!$B$16,Paramètres!$A$1:$I$89,5,0)</f>
        <v>6.7984728957526396E-14</v>
      </c>
      <c r="FG125" s="14">
        <f t="shared" si="101"/>
        <v>1.0682447123141398E-12</v>
      </c>
      <c r="FH125" s="22">
        <f t="shared" si="76"/>
        <v>1.978932943548152E-12</v>
      </c>
      <c r="FI125" s="62">
        <f t="shared" si="77"/>
        <v>276.85792040752415</v>
      </c>
      <c r="FJ125" s="62">
        <f ca="1">AVERAGE(OFFSET($FI$3,0,0,'Données projet'!$E$16+1,1))-AVERAGE(OFFSET($H$3,0,0,'Données projet'!$E$16+1,1))</f>
        <v>341.70983624543067</v>
      </c>
      <c r="FK125" s="62">
        <f t="shared" si="102"/>
        <v>250.82562837973805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1.7611094241240874E-13</v>
      </c>
      <c r="FT125" s="24">
        <f t="shared" si="78"/>
        <v>1.7611094241240874E-13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>
        <f>VLOOKUP(A125,'Données projet'!$A$243:$I$263,2,0)</f>
        <v>247</v>
      </c>
      <c r="FX125" s="13">
        <f>VLOOKUP(A125,'Données projet'!$A$243:$I$263,9,0)</f>
        <v>10</v>
      </c>
      <c r="FY125" s="13">
        <f t="array" ref="FY125">INDEX(FX:FX,MIN(IF(ISNUMBER(FX125:FX321),ROW(FX125:FX321),"")))</f>
        <v>10</v>
      </c>
      <c r="FZ125" s="13">
        <f>IF('Données projet'!$A$244&gt;35,FZ124+FY125-GH124,IF(A125&lt;'Données projet'!$A$244,$FW$205^A125,IF(A125='Données projet'!$A$244,'Données projet'!$B$244,FZ124+FY125-GH124)))</f>
        <v>246.99999999999972</v>
      </c>
      <c r="GA125" s="18">
        <f>FZ125*VLOOKUP('Données projet'!$B$17,Paramètres!$A$1:$I$89,3,0)*VLOOKUP('Données projet'!$B$17,Paramètres!$A$1:$I$89,5,0)</f>
        <v>115.59599999999986</v>
      </c>
      <c r="GB125" s="14">
        <f t="shared" si="103"/>
        <v>30.645614103483851</v>
      </c>
      <c r="GC125" s="22">
        <f t="shared" si="79"/>
        <v>254.70414456356741</v>
      </c>
      <c r="GD125" s="62">
        <f t="shared" si="80"/>
        <v>531.56206497108951</v>
      </c>
      <c r="GE125" s="62">
        <f ca="1">AVERAGE(OFFSET($GD$3,0,0,'Données projet'!$E$17+1,1))-AVERAGE(OFFSET($H$3,0,0,'Données projet'!$E$17+1,1))</f>
        <v>368.69628434154333</v>
      </c>
      <c r="GF125" s="62">
        <f t="shared" si="104"/>
        <v>202.28197295839524</v>
      </c>
      <c r="GG125" s="16">
        <f>IF(ISNA(VLOOKUP(A125,'Données projet'!$A$243:$I$263,3,0)),0,VLOOKUP(A125,'Données projet'!$A$243:$I$263,3,0))</f>
        <v>19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-1.1368683772161603E-13</v>
      </c>
      <c r="GV125" s="18">
        <f>GU125*VLOOKUP('Données projet'!$B$18,Paramètres!$A$1:$I$89,3,0)*VLOOKUP('Données projet'!$B$18,Paramètres!$A$1:$I$89,5,0)</f>
        <v>-9.9316821433603781E-14</v>
      </c>
      <c r="GW125" s="14" t="e">
        <f t="shared" si="105"/>
        <v>#NUM!</v>
      </c>
      <c r="GX125" s="22" t="e">
        <f t="shared" si="82"/>
        <v>#NUM!</v>
      </c>
      <c r="GY125" s="62" t="e">
        <f t="shared" si="83"/>
        <v>#NUM!</v>
      </c>
      <c r="GZ125" s="62">
        <f ca="1">AVERAGE(OFFSET($GY$3,0,0,'Données projet'!$E$18+1,1))-AVERAGE(OFFSET($H$3,0,0,'Données projet'!$E$18+1,1))</f>
        <v>378.51861272969165</v>
      </c>
      <c r="HA125" s="62">
        <f t="shared" si="106"/>
        <v>387.42368617035459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0</v>
      </c>
      <c r="HH125" s="23">
        <f>EXP(-LN(2)/25)*HH124+(1-EXP(-LN(2)/25))/(LN(2)/25)*Calculateur!HC125*Calculateur!HE125*VLOOKUP('Données projet'!$B$18,Paramètres!$A$1:$I$89,3,0)*0.475*44/12</f>
        <v>0</v>
      </c>
      <c r="HI125" s="23">
        <f>EXP(-LN(2)/2)*HI124+(1-EXP(-LN(2)/2))/(LN(2)/2)*HC125*HF125*VLOOKUP('Données projet'!$B$18,Paramètres!$A$1:$I$89,3,0)*0.475*44/12</f>
        <v>0</v>
      </c>
      <c r="HJ125" s="24">
        <f t="shared" si="84"/>
        <v>0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135.66666666666666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277.14373198828173</v>
      </c>
      <c r="S126" s="62">
        <f ca="1">AVERAGE(OFFSET($R$3,0,0,'Données projet'!$E$9+1,1))-AVERAGE(OFFSET($H$3,0,0,'Données projet'!$E$9+1,1))</f>
        <v>437.94016462147999</v>
      </c>
      <c r="T126" s="62">
        <f t="shared" si="88"/>
        <v>281.88254003380348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8.2281634742475745E-14</v>
      </c>
      <c r="AC126" s="24">
        <f t="shared" si="57"/>
        <v>8.2281634742475745E-14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1.0286385077051818E-13</v>
      </c>
      <c r="AK126" s="14">
        <f t="shared" si="89"/>
        <v>1.5402366592183556E-12</v>
      </c>
      <c r="AL126" s="22">
        <f t="shared" si="58"/>
        <v>2.8617333882306215E-12</v>
      </c>
      <c r="AM126" s="62">
        <f t="shared" si="59"/>
        <v>277.14373198828258</v>
      </c>
      <c r="AN126" s="62">
        <f ca="1">AVERAGE(OFFSET($AM$3,0,0,'Données projet'!$E$10+1,1))-AVERAGE(OFFSET($H$3,0,0,'Données projet'!$E$10+1,1))</f>
        <v>434.56763649859136</v>
      </c>
      <c r="AO126" s="62">
        <f t="shared" si="90"/>
        <v>271.90302066766264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6.7984728957526396E-14</v>
      </c>
      <c r="BF126" s="14">
        <f t="shared" si="91"/>
        <v>1.0682447123141398E-12</v>
      </c>
      <c r="BG126" s="22">
        <f t="shared" si="61"/>
        <v>1.978932943548152E-12</v>
      </c>
      <c r="BH126" s="62">
        <f t="shared" si="62"/>
        <v>277.14373198828173</v>
      </c>
      <c r="BI126" s="62">
        <f ca="1">AVERAGE(OFFSET($BH$3,0,0,'Données projet'!$E$11+1,1))-AVERAGE(OFFSET($H$3,0,0,'Données projet'!$E$11+1,1))</f>
        <v>199.65420589615553</v>
      </c>
      <c r="BJ126" s="62">
        <f t="shared" si="92"/>
        <v>477.85821088970999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8.4530564993916499</v>
      </c>
      <c r="BQ126" s="23">
        <f>EXP(-LN(2)/25)*BQ125+(1-EXP(-LN(2)/25))/(LN(2)/25)*Calculateur!BL126*Calculateur!BN126*VLOOKUP('Données projet'!$B$11,Paramètres!$A$1:$I$89,3,0)*0.475*44/12</f>
        <v>3.3351516252982445</v>
      </c>
      <c r="BR126" s="23">
        <f>EXP(-LN(2)/2)*BR125+(1-EXP(-LN(2)/2))/(LN(2)/2)*BL126*BO126*VLOOKUP('Données projet'!$B$11,Paramètres!$A$1:$I$89,3,0)*0.475*44/12</f>
        <v>4.3779086281088313E-13</v>
      </c>
      <c r="BS126" s="24">
        <f t="shared" si="63"/>
        <v>11.788208124690332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1.1368683772161603E-13</v>
      </c>
      <c r="BZ126" s="14">
        <f>BY126*VLOOKUP('Données projet'!$B$12,Paramètres!$A$1:$I$89,3,0)*VLOOKUP('Données projet'!$B$12,Paramètres!$A$1:$I$89,5,0)</f>
        <v>6.7984728957526396E-14</v>
      </c>
      <c r="CA126" s="14">
        <f t="shared" si="93"/>
        <v>1.0682447123141398E-12</v>
      </c>
      <c r="CB126" s="22">
        <f t="shared" si="64"/>
        <v>1.978932943548152E-12</v>
      </c>
      <c r="CC126" s="62">
        <f t="shared" si="65"/>
        <v>277.14373198828173</v>
      </c>
      <c r="CD126" s="62">
        <f ca="1">AVERAGE(OFFSET($CC$3,0,0,'Données projet'!$E$12+1,1))-AVERAGE(OFFSET($H$3,0,0,'Données projet'!$E$12+1,1))</f>
        <v>437.94016462147999</v>
      </c>
      <c r="CE126" s="62">
        <f t="shared" si="94"/>
        <v>281.88254003380348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8.2281634742475745E-14</v>
      </c>
      <c r="CN126" s="24">
        <f t="shared" si="66"/>
        <v>8.2281634742475745E-14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1.1368683772161603E-13</v>
      </c>
      <c r="CU126" s="18">
        <f>CT126*VLOOKUP('Données projet'!$B$13,Paramètres!$A$1:$I$89,3,0)*VLOOKUP('Données projet'!$B$13,Paramètres!$A$1:$I$89,5,0)</f>
        <v>1.2946657079737634E-13</v>
      </c>
      <c r="CV126" s="14">
        <f t="shared" si="95"/>
        <v>1.8873591890224769E-12</v>
      </c>
      <c r="CW126" s="22">
        <f t="shared" si="67"/>
        <v>3.5126381983529106E-12</v>
      </c>
      <c r="CX126" s="62">
        <f t="shared" si="68"/>
        <v>277.14373198828326</v>
      </c>
      <c r="CY126" s="62">
        <f ca="1">AVERAGE(OFFSET($CX$3,0,0,'Données projet'!$E$13+1,1))-AVERAGE(OFFSET($H$3,0,0,'Données projet'!$E$13+1,1))</f>
        <v>520.23742527061836</v>
      </c>
      <c r="CZ126" s="62">
        <f t="shared" si="96"/>
        <v>321.35925479331274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>
        <f>DO126*VLOOKUP('Données projet'!$B$14,Paramètres!$A$1:$I$89,3,0)*VLOOKUP('Données projet'!$B$14,Paramètres!$A$1:$I$89,5,0)</f>
        <v>0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547.89540791313675</v>
      </c>
      <c r="DU126" s="62">
        <f t="shared" si="98"/>
        <v>345.19555189302378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5.6843418860808015E-14</v>
      </c>
      <c r="EK126" s="18">
        <f>EJ126*VLOOKUP('Données projet'!$B$15,Paramètres!$A$1:$I$89,3,0)*VLOOKUP('Données projet'!$B$15,Paramètres!$A$1:$I$89,5,0)</f>
        <v>5.9412741393316544E-14</v>
      </c>
      <c r="EL126" s="14">
        <f t="shared" si="99"/>
        <v>9.483138037075782E-13</v>
      </c>
      <c r="EM126" s="22">
        <f t="shared" si="73"/>
        <v>1.7551237327173916E-12</v>
      </c>
      <c r="EN126" s="62">
        <f t="shared" si="74"/>
        <v>277.1437319882815</v>
      </c>
      <c r="EO126" s="62">
        <f ca="1">AVERAGE(OFFSET($EN$3,0,0,'Données projet'!$E$15+1,1))-AVERAGE(OFFSET($H$3,0,0,'Données projet'!$E$15+1,1))</f>
        <v>418.23737352070503</v>
      </c>
      <c r="EP126" s="62">
        <f t="shared" si="100"/>
        <v>496.10742685332968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1.1368683772161603E-13</v>
      </c>
      <c r="FF126" s="18">
        <f>FE126*VLOOKUP('Données projet'!$B$16,Paramètres!$A$1:$I$89,3,0)*VLOOKUP('Données projet'!$B$16,Paramètres!$A$1:$I$89,5,0)</f>
        <v>6.7984728957526396E-14</v>
      </c>
      <c r="FG126" s="14">
        <f t="shared" si="101"/>
        <v>1.0682447123141398E-12</v>
      </c>
      <c r="FH126" s="22">
        <f t="shared" si="76"/>
        <v>1.978932943548152E-12</v>
      </c>
      <c r="FI126" s="62">
        <f t="shared" si="77"/>
        <v>277.14373198828173</v>
      </c>
      <c r="FJ126" s="62">
        <f ca="1">AVERAGE(OFFSET($FI$3,0,0,'Données projet'!$E$16+1,1))-AVERAGE(OFFSET($H$3,0,0,'Données projet'!$E$16+1,1))</f>
        <v>341.70983624543067</v>
      </c>
      <c r="FK126" s="62">
        <f t="shared" si="102"/>
        <v>250.82562837973805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1.2452924162096778E-13</v>
      </c>
      <c r="FT126" s="24">
        <f t="shared" si="78"/>
        <v>1.2452924162096778E-13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5.2222222222222223</v>
      </c>
      <c r="FZ126" s="13">
        <f>IF('Données projet'!$A$244&gt;35,FZ125+FY126-GH125,IF(A126&lt;'Données projet'!$A$244,$FW$205^A126,IF(A126='Données projet'!$A$244,'Données projet'!$B$244,FZ125+FY126-GH125)))</f>
        <v>252.22222222222194</v>
      </c>
      <c r="GA126" s="18">
        <f>FZ126*VLOOKUP('Données projet'!$B$17,Paramètres!$A$1:$I$89,3,0)*VLOOKUP('Données projet'!$B$17,Paramètres!$A$1:$I$89,5,0)</f>
        <v>118.03999999999986</v>
      </c>
      <c r="GB126" s="14">
        <f t="shared" si="103"/>
        <v>31.217424261406951</v>
      </c>
      <c r="GC126" s="22">
        <f t="shared" si="79"/>
        <v>259.95668058861685</v>
      </c>
      <c r="GD126" s="62">
        <f t="shared" si="80"/>
        <v>537.10041257689659</v>
      </c>
      <c r="GE126" s="62">
        <f ca="1">AVERAGE(OFFSET($GD$3,0,0,'Données projet'!$E$17+1,1))-AVERAGE(OFFSET($H$3,0,0,'Données projet'!$E$17+1,1))</f>
        <v>368.69628434154333</v>
      </c>
      <c r="GF126" s="62">
        <f t="shared" si="104"/>
        <v>202.28197295839524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-1.1368683772161603E-13</v>
      </c>
      <c r="GV126" s="18">
        <f>GU126*VLOOKUP('Données projet'!$B$18,Paramètres!$A$1:$I$89,3,0)*VLOOKUP('Données projet'!$B$18,Paramètres!$A$1:$I$89,5,0)</f>
        <v>-9.9316821433603781E-14</v>
      </c>
      <c r="GW126" s="14" t="e">
        <f t="shared" si="105"/>
        <v>#NUM!</v>
      </c>
      <c r="GX126" s="22" t="e">
        <f t="shared" si="82"/>
        <v>#NUM!</v>
      </c>
      <c r="GY126" s="62" t="e">
        <f t="shared" si="83"/>
        <v>#NUM!</v>
      </c>
      <c r="GZ126" s="62">
        <f ca="1">AVERAGE(OFFSET($GY$3,0,0,'Données projet'!$E$18+1,1))-AVERAGE(OFFSET($H$3,0,0,'Données projet'!$E$18+1,1))</f>
        <v>378.51861272969165</v>
      </c>
      <c r="HA126" s="62">
        <f t="shared" si="106"/>
        <v>387.42368617035459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0</v>
      </c>
      <c r="HH126" s="23">
        <f>EXP(-LN(2)/25)*HH125+(1-EXP(-LN(2)/25))/(LN(2)/25)*Calculateur!HC126*Calculateur!HE126*VLOOKUP('Données projet'!$B$18,Paramètres!$A$1:$I$89,3,0)*0.475*44/12</f>
        <v>0</v>
      </c>
      <c r="HI126" s="23">
        <f>EXP(-LN(2)/2)*HI125+(1-EXP(-LN(2)/2))/(LN(2)/2)*HC126*HF126*VLOOKUP('Données projet'!$B$18,Paramètres!$A$1:$I$89,3,0)*0.475*44/12</f>
        <v>0</v>
      </c>
      <c r="HJ126" s="24">
        <f t="shared" si="84"/>
        <v>0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135.66666666666666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277.42458537709211</v>
      </c>
      <c r="S127" s="62">
        <f ca="1">AVERAGE(OFFSET($R$3,0,0,'Données projet'!$E$9+1,1))-AVERAGE(OFFSET($H$3,0,0,'Données projet'!$E$9+1,1))</f>
        <v>437.94016462147999</v>
      </c>
      <c r="T127" s="62">
        <f t="shared" si="88"/>
        <v>281.88254003380348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5.8181901893519223E-14</v>
      </c>
      <c r="AC127" s="24">
        <f t="shared" si="57"/>
        <v>5.8181901893519223E-14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1.0286385077051818E-13</v>
      </c>
      <c r="AK127" s="14">
        <f t="shared" si="89"/>
        <v>1.5402366592183556E-12</v>
      </c>
      <c r="AL127" s="22">
        <f t="shared" si="58"/>
        <v>2.8617333882306215E-12</v>
      </c>
      <c r="AM127" s="62">
        <f t="shared" si="59"/>
        <v>277.42458537709297</v>
      </c>
      <c r="AN127" s="62">
        <f ca="1">AVERAGE(OFFSET($AM$3,0,0,'Données projet'!$E$10+1,1))-AVERAGE(OFFSET($H$3,0,0,'Données projet'!$E$10+1,1))</f>
        <v>434.56763649859136</v>
      </c>
      <c r="AO127" s="62">
        <f t="shared" si="90"/>
        <v>271.90302066766264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6.7984728957526396E-14</v>
      </c>
      <c r="BF127" s="14">
        <f t="shared" si="91"/>
        <v>1.0682447123141398E-12</v>
      </c>
      <c r="BG127" s="22">
        <f t="shared" si="61"/>
        <v>1.978932943548152E-12</v>
      </c>
      <c r="BH127" s="62">
        <f t="shared" si="62"/>
        <v>277.42458537709211</v>
      </c>
      <c r="BI127" s="62">
        <f ca="1">AVERAGE(OFFSET($BH$3,0,0,'Données projet'!$E$11+1,1))-AVERAGE(OFFSET($H$3,0,0,'Données projet'!$E$11+1,1))</f>
        <v>199.65420589615553</v>
      </c>
      <c r="BJ127" s="62">
        <f t="shared" si="92"/>
        <v>477.85821088970999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8.2872972172939452</v>
      </c>
      <c r="BQ127" s="23">
        <f>EXP(-LN(2)/25)*BQ126+(1-EXP(-LN(2)/25))/(LN(2)/25)*Calculateur!BL127*Calculateur!BN127*VLOOKUP('Données projet'!$B$11,Paramètres!$A$1:$I$89,3,0)*0.475*44/12</f>
        <v>3.2439517287164628</v>
      </c>
      <c r="BR127" s="23">
        <f>EXP(-LN(2)/2)*BR126+(1-EXP(-LN(2)/2))/(LN(2)/2)*BL127*BO127*VLOOKUP('Données projet'!$B$11,Paramètres!$A$1:$I$89,3,0)*0.475*44/12</f>
        <v>3.0956488783508498E-13</v>
      </c>
      <c r="BS127" s="24">
        <f t="shared" si="63"/>
        <v>11.531248946010717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1.1368683772161603E-13</v>
      </c>
      <c r="BZ127" s="14">
        <f>BY127*VLOOKUP('Données projet'!$B$12,Paramètres!$A$1:$I$89,3,0)*VLOOKUP('Données projet'!$B$12,Paramètres!$A$1:$I$89,5,0)</f>
        <v>6.7984728957526396E-14</v>
      </c>
      <c r="CA127" s="14">
        <f t="shared" si="93"/>
        <v>1.0682447123141398E-12</v>
      </c>
      <c r="CB127" s="22">
        <f t="shared" si="64"/>
        <v>1.978932943548152E-12</v>
      </c>
      <c r="CC127" s="62">
        <f t="shared" si="65"/>
        <v>277.42458537709211</v>
      </c>
      <c r="CD127" s="62">
        <f ca="1">AVERAGE(OFFSET($CC$3,0,0,'Données projet'!$E$12+1,1))-AVERAGE(OFFSET($H$3,0,0,'Données projet'!$E$12+1,1))</f>
        <v>437.94016462147999</v>
      </c>
      <c r="CE127" s="62">
        <f t="shared" si="94"/>
        <v>281.88254003380348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5.8181901893519223E-14</v>
      </c>
      <c r="CN127" s="24">
        <f t="shared" si="66"/>
        <v>5.8181901893519223E-14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1.1368683772161603E-13</v>
      </c>
      <c r="CU127" s="18">
        <f>CT127*VLOOKUP('Données projet'!$B$13,Paramètres!$A$1:$I$89,3,0)*VLOOKUP('Données projet'!$B$13,Paramètres!$A$1:$I$89,5,0)</f>
        <v>1.2946657079737634E-13</v>
      </c>
      <c r="CV127" s="14">
        <f t="shared" si="95"/>
        <v>1.8873591890224769E-12</v>
      </c>
      <c r="CW127" s="22">
        <f t="shared" si="67"/>
        <v>3.5126381983529106E-12</v>
      </c>
      <c r="CX127" s="62">
        <f t="shared" si="68"/>
        <v>277.42458537709365</v>
      </c>
      <c r="CY127" s="62">
        <f ca="1">AVERAGE(OFFSET($CX$3,0,0,'Données projet'!$E$13+1,1))-AVERAGE(OFFSET($H$3,0,0,'Données projet'!$E$13+1,1))</f>
        <v>520.23742527061836</v>
      </c>
      <c r="CZ127" s="62">
        <f t="shared" si="96"/>
        <v>321.35925479331274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>
        <f>DO127*VLOOKUP('Données projet'!$B$14,Paramètres!$A$1:$I$89,3,0)*VLOOKUP('Données projet'!$B$14,Paramètres!$A$1:$I$89,5,0)</f>
        <v>0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547.89540791313675</v>
      </c>
      <c r="DU127" s="62">
        <f t="shared" si="98"/>
        <v>345.19555189302378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5.6843418860808015E-14</v>
      </c>
      <c r="EK127" s="18">
        <f>EJ127*VLOOKUP('Données projet'!$B$15,Paramètres!$A$1:$I$89,3,0)*VLOOKUP('Données projet'!$B$15,Paramètres!$A$1:$I$89,5,0)</f>
        <v>5.9412741393316544E-14</v>
      </c>
      <c r="EL127" s="14">
        <f t="shared" si="99"/>
        <v>9.483138037075782E-13</v>
      </c>
      <c r="EM127" s="22">
        <f t="shared" si="73"/>
        <v>1.7551237327173916E-12</v>
      </c>
      <c r="EN127" s="62">
        <f t="shared" si="74"/>
        <v>277.42458537709189</v>
      </c>
      <c r="EO127" s="62">
        <f ca="1">AVERAGE(OFFSET($EN$3,0,0,'Données projet'!$E$15+1,1))-AVERAGE(OFFSET($H$3,0,0,'Données projet'!$E$15+1,1))</f>
        <v>418.23737352070503</v>
      </c>
      <c r="EP127" s="62">
        <f t="shared" si="100"/>
        <v>496.10742685332968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1.1368683772161603E-13</v>
      </c>
      <c r="FF127" s="18">
        <f>FE127*VLOOKUP('Données projet'!$B$16,Paramètres!$A$1:$I$89,3,0)*VLOOKUP('Données projet'!$B$16,Paramètres!$A$1:$I$89,5,0)</f>
        <v>6.7984728957526396E-14</v>
      </c>
      <c r="FG127" s="14">
        <f t="shared" si="101"/>
        <v>1.0682447123141398E-12</v>
      </c>
      <c r="FH127" s="22">
        <f t="shared" si="76"/>
        <v>1.978932943548152E-12</v>
      </c>
      <c r="FI127" s="62">
        <f t="shared" si="77"/>
        <v>277.42458537709211</v>
      </c>
      <c r="FJ127" s="62">
        <f ca="1">AVERAGE(OFFSET($FI$3,0,0,'Données projet'!$E$16+1,1))-AVERAGE(OFFSET($H$3,0,0,'Données projet'!$E$16+1,1))</f>
        <v>341.70983624543067</v>
      </c>
      <c r="FK127" s="62">
        <f t="shared" si="102"/>
        <v>250.82562837973805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8.8055471206204372E-14</v>
      </c>
      <c r="FT127" s="24">
        <f t="shared" si="78"/>
        <v>8.8055471206204372E-14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5.2222222222222223</v>
      </c>
      <c r="FZ127" s="13">
        <f>IF('Données projet'!$A$244&gt;35,FZ126+FY127-GH126,IF(A127&lt;'Données projet'!$A$244,$FW$205^A127,IF(A127='Données projet'!$A$244,'Données projet'!$B$244,FZ126+FY127-GH126)))</f>
        <v>257.44444444444417</v>
      </c>
      <c r="GA127" s="18">
        <f>FZ127*VLOOKUP('Données projet'!$B$17,Paramètres!$A$1:$I$89,3,0)*VLOOKUP('Données projet'!$B$17,Paramètres!$A$1:$I$89,5,0)</f>
        <v>120.48399999999987</v>
      </c>
      <c r="GB127" s="14">
        <f t="shared" si="103"/>
        <v>31.787857886991802</v>
      </c>
      <c r="GC127" s="22">
        <f t="shared" si="79"/>
        <v>265.20681915317715</v>
      </c>
      <c r="GD127" s="62">
        <f t="shared" si="80"/>
        <v>542.63140453026722</v>
      </c>
      <c r="GE127" s="62">
        <f ca="1">AVERAGE(OFFSET($GD$3,0,0,'Données projet'!$E$17+1,1))-AVERAGE(OFFSET($H$3,0,0,'Données projet'!$E$17+1,1))</f>
        <v>368.69628434154333</v>
      </c>
      <c r="GF127" s="62">
        <f t="shared" si="104"/>
        <v>202.28197295839524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-1.1368683772161603E-13</v>
      </c>
      <c r="GV127" s="18">
        <f>GU127*VLOOKUP('Données projet'!$B$18,Paramètres!$A$1:$I$89,3,0)*VLOOKUP('Données projet'!$B$18,Paramètres!$A$1:$I$89,5,0)</f>
        <v>-9.9316821433603781E-14</v>
      </c>
      <c r="GW127" s="14" t="e">
        <f t="shared" si="105"/>
        <v>#NUM!</v>
      </c>
      <c r="GX127" s="22" t="e">
        <f t="shared" si="82"/>
        <v>#NUM!</v>
      </c>
      <c r="GY127" s="62" t="e">
        <f t="shared" si="83"/>
        <v>#NUM!</v>
      </c>
      <c r="GZ127" s="62">
        <f ca="1">AVERAGE(OFFSET($GY$3,0,0,'Données projet'!$E$18+1,1))-AVERAGE(OFFSET($H$3,0,0,'Données projet'!$E$18+1,1))</f>
        <v>378.51861272969165</v>
      </c>
      <c r="HA127" s="62">
        <f t="shared" si="106"/>
        <v>387.42368617035459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0</v>
      </c>
      <c r="HH127" s="23">
        <f>EXP(-LN(2)/25)*HH126+(1-EXP(-LN(2)/25))/(LN(2)/25)*Calculateur!HC127*Calculateur!HE127*VLOOKUP('Données projet'!$B$18,Paramètres!$A$1:$I$89,3,0)*0.475*44/12</f>
        <v>0</v>
      </c>
      <c r="HI127" s="23">
        <f>EXP(-LN(2)/2)*HI126+(1-EXP(-LN(2)/2))/(LN(2)/2)*HC127*HF127*VLOOKUP('Données projet'!$B$18,Paramètres!$A$1:$I$89,3,0)*0.475*44/12</f>
        <v>0</v>
      </c>
      <c r="HJ127" s="24">
        <f t="shared" si="84"/>
        <v>0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135.66666666666666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277.70056658750076</v>
      </c>
      <c r="S128" s="62">
        <f ca="1">AVERAGE(OFFSET($R$3,0,0,'Données projet'!$E$9+1,1))-AVERAGE(OFFSET($H$3,0,0,'Données projet'!$E$9+1,1))</f>
        <v>437.94016462147999</v>
      </c>
      <c r="T128" s="62">
        <f t="shared" si="88"/>
        <v>281.88254003380348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4.1140817371237873E-14</v>
      </c>
      <c r="AC128" s="24">
        <f t="shared" si="57"/>
        <v>4.1140817371237873E-14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1.0286385077051818E-13</v>
      </c>
      <c r="AK128" s="14">
        <f t="shared" si="89"/>
        <v>1.5402366592183556E-12</v>
      </c>
      <c r="AL128" s="22">
        <f t="shared" si="58"/>
        <v>2.8617333882306215E-12</v>
      </c>
      <c r="AM128" s="62">
        <f t="shared" si="59"/>
        <v>277.70056658750161</v>
      </c>
      <c r="AN128" s="62">
        <f ca="1">AVERAGE(OFFSET($AM$3,0,0,'Données projet'!$E$10+1,1))-AVERAGE(OFFSET($H$3,0,0,'Données projet'!$E$10+1,1))</f>
        <v>434.56763649859136</v>
      </c>
      <c r="AO128" s="62">
        <f t="shared" si="90"/>
        <v>271.90302066766264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6.7984728957526396E-14</v>
      </c>
      <c r="BF128" s="14">
        <f t="shared" si="91"/>
        <v>1.0682447123141398E-12</v>
      </c>
      <c r="BG128" s="22">
        <f t="shared" si="61"/>
        <v>1.978932943548152E-12</v>
      </c>
      <c r="BH128" s="62">
        <f t="shared" si="62"/>
        <v>277.70056658750076</v>
      </c>
      <c r="BI128" s="62">
        <f ca="1">AVERAGE(OFFSET($BH$3,0,0,'Données projet'!$E$11+1,1))-AVERAGE(OFFSET($H$3,0,0,'Données projet'!$E$11+1,1))</f>
        <v>199.65420589615553</v>
      </c>
      <c r="BJ128" s="62">
        <f t="shared" si="92"/>
        <v>477.85821088970999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8.1247883736149973</v>
      </c>
      <c r="BQ128" s="23">
        <f>EXP(-LN(2)/25)*BQ127+(1-EXP(-LN(2)/25))/(LN(2)/25)*Calculateur!BL128*Calculateur!BN128*VLOOKUP('Données projet'!$B$11,Paramètres!$A$1:$I$89,3,0)*0.475*44/12</f>
        <v>3.1552456981027039</v>
      </c>
      <c r="BR128" s="23">
        <f>EXP(-LN(2)/2)*BR127+(1-EXP(-LN(2)/2))/(LN(2)/2)*BL128*BO128*VLOOKUP('Données projet'!$B$11,Paramètres!$A$1:$I$89,3,0)*0.475*44/12</f>
        <v>2.1889543140544156E-13</v>
      </c>
      <c r="BS128" s="24">
        <f t="shared" si="63"/>
        <v>11.280034071717919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1.1368683772161603E-13</v>
      </c>
      <c r="BZ128" s="14">
        <f>BY128*VLOOKUP('Données projet'!$B$12,Paramètres!$A$1:$I$89,3,0)*VLOOKUP('Données projet'!$B$12,Paramètres!$A$1:$I$89,5,0)</f>
        <v>6.7984728957526396E-14</v>
      </c>
      <c r="CA128" s="14">
        <f t="shared" si="93"/>
        <v>1.0682447123141398E-12</v>
      </c>
      <c r="CB128" s="22">
        <f t="shared" si="64"/>
        <v>1.978932943548152E-12</v>
      </c>
      <c r="CC128" s="62">
        <f t="shared" si="65"/>
        <v>277.70056658750076</v>
      </c>
      <c r="CD128" s="62">
        <f ca="1">AVERAGE(OFFSET($CC$3,0,0,'Données projet'!$E$12+1,1))-AVERAGE(OFFSET($H$3,0,0,'Données projet'!$E$12+1,1))</f>
        <v>437.94016462147999</v>
      </c>
      <c r="CE128" s="62">
        <f t="shared" si="94"/>
        <v>281.88254003380348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4.1140817371237873E-14</v>
      </c>
      <c r="CN128" s="24">
        <f t="shared" si="66"/>
        <v>4.1140817371237873E-14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1.1368683772161603E-13</v>
      </c>
      <c r="CU128" s="18">
        <f>CT128*VLOOKUP('Données projet'!$B$13,Paramètres!$A$1:$I$89,3,0)*VLOOKUP('Données projet'!$B$13,Paramètres!$A$1:$I$89,5,0)</f>
        <v>1.2946657079737634E-13</v>
      </c>
      <c r="CV128" s="14">
        <f t="shared" si="95"/>
        <v>1.8873591890224769E-12</v>
      </c>
      <c r="CW128" s="22">
        <f t="shared" si="67"/>
        <v>3.5126381983529106E-12</v>
      </c>
      <c r="CX128" s="62">
        <f t="shared" si="68"/>
        <v>277.70056658750229</v>
      </c>
      <c r="CY128" s="62">
        <f ca="1">AVERAGE(OFFSET($CX$3,0,0,'Données projet'!$E$13+1,1))-AVERAGE(OFFSET($H$3,0,0,'Données projet'!$E$13+1,1))</f>
        <v>520.23742527061836</v>
      </c>
      <c r="CZ128" s="62">
        <f t="shared" si="96"/>
        <v>321.35925479331274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>
        <f>DO128*VLOOKUP('Données projet'!$B$14,Paramètres!$A$1:$I$89,3,0)*VLOOKUP('Données projet'!$B$14,Paramètres!$A$1:$I$89,5,0)</f>
        <v>0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547.89540791313675</v>
      </c>
      <c r="DU128" s="62">
        <f t="shared" si="98"/>
        <v>345.19555189302378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5.6843418860808015E-14</v>
      </c>
      <c r="EK128" s="18">
        <f>EJ128*VLOOKUP('Données projet'!$B$15,Paramètres!$A$1:$I$89,3,0)*VLOOKUP('Données projet'!$B$15,Paramètres!$A$1:$I$89,5,0)</f>
        <v>5.9412741393316544E-14</v>
      </c>
      <c r="EL128" s="14">
        <f t="shared" si="99"/>
        <v>9.483138037075782E-13</v>
      </c>
      <c r="EM128" s="22">
        <f t="shared" si="73"/>
        <v>1.7551237327173916E-12</v>
      </c>
      <c r="EN128" s="62">
        <f t="shared" si="74"/>
        <v>277.70056658750053</v>
      </c>
      <c r="EO128" s="62">
        <f ca="1">AVERAGE(OFFSET($EN$3,0,0,'Données projet'!$E$15+1,1))-AVERAGE(OFFSET($H$3,0,0,'Données projet'!$E$15+1,1))</f>
        <v>418.23737352070503</v>
      </c>
      <c r="EP128" s="62">
        <f t="shared" si="100"/>
        <v>496.10742685332968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1.1368683772161603E-13</v>
      </c>
      <c r="FF128" s="18">
        <f>FE128*VLOOKUP('Données projet'!$B$16,Paramètres!$A$1:$I$89,3,0)*VLOOKUP('Données projet'!$B$16,Paramètres!$A$1:$I$89,5,0)</f>
        <v>6.7984728957526396E-14</v>
      </c>
      <c r="FG128" s="14">
        <f t="shared" si="101"/>
        <v>1.0682447123141398E-12</v>
      </c>
      <c r="FH128" s="22">
        <f t="shared" si="76"/>
        <v>1.978932943548152E-12</v>
      </c>
      <c r="FI128" s="62">
        <f t="shared" si="77"/>
        <v>277.70056658750076</v>
      </c>
      <c r="FJ128" s="62">
        <f ca="1">AVERAGE(OFFSET($FI$3,0,0,'Données projet'!$E$16+1,1))-AVERAGE(OFFSET($H$3,0,0,'Données projet'!$E$16+1,1))</f>
        <v>341.70983624543067</v>
      </c>
      <c r="FK128" s="62">
        <f t="shared" si="102"/>
        <v>250.82562837973805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6.2264620810483891E-14</v>
      </c>
      <c r="FT128" s="24">
        <f t="shared" si="78"/>
        <v>6.2264620810483891E-14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5.2222222222222223</v>
      </c>
      <c r="FZ128" s="13">
        <f>IF('Données projet'!$A$244&gt;35,FZ127+FY128-GH127,IF(A128&lt;'Données projet'!$A$244,$FW$205^A128,IF(A128='Données projet'!$A$244,'Données projet'!$B$244,FZ127+FY128-GH127)))</f>
        <v>262.6666666666664</v>
      </c>
      <c r="GA128" s="18">
        <f>FZ128*VLOOKUP('Données projet'!$B$17,Paramètres!$A$1:$I$89,3,0)*VLOOKUP('Données projet'!$B$17,Paramètres!$A$1:$I$89,5,0)</f>
        <v>122.92799999999988</v>
      </c>
      <c r="GB128" s="14">
        <f t="shared" si="103"/>
        <v>32.356946120737881</v>
      </c>
      <c r="GC128" s="22">
        <f t="shared" si="79"/>
        <v>270.45461449361824</v>
      </c>
      <c r="GD128" s="62">
        <f t="shared" si="80"/>
        <v>548.15518108111701</v>
      </c>
      <c r="GE128" s="62">
        <f ca="1">AVERAGE(OFFSET($GD$3,0,0,'Données projet'!$E$17+1,1))-AVERAGE(OFFSET($H$3,0,0,'Données projet'!$E$17+1,1))</f>
        <v>368.69628434154333</v>
      </c>
      <c r="GF128" s="62">
        <f t="shared" si="104"/>
        <v>202.28197295839524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-1.1368683772161603E-13</v>
      </c>
      <c r="GV128" s="18">
        <f>GU128*VLOOKUP('Données projet'!$B$18,Paramètres!$A$1:$I$89,3,0)*VLOOKUP('Données projet'!$B$18,Paramètres!$A$1:$I$89,5,0)</f>
        <v>-9.9316821433603781E-14</v>
      </c>
      <c r="GW128" s="14" t="e">
        <f t="shared" si="105"/>
        <v>#NUM!</v>
      </c>
      <c r="GX128" s="22" t="e">
        <f t="shared" si="82"/>
        <v>#NUM!</v>
      </c>
      <c r="GY128" s="62" t="e">
        <f t="shared" si="83"/>
        <v>#NUM!</v>
      </c>
      <c r="GZ128" s="62">
        <f ca="1">AVERAGE(OFFSET($GY$3,0,0,'Données projet'!$E$18+1,1))-AVERAGE(OFFSET($H$3,0,0,'Données projet'!$E$18+1,1))</f>
        <v>378.51861272969165</v>
      </c>
      <c r="HA128" s="62">
        <f t="shared" si="106"/>
        <v>387.42368617035459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0</v>
      </c>
      <c r="HH128" s="23">
        <f>EXP(-LN(2)/25)*HH127+(1-EXP(-LN(2)/25))/(LN(2)/25)*Calculateur!HC128*Calculateur!HE128*VLOOKUP('Données projet'!$B$18,Paramètres!$A$1:$I$89,3,0)*0.475*44/12</f>
        <v>0</v>
      </c>
      <c r="HI128" s="23">
        <f>EXP(-LN(2)/2)*HI127+(1-EXP(-LN(2)/2))/(LN(2)/2)*HC128*HF128*VLOOKUP('Données projet'!$B$18,Paramètres!$A$1:$I$89,3,0)*0.475*44/12</f>
        <v>0</v>
      </c>
      <c r="HJ128" s="24">
        <f t="shared" si="84"/>
        <v>0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135.66666666666666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277.97176014091036</v>
      </c>
      <c r="S129" s="62">
        <f ca="1">AVERAGE(OFFSET($R$3,0,0,'Données projet'!$E$9+1,1))-AVERAGE(OFFSET($H$3,0,0,'Données projet'!$E$9+1,1))</f>
        <v>437.94016462147999</v>
      </c>
      <c r="T129" s="62">
        <f t="shared" si="88"/>
        <v>281.88254003380348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2.9090950946759612E-14</v>
      </c>
      <c r="AC129" s="24">
        <f t="shared" si="57"/>
        <v>2.9090950946759612E-14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1.0286385077051818E-13</v>
      </c>
      <c r="AK129" s="14">
        <f t="shared" si="89"/>
        <v>1.5402366592183556E-12</v>
      </c>
      <c r="AL129" s="22">
        <f t="shared" si="58"/>
        <v>2.8617333882306215E-12</v>
      </c>
      <c r="AM129" s="62">
        <f t="shared" si="59"/>
        <v>277.97176014091121</v>
      </c>
      <c r="AN129" s="62">
        <f ca="1">AVERAGE(OFFSET($AM$3,0,0,'Données projet'!$E$10+1,1))-AVERAGE(OFFSET($H$3,0,0,'Données projet'!$E$10+1,1))</f>
        <v>434.56763649859136</v>
      </c>
      <c r="AO129" s="62">
        <f t="shared" si="90"/>
        <v>271.90302066766264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6.7984728957526396E-14</v>
      </c>
      <c r="BF129" s="14">
        <f t="shared" si="91"/>
        <v>1.0682447123141398E-12</v>
      </c>
      <c r="BG129" s="22">
        <f t="shared" si="61"/>
        <v>1.978932943548152E-12</v>
      </c>
      <c r="BH129" s="62">
        <f t="shared" si="62"/>
        <v>277.97176014091036</v>
      </c>
      <c r="BI129" s="62">
        <f ca="1">AVERAGE(OFFSET($BH$3,0,0,'Données projet'!$E$11+1,1))-AVERAGE(OFFSET($H$3,0,0,'Données projet'!$E$11+1,1))</f>
        <v>199.65420589615553</v>
      </c>
      <c r="BJ129" s="62">
        <f t="shared" si="92"/>
        <v>477.85821088970999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7.9654662292399872</v>
      </c>
      <c r="BQ129" s="23">
        <f>EXP(-LN(2)/25)*BQ128+(1-EXP(-LN(2)/25))/(LN(2)/25)*Calculateur!BL129*Calculateur!BN129*VLOOKUP('Données projet'!$B$11,Paramètres!$A$1:$I$89,3,0)*0.475*44/12</f>
        <v>3.0689653385609255</v>
      </c>
      <c r="BR129" s="23">
        <f>EXP(-LN(2)/2)*BR128+(1-EXP(-LN(2)/2))/(LN(2)/2)*BL129*BO129*VLOOKUP('Données projet'!$B$11,Paramètres!$A$1:$I$89,3,0)*0.475*44/12</f>
        <v>1.5478244391754249E-13</v>
      </c>
      <c r="BS129" s="24">
        <f t="shared" si="63"/>
        <v>11.034431567801066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1.1368683772161603E-13</v>
      </c>
      <c r="BZ129" s="14">
        <f>BY129*VLOOKUP('Données projet'!$B$12,Paramètres!$A$1:$I$89,3,0)*VLOOKUP('Données projet'!$B$12,Paramètres!$A$1:$I$89,5,0)</f>
        <v>6.7984728957526396E-14</v>
      </c>
      <c r="CA129" s="14">
        <f t="shared" si="93"/>
        <v>1.0682447123141398E-12</v>
      </c>
      <c r="CB129" s="22">
        <f t="shared" si="64"/>
        <v>1.978932943548152E-12</v>
      </c>
      <c r="CC129" s="62">
        <f t="shared" si="65"/>
        <v>277.97176014091036</v>
      </c>
      <c r="CD129" s="62">
        <f ca="1">AVERAGE(OFFSET($CC$3,0,0,'Données projet'!$E$12+1,1))-AVERAGE(OFFSET($H$3,0,0,'Données projet'!$E$12+1,1))</f>
        <v>437.94016462147999</v>
      </c>
      <c r="CE129" s="62">
        <f t="shared" si="94"/>
        <v>281.88254003380348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2.9090950946759612E-14</v>
      </c>
      <c r="CN129" s="24">
        <f t="shared" si="66"/>
        <v>2.9090950946759612E-14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1.1368683772161603E-13</v>
      </c>
      <c r="CU129" s="18">
        <f>CT129*VLOOKUP('Données projet'!$B$13,Paramètres!$A$1:$I$89,3,0)*VLOOKUP('Données projet'!$B$13,Paramètres!$A$1:$I$89,5,0)</f>
        <v>1.2946657079737634E-13</v>
      </c>
      <c r="CV129" s="14">
        <f t="shared" si="95"/>
        <v>1.8873591890224769E-12</v>
      </c>
      <c r="CW129" s="22">
        <f t="shared" si="67"/>
        <v>3.5126381983529106E-12</v>
      </c>
      <c r="CX129" s="62">
        <f t="shared" si="68"/>
        <v>277.9717601409119</v>
      </c>
      <c r="CY129" s="62">
        <f ca="1">AVERAGE(OFFSET($CX$3,0,0,'Données projet'!$E$13+1,1))-AVERAGE(OFFSET($H$3,0,0,'Données projet'!$E$13+1,1))</f>
        <v>520.23742527061836</v>
      </c>
      <c r="CZ129" s="62">
        <f t="shared" si="96"/>
        <v>321.35925479331274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>
        <f>DO129*VLOOKUP('Données projet'!$B$14,Paramètres!$A$1:$I$89,3,0)*VLOOKUP('Données projet'!$B$14,Paramètres!$A$1:$I$89,5,0)</f>
        <v>0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547.89540791313675</v>
      </c>
      <c r="DU129" s="62">
        <f t="shared" si="98"/>
        <v>345.19555189302378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5.6843418860808015E-14</v>
      </c>
      <c r="EK129" s="18">
        <f>EJ129*VLOOKUP('Données projet'!$B$15,Paramètres!$A$1:$I$89,3,0)*VLOOKUP('Données projet'!$B$15,Paramètres!$A$1:$I$89,5,0)</f>
        <v>5.9412741393316544E-14</v>
      </c>
      <c r="EL129" s="14">
        <f t="shared" si="99"/>
        <v>9.483138037075782E-13</v>
      </c>
      <c r="EM129" s="22">
        <f t="shared" si="73"/>
        <v>1.7551237327173916E-12</v>
      </c>
      <c r="EN129" s="62">
        <f t="shared" si="74"/>
        <v>277.97176014091013</v>
      </c>
      <c r="EO129" s="62">
        <f ca="1">AVERAGE(OFFSET($EN$3,0,0,'Données projet'!$E$15+1,1))-AVERAGE(OFFSET($H$3,0,0,'Données projet'!$E$15+1,1))</f>
        <v>418.23737352070503</v>
      </c>
      <c r="EP129" s="62">
        <f t="shared" si="100"/>
        <v>496.10742685332968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1.1368683772161603E-13</v>
      </c>
      <c r="FF129" s="18">
        <f>FE129*VLOOKUP('Données projet'!$B$16,Paramètres!$A$1:$I$89,3,0)*VLOOKUP('Données projet'!$B$16,Paramètres!$A$1:$I$89,5,0)</f>
        <v>6.7984728957526396E-14</v>
      </c>
      <c r="FG129" s="14">
        <f t="shared" si="101"/>
        <v>1.0682447123141398E-12</v>
      </c>
      <c r="FH129" s="22">
        <f t="shared" si="76"/>
        <v>1.978932943548152E-12</v>
      </c>
      <c r="FI129" s="62">
        <f t="shared" si="77"/>
        <v>277.97176014091036</v>
      </c>
      <c r="FJ129" s="62">
        <f ca="1">AVERAGE(OFFSET($FI$3,0,0,'Données projet'!$E$16+1,1))-AVERAGE(OFFSET($H$3,0,0,'Données projet'!$E$16+1,1))</f>
        <v>341.70983624543067</v>
      </c>
      <c r="FK129" s="62">
        <f t="shared" si="102"/>
        <v>250.82562837973805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4.4027735603102186E-14</v>
      </c>
      <c r="FT129" s="24">
        <f t="shared" si="78"/>
        <v>4.4027735603102186E-14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5.2222222222222223</v>
      </c>
      <c r="FZ129" s="13">
        <f>IF('Données projet'!$A$244&gt;35,FZ128+FY129-GH128,IF(A129&lt;'Données projet'!$A$244,$FW$205^A129,IF(A129='Données projet'!$A$244,'Données projet'!$B$244,FZ128+FY129-GH128)))</f>
        <v>267.88888888888863</v>
      </c>
      <c r="GA129" s="18">
        <f>FZ129*VLOOKUP('Données projet'!$B$17,Paramètres!$A$1:$I$89,3,0)*VLOOKUP('Données projet'!$B$17,Paramètres!$A$1:$I$89,5,0)</f>
        <v>125.37199999999987</v>
      </c>
      <c r="GB129" s="14">
        <f t="shared" si="103"/>
        <v>32.92471879409225</v>
      </c>
      <c r="GC129" s="22">
        <f t="shared" si="79"/>
        <v>275.70011856637711</v>
      </c>
      <c r="GD129" s="62">
        <f t="shared" si="80"/>
        <v>553.67187870728549</v>
      </c>
      <c r="GE129" s="62">
        <f ca="1">AVERAGE(OFFSET($GD$3,0,0,'Données projet'!$E$17+1,1))-AVERAGE(OFFSET($H$3,0,0,'Données projet'!$E$17+1,1))</f>
        <v>368.69628434154333</v>
      </c>
      <c r="GF129" s="62">
        <f t="shared" si="104"/>
        <v>202.28197295839524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-1.1368683772161603E-13</v>
      </c>
      <c r="GV129" s="18">
        <f>GU129*VLOOKUP('Données projet'!$B$18,Paramètres!$A$1:$I$89,3,0)*VLOOKUP('Données projet'!$B$18,Paramètres!$A$1:$I$89,5,0)</f>
        <v>-9.9316821433603781E-14</v>
      </c>
      <c r="GW129" s="14" t="e">
        <f t="shared" si="105"/>
        <v>#NUM!</v>
      </c>
      <c r="GX129" s="22" t="e">
        <f t="shared" si="82"/>
        <v>#NUM!</v>
      </c>
      <c r="GY129" s="62" t="e">
        <f t="shared" si="83"/>
        <v>#NUM!</v>
      </c>
      <c r="GZ129" s="62">
        <f ca="1">AVERAGE(OFFSET($GY$3,0,0,'Données projet'!$E$18+1,1))-AVERAGE(OFFSET($H$3,0,0,'Données projet'!$E$18+1,1))</f>
        <v>378.51861272969165</v>
      </c>
      <c r="HA129" s="62">
        <f t="shared" si="106"/>
        <v>387.42368617035459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0</v>
      </c>
      <c r="HH129" s="23">
        <f>EXP(-LN(2)/25)*HH128+(1-EXP(-LN(2)/25))/(LN(2)/25)*Calculateur!HC129*Calculateur!HE129*VLOOKUP('Données projet'!$B$18,Paramètres!$A$1:$I$89,3,0)*0.475*44/12</f>
        <v>0</v>
      </c>
      <c r="HI129" s="23">
        <f>EXP(-LN(2)/2)*HI128+(1-EXP(-LN(2)/2))/(LN(2)/2)*HC129*HF129*VLOOKUP('Données projet'!$B$18,Paramètres!$A$1:$I$89,3,0)*0.475*44/12</f>
        <v>0</v>
      </c>
      <c r="HJ129" s="24">
        <f t="shared" si="84"/>
        <v>0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135.66666666666666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278.23824909246628</v>
      </c>
      <c r="S130" s="62">
        <f ca="1">AVERAGE(OFFSET($R$3,0,0,'Données projet'!$E$9+1,1))-AVERAGE(OFFSET($H$3,0,0,'Données projet'!$E$9+1,1))</f>
        <v>437.94016462147999</v>
      </c>
      <c r="T130" s="62">
        <f t="shared" si="88"/>
        <v>281.88254003380348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2.0570408685618936E-14</v>
      </c>
      <c r="AC130" s="24">
        <f t="shared" si="57"/>
        <v>2.0570408685618936E-14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1.0286385077051818E-13</v>
      </c>
      <c r="AK130" s="14">
        <f t="shared" si="89"/>
        <v>1.5402366592183556E-12</v>
      </c>
      <c r="AL130" s="22">
        <f t="shared" si="58"/>
        <v>2.8617333882306215E-12</v>
      </c>
      <c r="AM130" s="62">
        <f t="shared" si="59"/>
        <v>278.23824909246713</v>
      </c>
      <c r="AN130" s="62">
        <f ca="1">AVERAGE(OFFSET($AM$3,0,0,'Données projet'!$E$10+1,1))-AVERAGE(OFFSET($H$3,0,0,'Données projet'!$E$10+1,1))</f>
        <v>434.56763649859136</v>
      </c>
      <c r="AO130" s="62">
        <f t="shared" si="90"/>
        <v>271.90302066766264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6.7984728957526396E-14</v>
      </c>
      <c r="BF130" s="14">
        <f t="shared" si="91"/>
        <v>1.0682447123141398E-12</v>
      </c>
      <c r="BG130" s="22">
        <f t="shared" si="61"/>
        <v>1.978932943548152E-12</v>
      </c>
      <c r="BH130" s="62">
        <f t="shared" si="62"/>
        <v>278.23824909246628</v>
      </c>
      <c r="BI130" s="62">
        <f ca="1">AVERAGE(OFFSET($BH$3,0,0,'Données projet'!$E$11+1,1))-AVERAGE(OFFSET($H$3,0,0,'Données projet'!$E$11+1,1))</f>
        <v>199.65420589615553</v>
      </c>
      <c r="BJ130" s="62">
        <f t="shared" si="92"/>
        <v>477.85821088970999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7.8092682949392582</v>
      </c>
      <c r="BQ130" s="23">
        <f>EXP(-LN(2)/25)*BQ129+(1-EXP(-LN(2)/25))/(LN(2)/25)*Calculateur!BL130*Calculateur!BN130*VLOOKUP('Données projet'!$B$11,Paramètres!$A$1:$I$89,3,0)*0.475*44/12</f>
        <v>2.9850443199881038</v>
      </c>
      <c r="BR130" s="23">
        <f>EXP(-LN(2)/2)*BR129+(1-EXP(-LN(2)/2))/(LN(2)/2)*BL130*BO130*VLOOKUP('Données projet'!$B$11,Paramètres!$A$1:$I$89,3,0)*0.475*44/12</f>
        <v>1.0944771570272078E-13</v>
      </c>
      <c r="BS130" s="24">
        <f t="shared" si="63"/>
        <v>10.794312614927472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1.1368683772161603E-13</v>
      </c>
      <c r="BZ130" s="14">
        <f>BY130*VLOOKUP('Données projet'!$B$12,Paramètres!$A$1:$I$89,3,0)*VLOOKUP('Données projet'!$B$12,Paramètres!$A$1:$I$89,5,0)</f>
        <v>6.7984728957526396E-14</v>
      </c>
      <c r="CA130" s="14">
        <f t="shared" si="93"/>
        <v>1.0682447123141398E-12</v>
      </c>
      <c r="CB130" s="22">
        <f t="shared" si="64"/>
        <v>1.978932943548152E-12</v>
      </c>
      <c r="CC130" s="62">
        <f t="shared" si="65"/>
        <v>278.23824909246628</v>
      </c>
      <c r="CD130" s="62">
        <f ca="1">AVERAGE(OFFSET($CC$3,0,0,'Données projet'!$E$12+1,1))-AVERAGE(OFFSET($H$3,0,0,'Données projet'!$E$12+1,1))</f>
        <v>437.94016462147999</v>
      </c>
      <c r="CE130" s="62">
        <f t="shared" si="94"/>
        <v>281.88254003380348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2.0570408685618936E-14</v>
      </c>
      <c r="CN130" s="24">
        <f t="shared" si="66"/>
        <v>2.0570408685618936E-14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1.1368683772161603E-13</v>
      </c>
      <c r="CU130" s="18">
        <f>CT130*VLOOKUP('Données projet'!$B$13,Paramètres!$A$1:$I$89,3,0)*VLOOKUP('Données projet'!$B$13,Paramètres!$A$1:$I$89,5,0)</f>
        <v>1.2946657079737634E-13</v>
      </c>
      <c r="CV130" s="14">
        <f t="shared" si="95"/>
        <v>1.8873591890224769E-12</v>
      </c>
      <c r="CW130" s="22">
        <f t="shared" si="67"/>
        <v>3.5126381983529106E-12</v>
      </c>
      <c r="CX130" s="62">
        <f t="shared" si="68"/>
        <v>278.23824909246781</v>
      </c>
      <c r="CY130" s="62">
        <f ca="1">AVERAGE(OFFSET($CX$3,0,0,'Données projet'!$E$13+1,1))-AVERAGE(OFFSET($H$3,0,0,'Données projet'!$E$13+1,1))</f>
        <v>520.23742527061836</v>
      </c>
      <c r="CZ130" s="62">
        <f t="shared" si="96"/>
        <v>321.35925479331274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>
        <f>DO130*VLOOKUP('Données projet'!$B$14,Paramètres!$A$1:$I$89,3,0)*VLOOKUP('Données projet'!$B$14,Paramètres!$A$1:$I$89,5,0)</f>
        <v>0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547.89540791313675</v>
      </c>
      <c r="DU130" s="62">
        <f t="shared" si="98"/>
        <v>345.19555189302378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5.6843418860808015E-14</v>
      </c>
      <c r="EK130" s="18">
        <f>EJ130*VLOOKUP('Données projet'!$B$15,Paramètres!$A$1:$I$89,3,0)*VLOOKUP('Données projet'!$B$15,Paramètres!$A$1:$I$89,5,0)</f>
        <v>5.9412741393316544E-14</v>
      </c>
      <c r="EL130" s="14">
        <f t="shared" si="99"/>
        <v>9.483138037075782E-13</v>
      </c>
      <c r="EM130" s="22">
        <f t="shared" si="73"/>
        <v>1.7551237327173916E-12</v>
      </c>
      <c r="EN130" s="62">
        <f t="shared" si="74"/>
        <v>278.23824909246605</v>
      </c>
      <c r="EO130" s="62">
        <f ca="1">AVERAGE(OFFSET($EN$3,0,0,'Données projet'!$E$15+1,1))-AVERAGE(OFFSET($H$3,0,0,'Données projet'!$E$15+1,1))</f>
        <v>418.23737352070503</v>
      </c>
      <c r="EP130" s="62">
        <f t="shared" si="100"/>
        <v>496.10742685332968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1.1368683772161603E-13</v>
      </c>
      <c r="FF130" s="18">
        <f>FE130*VLOOKUP('Données projet'!$B$16,Paramètres!$A$1:$I$89,3,0)*VLOOKUP('Données projet'!$B$16,Paramètres!$A$1:$I$89,5,0)</f>
        <v>6.7984728957526396E-14</v>
      </c>
      <c r="FG130" s="14">
        <f t="shared" si="101"/>
        <v>1.0682447123141398E-12</v>
      </c>
      <c r="FH130" s="22">
        <f t="shared" si="76"/>
        <v>1.978932943548152E-12</v>
      </c>
      <c r="FI130" s="62">
        <f t="shared" si="77"/>
        <v>278.23824909246628</v>
      </c>
      <c r="FJ130" s="62">
        <f ca="1">AVERAGE(OFFSET($FI$3,0,0,'Données projet'!$E$16+1,1))-AVERAGE(OFFSET($H$3,0,0,'Données projet'!$E$16+1,1))</f>
        <v>341.70983624543067</v>
      </c>
      <c r="FK130" s="62">
        <f t="shared" si="102"/>
        <v>250.82562837973805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3.1132310405241946E-14</v>
      </c>
      <c r="FT130" s="24">
        <f t="shared" si="78"/>
        <v>3.1132310405241946E-14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5.2222222222222223</v>
      </c>
      <c r="FZ130" s="13">
        <f>IF('Données projet'!$A$244&gt;35,FZ129+FY130-GH129,IF(A130&lt;'Données projet'!$A$244,$FW$205^A130,IF(A130='Données projet'!$A$244,'Données projet'!$B$244,FZ129+FY130-GH129)))</f>
        <v>273.11111111111086</v>
      </c>
      <c r="GA130" s="18">
        <f>FZ130*VLOOKUP('Données projet'!$B$17,Paramètres!$A$1:$I$89,3,0)*VLOOKUP('Données projet'!$B$17,Paramètres!$A$1:$I$89,5,0)</f>
        <v>127.81599999999989</v>
      </c>
      <c r="GB130" s="14">
        <f t="shared" si="103"/>
        <v>33.491204508905533</v>
      </c>
      <c r="GC130" s="22">
        <f t="shared" si="79"/>
        <v>280.94338118634357</v>
      </c>
      <c r="GD130" s="62">
        <f t="shared" si="80"/>
        <v>559.18163027880792</v>
      </c>
      <c r="GE130" s="62">
        <f ca="1">AVERAGE(OFFSET($GD$3,0,0,'Données projet'!$E$17+1,1))-AVERAGE(OFFSET($H$3,0,0,'Données projet'!$E$17+1,1))</f>
        <v>368.69628434154333</v>
      </c>
      <c r="GF130" s="62">
        <f t="shared" si="104"/>
        <v>202.28197295839524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-1.1368683772161603E-13</v>
      </c>
      <c r="GV130" s="18">
        <f>GU130*VLOOKUP('Données projet'!$B$18,Paramètres!$A$1:$I$89,3,0)*VLOOKUP('Données projet'!$B$18,Paramètres!$A$1:$I$89,5,0)</f>
        <v>-9.9316821433603781E-14</v>
      </c>
      <c r="GW130" s="14" t="e">
        <f t="shared" si="105"/>
        <v>#NUM!</v>
      </c>
      <c r="GX130" s="22" t="e">
        <f t="shared" si="82"/>
        <v>#NUM!</v>
      </c>
      <c r="GY130" s="62" t="e">
        <f t="shared" si="83"/>
        <v>#NUM!</v>
      </c>
      <c r="GZ130" s="62">
        <f ca="1">AVERAGE(OFFSET($GY$3,0,0,'Données projet'!$E$18+1,1))-AVERAGE(OFFSET($H$3,0,0,'Données projet'!$E$18+1,1))</f>
        <v>378.51861272969165</v>
      </c>
      <c r="HA130" s="62">
        <f t="shared" si="106"/>
        <v>387.42368617035459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0</v>
      </c>
      <c r="HH130" s="23">
        <f>EXP(-LN(2)/25)*HH129+(1-EXP(-LN(2)/25))/(LN(2)/25)*Calculateur!HC130*Calculateur!HE130*VLOOKUP('Données projet'!$B$18,Paramètres!$A$1:$I$89,3,0)*0.475*44/12</f>
        <v>0</v>
      </c>
      <c r="HI130" s="23">
        <f>EXP(-LN(2)/2)*HI129+(1-EXP(-LN(2)/2))/(LN(2)/2)*HC130*HF130*VLOOKUP('Données projet'!$B$18,Paramètres!$A$1:$I$89,3,0)*0.475*44/12</f>
        <v>0</v>
      </c>
      <c r="HJ130" s="24">
        <f t="shared" si="84"/>
        <v>0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135.66666666666666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278.50011505649275</v>
      </c>
      <c r="S131" s="62">
        <f ca="1">AVERAGE(OFFSET($R$3,0,0,'Données projet'!$E$9+1,1))-AVERAGE(OFFSET($H$3,0,0,'Données projet'!$E$9+1,1))</f>
        <v>437.94016462147999</v>
      </c>
      <c r="T131" s="62">
        <f t="shared" si="88"/>
        <v>281.88254003380348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1.4545475473379806E-14</v>
      </c>
      <c r="AC131" s="24">
        <f t="shared" si="57"/>
        <v>1.4545475473379806E-14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1.0286385077051818E-13</v>
      </c>
      <c r="AK131" s="14">
        <f t="shared" si="89"/>
        <v>1.5402366592183556E-12</v>
      </c>
      <c r="AL131" s="22">
        <f t="shared" si="58"/>
        <v>2.8617333882306215E-12</v>
      </c>
      <c r="AM131" s="62">
        <f t="shared" si="59"/>
        <v>278.5001150564936</v>
      </c>
      <c r="AN131" s="62">
        <f ca="1">AVERAGE(OFFSET($AM$3,0,0,'Données projet'!$E$10+1,1))-AVERAGE(OFFSET($H$3,0,0,'Données projet'!$E$10+1,1))</f>
        <v>434.56763649859136</v>
      </c>
      <c r="AO131" s="62">
        <f t="shared" si="90"/>
        <v>271.90302066766264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6.7984728957526396E-14</v>
      </c>
      <c r="BF131" s="14">
        <f t="shared" si="91"/>
        <v>1.0682447123141398E-12</v>
      </c>
      <c r="BG131" s="22">
        <f t="shared" si="61"/>
        <v>1.978932943548152E-12</v>
      </c>
      <c r="BH131" s="62">
        <f t="shared" si="62"/>
        <v>278.50011505649275</v>
      </c>
      <c r="BI131" s="62">
        <f ca="1">AVERAGE(OFFSET($BH$3,0,0,'Données projet'!$E$11+1,1))-AVERAGE(OFFSET($H$3,0,0,'Données projet'!$E$11+1,1))</f>
        <v>199.65420589615553</v>
      </c>
      <c r="BJ131" s="62">
        <f t="shared" si="92"/>
        <v>477.85821088970999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7.656133306858834</v>
      </c>
      <c r="BQ131" s="23">
        <f>EXP(-LN(2)/25)*BQ130+(1-EXP(-LN(2)/25))/(LN(2)/25)*Calculateur!BL131*Calculateur!BN131*VLOOKUP('Données projet'!$B$11,Paramètres!$A$1:$I$89,3,0)*0.475*44/12</f>
        <v>2.903418126081371</v>
      </c>
      <c r="BR131" s="23">
        <f>EXP(-LN(2)/2)*BR130+(1-EXP(-LN(2)/2))/(LN(2)/2)*BL131*BO131*VLOOKUP('Données projet'!$B$11,Paramètres!$A$1:$I$89,3,0)*0.475*44/12</f>
        <v>7.7391221958771245E-14</v>
      </c>
      <c r="BS131" s="24">
        <f t="shared" si="63"/>
        <v>10.559551432940284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1.1368683772161603E-13</v>
      </c>
      <c r="BZ131" s="14">
        <f>BY131*VLOOKUP('Données projet'!$B$12,Paramètres!$A$1:$I$89,3,0)*VLOOKUP('Données projet'!$B$12,Paramètres!$A$1:$I$89,5,0)</f>
        <v>6.7984728957526396E-14</v>
      </c>
      <c r="CA131" s="14">
        <f t="shared" si="93"/>
        <v>1.0682447123141398E-12</v>
      </c>
      <c r="CB131" s="22">
        <f t="shared" si="64"/>
        <v>1.978932943548152E-12</v>
      </c>
      <c r="CC131" s="62">
        <f t="shared" si="65"/>
        <v>278.50011505649275</v>
      </c>
      <c r="CD131" s="62">
        <f ca="1">AVERAGE(OFFSET($CC$3,0,0,'Données projet'!$E$12+1,1))-AVERAGE(OFFSET($H$3,0,0,'Données projet'!$E$12+1,1))</f>
        <v>437.94016462147999</v>
      </c>
      <c r="CE131" s="62">
        <f t="shared" si="94"/>
        <v>281.88254003380348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1.4545475473379806E-14</v>
      </c>
      <c r="CN131" s="24">
        <f t="shared" si="66"/>
        <v>1.4545475473379806E-14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1.1368683772161603E-13</v>
      </c>
      <c r="CU131" s="18">
        <f>CT131*VLOOKUP('Données projet'!$B$13,Paramètres!$A$1:$I$89,3,0)*VLOOKUP('Données projet'!$B$13,Paramètres!$A$1:$I$89,5,0)</f>
        <v>1.2946657079737634E-13</v>
      </c>
      <c r="CV131" s="14">
        <f t="shared" si="95"/>
        <v>1.8873591890224769E-12</v>
      </c>
      <c r="CW131" s="22">
        <f t="shared" si="67"/>
        <v>3.5126381983529106E-12</v>
      </c>
      <c r="CX131" s="62">
        <f t="shared" si="68"/>
        <v>278.50011505649428</v>
      </c>
      <c r="CY131" s="62">
        <f ca="1">AVERAGE(OFFSET($CX$3,0,0,'Données projet'!$E$13+1,1))-AVERAGE(OFFSET($H$3,0,0,'Données projet'!$E$13+1,1))</f>
        <v>520.23742527061836</v>
      </c>
      <c r="CZ131" s="62">
        <f t="shared" si="96"/>
        <v>321.35925479331274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>
        <f>DO131*VLOOKUP('Données projet'!$B$14,Paramètres!$A$1:$I$89,3,0)*VLOOKUP('Données projet'!$B$14,Paramètres!$A$1:$I$89,5,0)</f>
        <v>0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547.89540791313675</v>
      </c>
      <c r="DU131" s="62">
        <f t="shared" si="98"/>
        <v>345.19555189302378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5.6843418860808015E-14</v>
      </c>
      <c r="EK131" s="18">
        <f>EJ131*VLOOKUP('Données projet'!$B$15,Paramètres!$A$1:$I$89,3,0)*VLOOKUP('Données projet'!$B$15,Paramètres!$A$1:$I$89,5,0)</f>
        <v>5.9412741393316544E-14</v>
      </c>
      <c r="EL131" s="14">
        <f t="shared" si="99"/>
        <v>9.483138037075782E-13</v>
      </c>
      <c r="EM131" s="22">
        <f t="shared" si="73"/>
        <v>1.7551237327173916E-12</v>
      </c>
      <c r="EN131" s="62">
        <f t="shared" si="74"/>
        <v>278.50011505649252</v>
      </c>
      <c r="EO131" s="62">
        <f ca="1">AVERAGE(OFFSET($EN$3,0,0,'Données projet'!$E$15+1,1))-AVERAGE(OFFSET($H$3,0,0,'Données projet'!$E$15+1,1))</f>
        <v>418.23737352070503</v>
      </c>
      <c r="EP131" s="62">
        <f t="shared" si="100"/>
        <v>496.10742685332968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1.1368683772161603E-13</v>
      </c>
      <c r="FF131" s="18">
        <f>FE131*VLOOKUP('Données projet'!$B$16,Paramètres!$A$1:$I$89,3,0)*VLOOKUP('Données projet'!$B$16,Paramètres!$A$1:$I$89,5,0)</f>
        <v>6.7984728957526396E-14</v>
      </c>
      <c r="FG131" s="14">
        <f t="shared" si="101"/>
        <v>1.0682447123141398E-12</v>
      </c>
      <c r="FH131" s="22">
        <f t="shared" si="76"/>
        <v>1.978932943548152E-12</v>
      </c>
      <c r="FI131" s="62">
        <f t="shared" si="77"/>
        <v>278.50011505649275</v>
      </c>
      <c r="FJ131" s="62">
        <f ca="1">AVERAGE(OFFSET($FI$3,0,0,'Données projet'!$E$16+1,1))-AVERAGE(OFFSET($H$3,0,0,'Données projet'!$E$16+1,1))</f>
        <v>341.70983624543067</v>
      </c>
      <c r="FK131" s="62">
        <f t="shared" si="102"/>
        <v>250.82562837973805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2.2013867801551093E-14</v>
      </c>
      <c r="FT131" s="24">
        <f t="shared" si="78"/>
        <v>2.2013867801551093E-14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5.2222222222222223</v>
      </c>
      <c r="FZ131" s="13">
        <f>IF('Données projet'!$A$244&gt;35,FZ130+FY131-GH130,IF(A131&lt;'Données projet'!$A$244,$FW$205^A131,IF(A131='Données projet'!$A$244,'Données projet'!$B$244,FZ130+FY131-GH130)))</f>
        <v>278.33333333333309</v>
      </c>
      <c r="GA131" s="18">
        <f>FZ131*VLOOKUP('Données projet'!$B$17,Paramètres!$A$1:$I$89,3,0)*VLOOKUP('Données projet'!$B$17,Paramètres!$A$1:$I$89,5,0)</f>
        <v>130.25999999999988</v>
      </c>
      <c r="GB131" s="14">
        <f t="shared" si="103"/>
        <v>34.05643071063929</v>
      </c>
      <c r="GC131" s="22">
        <f t="shared" si="79"/>
        <v>286.18445015436322</v>
      </c>
      <c r="GD131" s="62">
        <f t="shared" si="80"/>
        <v>564.68456521085398</v>
      </c>
      <c r="GE131" s="62">
        <f ca="1">AVERAGE(OFFSET($GD$3,0,0,'Données projet'!$E$17+1,1))-AVERAGE(OFFSET($H$3,0,0,'Données projet'!$E$17+1,1))</f>
        <v>368.69628434154333</v>
      </c>
      <c r="GF131" s="62">
        <f t="shared" si="104"/>
        <v>202.28197295839524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-1.1368683772161603E-13</v>
      </c>
      <c r="GV131" s="18">
        <f>GU131*VLOOKUP('Données projet'!$B$18,Paramètres!$A$1:$I$89,3,0)*VLOOKUP('Données projet'!$B$18,Paramètres!$A$1:$I$89,5,0)</f>
        <v>-9.9316821433603781E-14</v>
      </c>
      <c r="GW131" s="14" t="e">
        <f t="shared" si="105"/>
        <v>#NUM!</v>
      </c>
      <c r="GX131" s="22" t="e">
        <f t="shared" si="82"/>
        <v>#NUM!</v>
      </c>
      <c r="GY131" s="62" t="e">
        <f t="shared" si="83"/>
        <v>#NUM!</v>
      </c>
      <c r="GZ131" s="62">
        <f ca="1">AVERAGE(OFFSET($GY$3,0,0,'Données projet'!$E$18+1,1))-AVERAGE(OFFSET($H$3,0,0,'Données projet'!$E$18+1,1))</f>
        <v>378.51861272969165</v>
      </c>
      <c r="HA131" s="62">
        <f t="shared" si="106"/>
        <v>387.42368617035459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0</v>
      </c>
      <c r="HH131" s="23">
        <f>EXP(-LN(2)/25)*HH130+(1-EXP(-LN(2)/25))/(LN(2)/25)*Calculateur!HC131*Calculateur!HE131*VLOOKUP('Données projet'!$B$18,Paramètres!$A$1:$I$89,3,0)*0.475*44/12</f>
        <v>0</v>
      </c>
      <c r="HI131" s="23">
        <f>EXP(-LN(2)/2)*HI130+(1-EXP(-LN(2)/2))/(LN(2)/2)*HC131*HF131*VLOOKUP('Données projet'!$B$18,Paramètres!$A$1:$I$89,3,0)*0.475*44/12</f>
        <v>0</v>
      </c>
      <c r="HJ131" s="24">
        <f t="shared" si="84"/>
        <v>0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135.66666666666666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278.75743823148792</v>
      </c>
      <c r="S132" s="62">
        <f ca="1">AVERAGE(OFFSET($R$3,0,0,'Données projet'!$E$9+1,1))-AVERAGE(OFFSET($H$3,0,0,'Données projet'!$E$9+1,1))</f>
        <v>437.94016462147999</v>
      </c>
      <c r="T132" s="62">
        <f t="shared" si="88"/>
        <v>281.88254003380348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1.0285204342809468E-14</v>
      </c>
      <c r="AC132" s="24">
        <f t="shared" ref="AC132:AC153" si="111">SUM(Z132:AB132)</f>
        <v>1.0285204342809468E-14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1.0286385077051818E-13</v>
      </c>
      <c r="AK132" s="14">
        <f t="shared" si="89"/>
        <v>1.5402366592183556E-12</v>
      </c>
      <c r="AL132" s="22">
        <f t="shared" ref="AL132:AL153" si="112">(AJ132+AK132)*0.475*44/12</f>
        <v>2.8617333882306215E-12</v>
      </c>
      <c r="AM132" s="62">
        <f t="shared" ref="AM132:AM195" si="113">AL132+(AD132+AE132)*44/12</f>
        <v>278.75743823148878</v>
      </c>
      <c r="AN132" s="62">
        <f ca="1">AVERAGE(OFFSET($AM$3,0,0,'Données projet'!$E$10+1,1))-AVERAGE(OFFSET($H$3,0,0,'Données projet'!$E$10+1,1))</f>
        <v>434.56763649859136</v>
      </c>
      <c r="AO132" s="62">
        <f t="shared" si="90"/>
        <v>271.90302066766264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6.7984728957526396E-14</v>
      </c>
      <c r="BF132" s="14">
        <f t="shared" si="91"/>
        <v>1.0682447123141398E-12</v>
      </c>
      <c r="BG132" s="22">
        <f t="shared" ref="BG132:BG153" si="115">(BE132+BF132)*0.475*44/12</f>
        <v>1.978932943548152E-12</v>
      </c>
      <c r="BH132" s="62">
        <f t="shared" ref="BH132:BH195" si="116">BG132+(AY132+AZ132)*44/12</f>
        <v>278.75743823148792</v>
      </c>
      <c r="BI132" s="62">
        <f ca="1">AVERAGE(OFFSET($BH$3,0,0,'Données projet'!$E$11+1,1))-AVERAGE(OFFSET($H$3,0,0,'Données projet'!$E$11+1,1))</f>
        <v>199.65420589615553</v>
      </c>
      <c r="BJ132" s="62">
        <f t="shared" si="92"/>
        <v>477.85821088970999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7.5060012024915466</v>
      </c>
      <c r="BQ132" s="23">
        <f>EXP(-LN(2)/25)*BQ131+(1-EXP(-LN(2)/25))/(LN(2)/25)*Calculateur!BL132*Calculateur!BN132*VLOOKUP('Données projet'!$B$11,Paramètres!$A$1:$I$89,3,0)*0.475*44/12</f>
        <v>2.8240240047395524</v>
      </c>
      <c r="BR132" s="23">
        <f>EXP(-LN(2)/2)*BR131+(1-EXP(-LN(2)/2))/(LN(2)/2)*BL132*BO132*VLOOKUP('Données projet'!$B$11,Paramètres!$A$1:$I$89,3,0)*0.475*44/12</f>
        <v>5.4723857851360391E-14</v>
      </c>
      <c r="BS132" s="24">
        <f t="shared" ref="BS132:BS153" si="117">SUM(BP132:BR132)</f>
        <v>10.330025207231154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1.1368683772161603E-13</v>
      </c>
      <c r="BZ132" s="14">
        <f>BY132*VLOOKUP('Données projet'!$B$12,Paramètres!$A$1:$I$89,3,0)*VLOOKUP('Données projet'!$B$12,Paramètres!$A$1:$I$89,5,0)</f>
        <v>6.7984728957526396E-14</v>
      </c>
      <c r="CA132" s="14">
        <f t="shared" si="93"/>
        <v>1.0682447123141398E-12</v>
      </c>
      <c r="CB132" s="22">
        <f t="shared" ref="CB132:CB153" si="118">(BZ132+CA132)*0.475*44/12</f>
        <v>1.978932943548152E-12</v>
      </c>
      <c r="CC132" s="62">
        <f t="shared" ref="CC132:CC195" si="119">CB132+(BT132+BU132)*44/12</f>
        <v>278.75743823148792</v>
      </c>
      <c r="CD132" s="62">
        <f ca="1">AVERAGE(OFFSET($CC$3,0,0,'Données projet'!$E$12+1,1))-AVERAGE(OFFSET($H$3,0,0,'Données projet'!$E$12+1,1))</f>
        <v>437.94016462147999</v>
      </c>
      <c r="CE132" s="62">
        <f t="shared" si="94"/>
        <v>281.88254003380348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1.0285204342809468E-14</v>
      </c>
      <c r="CN132" s="24">
        <f t="shared" ref="CN132:CN153" si="120">SUM(CK132:CM132)</f>
        <v>1.0285204342809468E-14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1.1368683772161603E-13</v>
      </c>
      <c r="CU132" s="18">
        <f>CT132*VLOOKUP('Données projet'!$B$13,Paramètres!$A$1:$I$89,3,0)*VLOOKUP('Données projet'!$B$13,Paramètres!$A$1:$I$89,5,0)</f>
        <v>1.2946657079737634E-13</v>
      </c>
      <c r="CV132" s="14">
        <f t="shared" si="95"/>
        <v>1.8873591890224769E-12</v>
      </c>
      <c r="CW132" s="22">
        <f t="shared" ref="CW132:CW153" si="121">(CU132+CV132)*0.475*44/12</f>
        <v>3.5126381983529106E-12</v>
      </c>
      <c r="CX132" s="62">
        <f t="shared" ref="CX132:CX195" si="122">CW132+(CO132+CP132)*44/12</f>
        <v>278.75743823148946</v>
      </c>
      <c r="CY132" s="62">
        <f ca="1">AVERAGE(OFFSET($CX$3,0,0,'Données projet'!$E$13+1,1))-AVERAGE(OFFSET($H$3,0,0,'Données projet'!$E$13+1,1))</f>
        <v>520.23742527061836</v>
      </c>
      <c r="CZ132" s="62">
        <f t="shared" si="96"/>
        <v>321.35925479331274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>
        <f>DO132*VLOOKUP('Données projet'!$B$14,Paramètres!$A$1:$I$89,3,0)*VLOOKUP('Données projet'!$B$14,Paramètres!$A$1:$I$89,5,0)</f>
        <v>0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547.89540791313675</v>
      </c>
      <c r="DU132" s="62">
        <f t="shared" si="98"/>
        <v>345.19555189302378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5.6843418860808015E-14</v>
      </c>
      <c r="EK132" s="18">
        <f>EJ132*VLOOKUP('Données projet'!$B$15,Paramètres!$A$1:$I$89,3,0)*VLOOKUP('Données projet'!$B$15,Paramètres!$A$1:$I$89,5,0)</f>
        <v>5.9412741393316544E-14</v>
      </c>
      <c r="EL132" s="14">
        <f t="shared" si="99"/>
        <v>9.483138037075782E-13</v>
      </c>
      <c r="EM132" s="22">
        <f t="shared" ref="EM132:EM153" si="127">(EK132+EL132)*0.475*44/12</f>
        <v>1.7551237327173916E-12</v>
      </c>
      <c r="EN132" s="62">
        <f t="shared" ref="EN132:EN195" si="128">EM132+(EE132+EF132)*44/12</f>
        <v>278.7574382314877</v>
      </c>
      <c r="EO132" s="62">
        <f ca="1">AVERAGE(OFFSET($EN$3,0,0,'Données projet'!$E$15+1,1))-AVERAGE(OFFSET($H$3,0,0,'Données projet'!$E$15+1,1))</f>
        <v>418.23737352070503</v>
      </c>
      <c r="EP132" s="62">
        <f t="shared" si="100"/>
        <v>496.10742685332968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1.1368683772161603E-13</v>
      </c>
      <c r="FF132" s="18">
        <f>FE132*VLOOKUP('Données projet'!$B$16,Paramètres!$A$1:$I$89,3,0)*VLOOKUP('Données projet'!$B$16,Paramètres!$A$1:$I$89,5,0)</f>
        <v>6.7984728957526396E-14</v>
      </c>
      <c r="FG132" s="14">
        <f t="shared" si="101"/>
        <v>1.0682447123141398E-12</v>
      </c>
      <c r="FH132" s="22">
        <f t="shared" ref="FH132:FH153" si="130">(FF132+FG132)*0.475*44/12</f>
        <v>1.978932943548152E-12</v>
      </c>
      <c r="FI132" s="62">
        <f t="shared" ref="FI132:FI195" si="131">FH132+(EZ132+FA132)*44/12</f>
        <v>278.75743823148792</v>
      </c>
      <c r="FJ132" s="62">
        <f ca="1">AVERAGE(OFFSET($FI$3,0,0,'Données projet'!$E$16+1,1))-AVERAGE(OFFSET($H$3,0,0,'Données projet'!$E$16+1,1))</f>
        <v>341.70983624543067</v>
      </c>
      <c r="FK132" s="62">
        <f t="shared" si="102"/>
        <v>250.82562837973805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1.5566155202620973E-14</v>
      </c>
      <c r="FT132" s="24">
        <f t="shared" ref="FT132:FT153" si="132">SUM(FQ132:FS132)</f>
        <v>1.5566155202620973E-14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5.2222222222222223</v>
      </c>
      <c r="FZ132" s="13">
        <f>IF('Données projet'!$A$244&gt;35,FZ131+FY132-GH131,IF(A132&lt;'Données projet'!$A$244,$FW$205^A132,IF(A132='Données projet'!$A$244,'Données projet'!$B$244,FZ131+FY132-GH131)))</f>
        <v>283.55555555555532</v>
      </c>
      <c r="GA132" s="18">
        <f>FZ132*VLOOKUP('Données projet'!$B$17,Paramètres!$A$1:$I$89,3,0)*VLOOKUP('Données projet'!$B$17,Paramètres!$A$1:$I$89,5,0)</f>
        <v>132.70399999999989</v>
      </c>
      <c r="GB132" s="14">
        <f t="shared" si="103"/>
        <v>34.620423755923817</v>
      </c>
      <c r="GC132" s="22">
        <f t="shared" ref="GC132:GC153" si="133">(GA132+GB132)*0.475*44/12</f>
        <v>291.42337137490046</v>
      </c>
      <c r="GD132" s="62">
        <f t="shared" ref="GD132:GD195" si="134">GC132+(FU132+FV132)*44/12</f>
        <v>570.18080960638645</v>
      </c>
      <c r="GE132" s="62">
        <f ca="1">AVERAGE(OFFSET($GD$3,0,0,'Données projet'!$E$17+1,1))-AVERAGE(OFFSET($H$3,0,0,'Données projet'!$E$17+1,1))</f>
        <v>368.69628434154333</v>
      </c>
      <c r="GF132" s="62">
        <f t="shared" si="104"/>
        <v>202.28197295839524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-1.1368683772161603E-13</v>
      </c>
      <c r="GV132" s="18">
        <f>GU132*VLOOKUP('Données projet'!$B$18,Paramètres!$A$1:$I$89,3,0)*VLOOKUP('Données projet'!$B$18,Paramètres!$A$1:$I$89,5,0)</f>
        <v>-9.9316821433603781E-14</v>
      </c>
      <c r="GW132" s="14" t="e">
        <f t="shared" si="105"/>
        <v>#NUM!</v>
      </c>
      <c r="GX132" s="22" t="e">
        <f t="shared" ref="GX132:GX153" si="136">(GV132+GW132)*0.475*44/12</f>
        <v>#NUM!</v>
      </c>
      <c r="GY132" s="62" t="e">
        <f t="shared" ref="GY132:GY195" si="137">GX132+(GP132+GQ132)*44/12</f>
        <v>#NUM!</v>
      </c>
      <c r="GZ132" s="62">
        <f ca="1">AVERAGE(OFFSET($GY$3,0,0,'Données projet'!$E$18+1,1))-AVERAGE(OFFSET($H$3,0,0,'Données projet'!$E$18+1,1))</f>
        <v>378.51861272969165</v>
      </c>
      <c r="HA132" s="62">
        <f t="shared" si="106"/>
        <v>387.42368617035459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0</v>
      </c>
      <c r="HH132" s="23">
        <f>EXP(-LN(2)/25)*HH131+(1-EXP(-LN(2)/25))/(LN(2)/25)*Calculateur!HC132*Calculateur!HE132*VLOOKUP('Données projet'!$B$18,Paramètres!$A$1:$I$89,3,0)*0.475*44/12</f>
        <v>0</v>
      </c>
      <c r="HI132" s="23">
        <f>EXP(-LN(2)/2)*HI131+(1-EXP(-LN(2)/2))/(LN(2)/2)*HC132*HF132*VLOOKUP('Données projet'!$B$18,Paramètres!$A$1:$I$89,3,0)*0.475*44/12</f>
        <v>0</v>
      </c>
      <c r="HJ132" s="24">
        <f t="shared" ref="HJ132:HJ153" si="138">SUM(HG132:HI132)</f>
        <v>0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135.66666666666666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279.0102974246854</v>
      </c>
      <c r="S133" s="62">
        <f ca="1">AVERAGE(OFFSET($R$3,0,0,'Données projet'!$E$9+1,1))-AVERAGE(OFFSET($H$3,0,0,'Données projet'!$E$9+1,1))</f>
        <v>437.94016462147999</v>
      </c>
      <c r="T133" s="62">
        <f t="shared" ref="T133:T196" si="142">$T$3</f>
        <v>281.88254003380348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7.2727377366899029E-15</v>
      </c>
      <c r="AC133" s="24">
        <f t="shared" si="111"/>
        <v>7.2727377366899029E-15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1.0286385077051818E-13</v>
      </c>
      <c r="AK133" s="14">
        <f t="shared" ref="AK133:AK153" si="143">EXP(-1.0587+0.8836*LN(AJ133)+0.284)</f>
        <v>1.5402366592183556E-12</v>
      </c>
      <c r="AL133" s="22">
        <f t="shared" si="112"/>
        <v>2.8617333882306215E-12</v>
      </c>
      <c r="AM133" s="62">
        <f t="shared" si="113"/>
        <v>279.01029742468626</v>
      </c>
      <c r="AN133" s="62">
        <f ca="1">AVERAGE(OFFSET($AM$3,0,0,'Données projet'!$E$10+1,1))-AVERAGE(OFFSET($H$3,0,0,'Données projet'!$E$10+1,1))</f>
        <v>434.56763649859136</v>
      </c>
      <c r="AO133" s="62">
        <f t="shared" ref="AO133:AO196" si="144">$AO$3</f>
        <v>271.90302066766264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6.7984728957526396E-14</v>
      </c>
      <c r="BF133" s="14">
        <f t="shared" ref="BF133:BF153" si="145">EXP(-1.0587+0.8836*LN(BE133)+0.284)</f>
        <v>1.0682447123141398E-12</v>
      </c>
      <c r="BG133" s="22">
        <f t="shared" si="115"/>
        <v>1.978932943548152E-12</v>
      </c>
      <c r="BH133" s="62">
        <f t="shared" si="116"/>
        <v>279.0102974246854</v>
      </c>
      <c r="BI133" s="62">
        <f ca="1">AVERAGE(OFFSET($BH$3,0,0,'Données projet'!$E$11+1,1))-AVERAGE(OFFSET($H$3,0,0,'Données projet'!$E$11+1,1))</f>
        <v>199.65420589615553</v>
      </c>
      <c r="BJ133" s="62">
        <f t="shared" ref="BJ133:BJ196" si="146">$BJ$3</f>
        <v>477.85821088970999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7.3588130971193602</v>
      </c>
      <c r="BQ133" s="23">
        <f>EXP(-LN(2)/25)*BQ132+(1-EXP(-LN(2)/25))/(LN(2)/25)*Calculateur!BL133*Calculateur!BN133*VLOOKUP('Données projet'!$B$11,Paramètres!$A$1:$I$89,3,0)*0.475*44/12</f>
        <v>2.7468009198209815</v>
      </c>
      <c r="BR133" s="23">
        <f>EXP(-LN(2)/2)*BR132+(1-EXP(-LN(2)/2))/(LN(2)/2)*BL133*BO133*VLOOKUP('Données projet'!$B$11,Paramètres!$A$1:$I$89,3,0)*0.475*44/12</f>
        <v>3.8695610979385622E-14</v>
      </c>
      <c r="BS133" s="24">
        <f t="shared" si="117"/>
        <v>10.105614016940381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1.1368683772161603E-13</v>
      </c>
      <c r="BZ133" s="14">
        <f>BY133*VLOOKUP('Données projet'!$B$12,Paramètres!$A$1:$I$89,3,0)*VLOOKUP('Données projet'!$B$12,Paramètres!$A$1:$I$89,5,0)</f>
        <v>6.7984728957526396E-14</v>
      </c>
      <c r="CA133" s="14">
        <f t="shared" ref="CA133:CA153" si="147">EXP(-1.0587+0.8836*LN(BZ133)+0.284)</f>
        <v>1.0682447123141398E-12</v>
      </c>
      <c r="CB133" s="22">
        <f t="shared" si="118"/>
        <v>1.978932943548152E-12</v>
      </c>
      <c r="CC133" s="62">
        <f t="shared" si="119"/>
        <v>279.0102974246854</v>
      </c>
      <c r="CD133" s="62">
        <f ca="1">AVERAGE(OFFSET($CC$3,0,0,'Données projet'!$E$12+1,1))-AVERAGE(OFFSET($H$3,0,0,'Données projet'!$E$12+1,1))</f>
        <v>437.94016462147999</v>
      </c>
      <c r="CE133" s="62">
        <f t="shared" ref="CE133:CE196" si="148">$CE$3</f>
        <v>281.88254003380348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7.2727377366899029E-15</v>
      </c>
      <c r="CN133" s="24">
        <f t="shared" si="120"/>
        <v>7.2727377366899029E-15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1.1368683772161603E-13</v>
      </c>
      <c r="CU133" s="18">
        <f>CT133*VLOOKUP('Données projet'!$B$13,Paramètres!$A$1:$I$89,3,0)*VLOOKUP('Données projet'!$B$13,Paramètres!$A$1:$I$89,5,0)</f>
        <v>1.2946657079737634E-13</v>
      </c>
      <c r="CV133" s="14">
        <f t="shared" ref="CV133:CV153" si="149">EXP(-1.0587+0.8836*LN(CU133)+0.284)</f>
        <v>1.8873591890224769E-12</v>
      </c>
      <c r="CW133" s="22">
        <f t="shared" si="121"/>
        <v>3.5126381983529106E-12</v>
      </c>
      <c r="CX133" s="62">
        <f t="shared" si="122"/>
        <v>279.01029742468694</v>
      </c>
      <c r="CY133" s="62">
        <f ca="1">AVERAGE(OFFSET($CX$3,0,0,'Données projet'!$E$13+1,1))-AVERAGE(OFFSET($H$3,0,0,'Données projet'!$E$13+1,1))</f>
        <v>520.23742527061836</v>
      </c>
      <c r="CZ133" s="62">
        <f t="shared" ref="CZ133:CZ196" si="150">$CZ$3</f>
        <v>321.35925479331274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>
        <f>DO133*VLOOKUP('Données projet'!$B$14,Paramètres!$A$1:$I$89,3,0)*VLOOKUP('Données projet'!$B$14,Paramètres!$A$1:$I$89,5,0)</f>
        <v>0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547.89540791313675</v>
      </c>
      <c r="DU133" s="62">
        <f t="shared" ref="DU133:DU196" si="152">$DU$3</f>
        <v>345.19555189302378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5.6843418860808015E-14</v>
      </c>
      <c r="EK133" s="18">
        <f>EJ133*VLOOKUP('Données projet'!$B$15,Paramètres!$A$1:$I$89,3,0)*VLOOKUP('Données projet'!$B$15,Paramètres!$A$1:$I$89,5,0)</f>
        <v>5.9412741393316544E-14</v>
      </c>
      <c r="EL133" s="14">
        <f t="shared" ref="EL133:EL153" si="153">EXP(-1.0587+0.8836*LN(EK133)+0.284)</f>
        <v>9.483138037075782E-13</v>
      </c>
      <c r="EM133" s="22">
        <f t="shared" si="127"/>
        <v>1.7551237327173916E-12</v>
      </c>
      <c r="EN133" s="62">
        <f t="shared" si="128"/>
        <v>279.01029742468518</v>
      </c>
      <c r="EO133" s="62">
        <f ca="1">AVERAGE(OFFSET($EN$3,0,0,'Données projet'!$E$15+1,1))-AVERAGE(OFFSET($H$3,0,0,'Données projet'!$E$15+1,1))</f>
        <v>418.23737352070503</v>
      </c>
      <c r="EP133" s="62">
        <f t="shared" ref="EP133:EP196" si="154">$EP$3</f>
        <v>496.10742685332968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1.1368683772161603E-13</v>
      </c>
      <c r="FF133" s="18">
        <f>FE133*VLOOKUP('Données projet'!$B$16,Paramètres!$A$1:$I$89,3,0)*VLOOKUP('Données projet'!$B$16,Paramètres!$A$1:$I$89,5,0)</f>
        <v>6.7984728957526396E-14</v>
      </c>
      <c r="FG133" s="14">
        <f t="shared" ref="FG133:FG153" si="155">EXP(-1.0587+0.8836*LN(FF133)+0.284)</f>
        <v>1.0682447123141398E-12</v>
      </c>
      <c r="FH133" s="22">
        <f t="shared" si="130"/>
        <v>1.978932943548152E-12</v>
      </c>
      <c r="FI133" s="62">
        <f t="shared" si="131"/>
        <v>279.0102974246854</v>
      </c>
      <c r="FJ133" s="62">
        <f ca="1">AVERAGE(OFFSET($FI$3,0,0,'Données projet'!$E$16+1,1))-AVERAGE(OFFSET($H$3,0,0,'Données projet'!$E$16+1,1))</f>
        <v>341.70983624543067</v>
      </c>
      <c r="FK133" s="62">
        <f t="shared" ref="FK133:FK196" si="156">$FK$3</f>
        <v>250.82562837973805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1.1006933900775547E-14</v>
      </c>
      <c r="FT133" s="24">
        <f t="shared" si="132"/>
        <v>1.1006933900775547E-14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5.2222222222222223</v>
      </c>
      <c r="FZ133" s="13">
        <f>IF('Données projet'!$A$244&gt;35,FZ132+FY133-GH132,IF(A133&lt;'Données projet'!$A$244,$FW$205^A133,IF(A133='Données projet'!$A$244,'Données projet'!$B$244,FZ132+FY133-GH132)))</f>
        <v>288.77777777777754</v>
      </c>
      <c r="GA133" s="18">
        <f>FZ133*VLOOKUP('Données projet'!$B$17,Paramètres!$A$1:$I$89,3,0)*VLOOKUP('Données projet'!$B$17,Paramètres!$A$1:$I$89,5,0)</f>
        <v>135.14799999999988</v>
      </c>
      <c r="GB133" s="14">
        <f t="shared" ref="GB133:GB153" si="157">EXP(-1.0587+0.8836*LN(GA133)+0.284)</f>
        <v>35.183208974998145</v>
      </c>
      <c r="GC133" s="22">
        <f t="shared" si="133"/>
        <v>296.66018896478818</v>
      </c>
      <c r="GD133" s="62">
        <f t="shared" si="134"/>
        <v>575.67048638947153</v>
      </c>
      <c r="GE133" s="62">
        <f ca="1">AVERAGE(OFFSET($GD$3,0,0,'Données projet'!$E$17+1,1))-AVERAGE(OFFSET($H$3,0,0,'Données projet'!$E$17+1,1))</f>
        <v>368.69628434154333</v>
      </c>
      <c r="GF133" s="62">
        <f t="shared" ref="GF133:GF196" si="158">$GF$3</f>
        <v>202.28197295839524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-1.1368683772161603E-13</v>
      </c>
      <c r="GV133" s="18">
        <f>GU133*VLOOKUP('Données projet'!$B$18,Paramètres!$A$1:$I$89,3,0)*VLOOKUP('Données projet'!$B$18,Paramètres!$A$1:$I$89,5,0)</f>
        <v>-9.9316821433603781E-14</v>
      </c>
      <c r="GW133" s="14" t="e">
        <f t="shared" ref="GW133:GW153" si="159">EXP(-1.0587+0.8836*LN(GV133)+0.284)</f>
        <v>#NUM!</v>
      </c>
      <c r="GX133" s="22" t="e">
        <f t="shared" si="136"/>
        <v>#NUM!</v>
      </c>
      <c r="GY133" s="62" t="e">
        <f t="shared" si="137"/>
        <v>#NUM!</v>
      </c>
      <c r="GZ133" s="62">
        <f ca="1">AVERAGE(OFFSET($GY$3,0,0,'Données projet'!$E$18+1,1))-AVERAGE(OFFSET($H$3,0,0,'Données projet'!$E$18+1,1))</f>
        <v>378.51861272969165</v>
      </c>
      <c r="HA133" s="62">
        <f t="shared" ref="HA133:HA196" si="160">$HA$3</f>
        <v>387.42368617035459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0</v>
      </c>
      <c r="HH133" s="23">
        <f>EXP(-LN(2)/25)*HH132+(1-EXP(-LN(2)/25))/(LN(2)/25)*Calculateur!HC133*Calculateur!HE133*VLOOKUP('Données projet'!$B$18,Paramètres!$A$1:$I$89,3,0)*0.475*44/12</f>
        <v>0</v>
      </c>
      <c r="HI133" s="23">
        <f>EXP(-LN(2)/2)*HI132+(1-EXP(-LN(2)/2))/(LN(2)/2)*HC133*HF133*VLOOKUP('Données projet'!$B$18,Paramètres!$A$1:$I$89,3,0)*0.475*44/12</f>
        <v>0</v>
      </c>
      <c r="HJ133" s="24">
        <f t="shared" si="138"/>
        <v>0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135.66666666666666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279.25877007618936</v>
      </c>
      <c r="S134" s="62">
        <f ca="1">AVERAGE(OFFSET($R$3,0,0,'Données projet'!$E$9+1,1))-AVERAGE(OFFSET($H$3,0,0,'Données projet'!$E$9+1,1))</f>
        <v>437.94016462147999</v>
      </c>
      <c r="T134" s="62">
        <f t="shared" si="142"/>
        <v>281.88254003380348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5.1426021714047341E-15</v>
      </c>
      <c r="AC134" s="24">
        <f t="shared" si="111"/>
        <v>5.1426021714047341E-15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1.0286385077051818E-13</v>
      </c>
      <c r="AK134" s="14">
        <f t="shared" si="143"/>
        <v>1.5402366592183556E-12</v>
      </c>
      <c r="AL134" s="22">
        <f t="shared" si="112"/>
        <v>2.8617333882306215E-12</v>
      </c>
      <c r="AM134" s="62">
        <f t="shared" si="113"/>
        <v>279.25877007619022</v>
      </c>
      <c r="AN134" s="62">
        <f ca="1">AVERAGE(OFFSET($AM$3,0,0,'Données projet'!$E$10+1,1))-AVERAGE(OFFSET($H$3,0,0,'Données projet'!$E$10+1,1))</f>
        <v>434.56763649859136</v>
      </c>
      <c r="AO134" s="62">
        <f t="shared" si="144"/>
        <v>271.90302066766264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6.7984728957526396E-14</v>
      </c>
      <c r="BF134" s="14">
        <f t="shared" si="145"/>
        <v>1.0682447123141398E-12</v>
      </c>
      <c r="BG134" s="22">
        <f t="shared" si="115"/>
        <v>1.978932943548152E-12</v>
      </c>
      <c r="BH134" s="62">
        <f t="shared" si="116"/>
        <v>279.25877007618936</v>
      </c>
      <c r="BI134" s="62">
        <f ca="1">AVERAGE(OFFSET($BH$3,0,0,'Données projet'!$E$11+1,1))-AVERAGE(OFFSET($H$3,0,0,'Données projet'!$E$11+1,1))</f>
        <v>199.65420589615553</v>
      </c>
      <c r="BJ134" s="62">
        <f t="shared" si="146"/>
        <v>477.85821088970999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7.2145112607176429</v>
      </c>
      <c r="BQ134" s="23">
        <f>EXP(-LN(2)/25)*BQ133+(1-EXP(-LN(2)/25))/(LN(2)/25)*Calculateur!BL134*Calculateur!BN134*VLOOKUP('Données projet'!$B$11,Paramètres!$A$1:$I$89,3,0)*0.475*44/12</f>
        <v>2.6716895042204944</v>
      </c>
      <c r="BR134" s="23">
        <f>EXP(-LN(2)/2)*BR133+(1-EXP(-LN(2)/2))/(LN(2)/2)*BL134*BO134*VLOOKUP('Données projet'!$B$11,Paramètres!$A$1:$I$89,3,0)*0.475*44/12</f>
        <v>2.7361928925680196E-14</v>
      </c>
      <c r="BS134" s="24">
        <f t="shared" si="117"/>
        <v>9.8862007649381649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1.1368683772161603E-13</v>
      </c>
      <c r="BZ134" s="14">
        <f>BY134*VLOOKUP('Données projet'!$B$12,Paramètres!$A$1:$I$89,3,0)*VLOOKUP('Données projet'!$B$12,Paramètres!$A$1:$I$89,5,0)</f>
        <v>6.7984728957526396E-14</v>
      </c>
      <c r="CA134" s="14">
        <f t="shared" si="147"/>
        <v>1.0682447123141398E-12</v>
      </c>
      <c r="CB134" s="22">
        <f t="shared" si="118"/>
        <v>1.978932943548152E-12</v>
      </c>
      <c r="CC134" s="62">
        <f t="shared" si="119"/>
        <v>279.25877007618936</v>
      </c>
      <c r="CD134" s="62">
        <f ca="1">AVERAGE(OFFSET($CC$3,0,0,'Données projet'!$E$12+1,1))-AVERAGE(OFFSET($H$3,0,0,'Données projet'!$E$12+1,1))</f>
        <v>437.94016462147999</v>
      </c>
      <c r="CE134" s="62">
        <f t="shared" si="148"/>
        <v>281.88254003380348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5.1426021714047341E-15</v>
      </c>
      <c r="CN134" s="24">
        <f t="shared" si="120"/>
        <v>5.1426021714047341E-15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1.1368683772161603E-13</v>
      </c>
      <c r="CU134" s="18">
        <f>CT134*VLOOKUP('Données projet'!$B$13,Paramètres!$A$1:$I$89,3,0)*VLOOKUP('Données projet'!$B$13,Paramètres!$A$1:$I$89,5,0)</f>
        <v>1.2946657079737634E-13</v>
      </c>
      <c r="CV134" s="14">
        <f t="shared" si="149"/>
        <v>1.8873591890224769E-12</v>
      </c>
      <c r="CW134" s="22">
        <f t="shared" si="121"/>
        <v>3.5126381983529106E-12</v>
      </c>
      <c r="CX134" s="62">
        <f t="shared" si="122"/>
        <v>279.2587700761909</v>
      </c>
      <c r="CY134" s="62">
        <f ca="1">AVERAGE(OFFSET($CX$3,0,0,'Données projet'!$E$13+1,1))-AVERAGE(OFFSET($H$3,0,0,'Données projet'!$E$13+1,1))</f>
        <v>520.23742527061836</v>
      </c>
      <c r="CZ134" s="62">
        <f t="shared" si="150"/>
        <v>321.35925479331274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>
        <f>DO134*VLOOKUP('Données projet'!$B$14,Paramètres!$A$1:$I$89,3,0)*VLOOKUP('Données projet'!$B$14,Paramètres!$A$1:$I$89,5,0)</f>
        <v>0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547.89540791313675</v>
      </c>
      <c r="DU134" s="62">
        <f t="shared" si="152"/>
        <v>345.19555189302378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5.6843418860808015E-14</v>
      </c>
      <c r="EK134" s="18">
        <f>EJ134*VLOOKUP('Données projet'!$B$15,Paramètres!$A$1:$I$89,3,0)*VLOOKUP('Données projet'!$B$15,Paramètres!$A$1:$I$89,5,0)</f>
        <v>5.9412741393316544E-14</v>
      </c>
      <c r="EL134" s="14">
        <f t="shared" si="153"/>
        <v>9.483138037075782E-13</v>
      </c>
      <c r="EM134" s="22">
        <f t="shared" si="127"/>
        <v>1.7551237327173916E-12</v>
      </c>
      <c r="EN134" s="62">
        <f t="shared" si="128"/>
        <v>279.25877007618914</v>
      </c>
      <c r="EO134" s="62">
        <f ca="1">AVERAGE(OFFSET($EN$3,0,0,'Données projet'!$E$15+1,1))-AVERAGE(OFFSET($H$3,0,0,'Données projet'!$E$15+1,1))</f>
        <v>418.23737352070503</v>
      </c>
      <c r="EP134" s="62">
        <f t="shared" si="154"/>
        <v>496.10742685332968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1.1368683772161603E-13</v>
      </c>
      <c r="FF134" s="18">
        <f>FE134*VLOOKUP('Données projet'!$B$16,Paramètres!$A$1:$I$89,3,0)*VLOOKUP('Données projet'!$B$16,Paramètres!$A$1:$I$89,5,0)</f>
        <v>6.7984728957526396E-14</v>
      </c>
      <c r="FG134" s="14">
        <f t="shared" si="155"/>
        <v>1.0682447123141398E-12</v>
      </c>
      <c r="FH134" s="22">
        <f t="shared" si="130"/>
        <v>1.978932943548152E-12</v>
      </c>
      <c r="FI134" s="62">
        <f t="shared" si="131"/>
        <v>279.25877007618936</v>
      </c>
      <c r="FJ134" s="62">
        <f ca="1">AVERAGE(OFFSET($FI$3,0,0,'Données projet'!$E$16+1,1))-AVERAGE(OFFSET($H$3,0,0,'Données projet'!$E$16+1,1))</f>
        <v>341.70983624543067</v>
      </c>
      <c r="FK134" s="62">
        <f t="shared" si="156"/>
        <v>250.82562837973805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7.7830776013104864E-15</v>
      </c>
      <c r="FT134" s="24">
        <f t="shared" si="132"/>
        <v>7.7830776013104864E-15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>
        <f>VLOOKUP(A134,'Données projet'!$A$243:$I$263,2,0)</f>
        <v>294</v>
      </c>
      <c r="FX134" s="13">
        <f>VLOOKUP(A134,'Données projet'!$A$243:$I$263,9,0)</f>
        <v>5.2222222222222223</v>
      </c>
      <c r="FY134" s="13">
        <f t="array" ref="FY134">INDEX(FX:FX,MIN(IF(ISNUMBER(FX134:FX330),ROW(FX134:FX330),"")))</f>
        <v>5.2222222222222223</v>
      </c>
      <c r="FZ134" s="13">
        <f>IF('Données projet'!$A$244&gt;35,FZ133+FY134-GH133,IF(A134&lt;'Données projet'!$A$244,$FW$205^A134,IF(A134='Données projet'!$A$244,'Données projet'!$B$244,FZ133+FY134-GH133)))</f>
        <v>293.99999999999977</v>
      </c>
      <c r="GA134" s="18">
        <f>FZ134*VLOOKUP('Données projet'!$B$17,Paramètres!$A$1:$I$89,3,0)*VLOOKUP('Données projet'!$B$17,Paramètres!$A$1:$I$89,5,0)</f>
        <v>137.5919999999999</v>
      </c>
      <c r="GB134" s="14">
        <f t="shared" si="157"/>
        <v>35.744810729505772</v>
      </c>
      <c r="GC134" s="22">
        <f t="shared" si="133"/>
        <v>301.894945353889</v>
      </c>
      <c r="GD134" s="62">
        <f t="shared" si="134"/>
        <v>581.15371543007632</v>
      </c>
      <c r="GE134" s="62">
        <f ca="1">AVERAGE(OFFSET($GD$3,0,0,'Données projet'!$E$17+1,1))-AVERAGE(OFFSET($H$3,0,0,'Données projet'!$E$17+1,1))</f>
        <v>368.69628434154333</v>
      </c>
      <c r="GF134" s="62">
        <f t="shared" si="158"/>
        <v>202.28197295839524</v>
      </c>
      <c r="GG134" s="16">
        <f>IF(ISNA(VLOOKUP(A134,'Données projet'!$A$243:$I$263,3,0)),0,VLOOKUP(A134,'Données projet'!$A$243:$I$263,3,0))</f>
        <v>20</v>
      </c>
      <c r="GH134" s="16">
        <f>IF(ISNA(VLOOKUP(A134,'Données projet'!$A$243:$I$263,4,0)),0,VLOOKUP(A134,'Données projet'!$A$243:$I$263,4,0))</f>
        <v>294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-1.1368683772161603E-13</v>
      </c>
      <c r="GV134" s="18">
        <f>GU134*VLOOKUP('Données projet'!$B$18,Paramètres!$A$1:$I$89,3,0)*VLOOKUP('Données projet'!$B$18,Paramètres!$A$1:$I$89,5,0)</f>
        <v>-9.9316821433603781E-14</v>
      </c>
      <c r="GW134" s="14" t="e">
        <f t="shared" si="159"/>
        <v>#NUM!</v>
      </c>
      <c r="GX134" s="22" t="e">
        <f t="shared" si="136"/>
        <v>#NUM!</v>
      </c>
      <c r="GY134" s="62" t="e">
        <f t="shared" si="137"/>
        <v>#NUM!</v>
      </c>
      <c r="GZ134" s="62">
        <f ca="1">AVERAGE(OFFSET($GY$3,0,0,'Données projet'!$E$18+1,1))-AVERAGE(OFFSET($H$3,0,0,'Données projet'!$E$18+1,1))</f>
        <v>378.51861272969165</v>
      </c>
      <c r="HA134" s="62">
        <f t="shared" si="160"/>
        <v>387.42368617035459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0</v>
      </c>
      <c r="HH134" s="23">
        <f>EXP(-LN(2)/25)*HH133+(1-EXP(-LN(2)/25))/(LN(2)/25)*Calculateur!HC134*Calculateur!HE134*VLOOKUP('Données projet'!$B$18,Paramètres!$A$1:$I$89,3,0)*0.475*44/12</f>
        <v>0</v>
      </c>
      <c r="HI134" s="23">
        <f>EXP(-LN(2)/2)*HI133+(1-EXP(-LN(2)/2))/(LN(2)/2)*HC134*HF134*VLOOKUP('Données projet'!$B$18,Paramètres!$A$1:$I$89,3,0)*0.475*44/12</f>
        <v>0</v>
      </c>
      <c r="HJ134" s="24">
        <f t="shared" si="138"/>
        <v>0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135.66666666666666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279.5029322826914</v>
      </c>
      <c r="S135" s="62">
        <f ca="1">AVERAGE(OFFSET($R$3,0,0,'Données projet'!$E$9+1,1))-AVERAGE(OFFSET($H$3,0,0,'Données projet'!$E$9+1,1))</f>
        <v>437.94016462147999</v>
      </c>
      <c r="T135" s="62">
        <f t="shared" si="142"/>
        <v>281.88254003380348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3.6363688683449514E-15</v>
      </c>
      <c r="AC135" s="24">
        <f t="shared" si="111"/>
        <v>3.6363688683449514E-15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1.0286385077051818E-13</v>
      </c>
      <c r="AK135" s="14">
        <f t="shared" si="143"/>
        <v>1.5402366592183556E-12</v>
      </c>
      <c r="AL135" s="22">
        <f t="shared" si="112"/>
        <v>2.8617333882306215E-12</v>
      </c>
      <c r="AM135" s="62">
        <f t="shared" si="113"/>
        <v>279.50293228269226</v>
      </c>
      <c r="AN135" s="62">
        <f ca="1">AVERAGE(OFFSET($AM$3,0,0,'Données projet'!$E$10+1,1))-AVERAGE(OFFSET($H$3,0,0,'Données projet'!$E$10+1,1))</f>
        <v>434.56763649859136</v>
      </c>
      <c r="AO135" s="62">
        <f t="shared" si="144"/>
        <v>271.90302066766264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6.7984728957526396E-14</v>
      </c>
      <c r="BF135" s="14">
        <f t="shared" si="145"/>
        <v>1.0682447123141398E-12</v>
      </c>
      <c r="BG135" s="22">
        <f t="shared" si="115"/>
        <v>1.978932943548152E-12</v>
      </c>
      <c r="BH135" s="62">
        <f t="shared" si="116"/>
        <v>279.5029322826914</v>
      </c>
      <c r="BI135" s="62">
        <f ca="1">AVERAGE(OFFSET($BH$3,0,0,'Données projet'!$E$11+1,1))-AVERAGE(OFFSET($H$3,0,0,'Données projet'!$E$11+1,1))</f>
        <v>199.65420589615553</v>
      </c>
      <c r="BJ135" s="62">
        <f t="shared" si="146"/>
        <v>477.85821088970999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7.0730390953123337</v>
      </c>
      <c r="BQ135" s="23">
        <f>EXP(-LN(2)/25)*BQ134+(1-EXP(-LN(2)/25))/(LN(2)/25)*Calculateur!BL135*Calculateur!BN135*VLOOKUP('Données projet'!$B$11,Paramètres!$A$1:$I$89,3,0)*0.475*44/12</f>
        <v>2.59863201422954</v>
      </c>
      <c r="BR135" s="23">
        <f>EXP(-LN(2)/2)*BR134+(1-EXP(-LN(2)/2))/(LN(2)/2)*BL135*BO135*VLOOKUP('Données projet'!$B$11,Paramètres!$A$1:$I$89,3,0)*0.475*44/12</f>
        <v>1.9347805489692811E-14</v>
      </c>
      <c r="BS135" s="24">
        <f t="shared" si="117"/>
        <v>9.6716711095418937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1.1368683772161603E-13</v>
      </c>
      <c r="BZ135" s="14">
        <f>BY135*VLOOKUP('Données projet'!$B$12,Paramètres!$A$1:$I$89,3,0)*VLOOKUP('Données projet'!$B$12,Paramètres!$A$1:$I$89,5,0)</f>
        <v>6.7984728957526396E-14</v>
      </c>
      <c r="CA135" s="14">
        <f t="shared" si="147"/>
        <v>1.0682447123141398E-12</v>
      </c>
      <c r="CB135" s="22">
        <f t="shared" si="118"/>
        <v>1.978932943548152E-12</v>
      </c>
      <c r="CC135" s="62">
        <f t="shared" si="119"/>
        <v>279.5029322826914</v>
      </c>
      <c r="CD135" s="62">
        <f ca="1">AVERAGE(OFFSET($CC$3,0,0,'Données projet'!$E$12+1,1))-AVERAGE(OFFSET($H$3,0,0,'Données projet'!$E$12+1,1))</f>
        <v>437.94016462147999</v>
      </c>
      <c r="CE135" s="62">
        <f t="shared" si="148"/>
        <v>281.88254003380348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3.6363688683449514E-15</v>
      </c>
      <c r="CN135" s="24">
        <f t="shared" si="120"/>
        <v>3.6363688683449514E-15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1.1368683772161603E-13</v>
      </c>
      <c r="CU135" s="18">
        <f>CT135*VLOOKUP('Données projet'!$B$13,Paramètres!$A$1:$I$89,3,0)*VLOOKUP('Données projet'!$B$13,Paramètres!$A$1:$I$89,5,0)</f>
        <v>1.2946657079737634E-13</v>
      </c>
      <c r="CV135" s="14">
        <f t="shared" si="149"/>
        <v>1.8873591890224769E-12</v>
      </c>
      <c r="CW135" s="22">
        <f t="shared" si="121"/>
        <v>3.5126381983529106E-12</v>
      </c>
      <c r="CX135" s="62">
        <f t="shared" si="122"/>
        <v>279.50293228269294</v>
      </c>
      <c r="CY135" s="62">
        <f ca="1">AVERAGE(OFFSET($CX$3,0,0,'Données projet'!$E$13+1,1))-AVERAGE(OFFSET($H$3,0,0,'Données projet'!$E$13+1,1))</f>
        <v>520.23742527061836</v>
      </c>
      <c r="CZ135" s="62">
        <f t="shared" si="150"/>
        <v>321.35925479331274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>
        <f>DO135*VLOOKUP('Données projet'!$B$14,Paramètres!$A$1:$I$89,3,0)*VLOOKUP('Données projet'!$B$14,Paramètres!$A$1:$I$89,5,0)</f>
        <v>0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547.89540791313675</v>
      </c>
      <c r="DU135" s="62">
        <f t="shared" si="152"/>
        <v>345.19555189302378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5.6843418860808015E-14</v>
      </c>
      <c r="EK135" s="18">
        <f>EJ135*VLOOKUP('Données projet'!$B$15,Paramètres!$A$1:$I$89,3,0)*VLOOKUP('Données projet'!$B$15,Paramètres!$A$1:$I$89,5,0)</f>
        <v>5.9412741393316544E-14</v>
      </c>
      <c r="EL135" s="14">
        <f t="shared" si="153"/>
        <v>9.483138037075782E-13</v>
      </c>
      <c r="EM135" s="22">
        <f t="shared" si="127"/>
        <v>1.7551237327173916E-12</v>
      </c>
      <c r="EN135" s="62">
        <f t="shared" si="128"/>
        <v>279.50293228269118</v>
      </c>
      <c r="EO135" s="62">
        <f ca="1">AVERAGE(OFFSET($EN$3,0,0,'Données projet'!$E$15+1,1))-AVERAGE(OFFSET($H$3,0,0,'Données projet'!$E$15+1,1))</f>
        <v>418.23737352070503</v>
      </c>
      <c r="EP135" s="62">
        <f t="shared" si="154"/>
        <v>496.10742685332968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1.1368683772161603E-13</v>
      </c>
      <c r="FF135" s="18">
        <f>FE135*VLOOKUP('Données projet'!$B$16,Paramètres!$A$1:$I$89,3,0)*VLOOKUP('Données projet'!$B$16,Paramètres!$A$1:$I$89,5,0)</f>
        <v>6.7984728957526396E-14</v>
      </c>
      <c r="FG135" s="14">
        <f t="shared" si="155"/>
        <v>1.0682447123141398E-12</v>
      </c>
      <c r="FH135" s="22">
        <f t="shared" si="130"/>
        <v>1.978932943548152E-12</v>
      </c>
      <c r="FI135" s="62">
        <f t="shared" si="131"/>
        <v>279.5029322826914</v>
      </c>
      <c r="FJ135" s="62">
        <f ca="1">AVERAGE(OFFSET($FI$3,0,0,'Données projet'!$E$16+1,1))-AVERAGE(OFFSET($H$3,0,0,'Données projet'!$E$16+1,1))</f>
        <v>341.70983624543067</v>
      </c>
      <c r="FK135" s="62">
        <f t="shared" si="156"/>
        <v>250.82562837973805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5.5034669503877733E-15</v>
      </c>
      <c r="FT135" s="24">
        <f t="shared" si="132"/>
        <v>5.5034669503877733E-15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-2.2737367544323206E-13</v>
      </c>
      <c r="GA135" s="18">
        <f>FZ135*VLOOKUP('Données projet'!$B$17,Paramètres!$A$1:$I$89,3,0)*VLOOKUP('Données projet'!$B$17,Paramètres!$A$1:$I$89,5,0)</f>
        <v>-1.064108801074326E-13</v>
      </c>
      <c r="GB135" s="14" t="e">
        <f t="shared" si="157"/>
        <v>#NUM!</v>
      </c>
      <c r="GC135" s="22" t="e">
        <f t="shared" si="133"/>
        <v>#NUM!</v>
      </c>
      <c r="GD135" s="62" t="e">
        <f t="shared" si="134"/>
        <v>#NUM!</v>
      </c>
      <c r="GE135" s="62">
        <f ca="1">AVERAGE(OFFSET($GD$3,0,0,'Données projet'!$E$17+1,1))-AVERAGE(OFFSET($H$3,0,0,'Données projet'!$E$17+1,1))</f>
        <v>368.69628434154333</v>
      </c>
      <c r="GF135" s="62">
        <f t="shared" si="158"/>
        <v>202.28197295839524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-1.1368683772161603E-13</v>
      </c>
      <c r="GV135" s="18">
        <f>GU135*VLOOKUP('Données projet'!$B$18,Paramètres!$A$1:$I$89,3,0)*VLOOKUP('Données projet'!$B$18,Paramètres!$A$1:$I$89,5,0)</f>
        <v>-9.9316821433603781E-14</v>
      </c>
      <c r="GW135" s="14" t="e">
        <f t="shared" si="159"/>
        <v>#NUM!</v>
      </c>
      <c r="GX135" s="22" t="e">
        <f t="shared" si="136"/>
        <v>#NUM!</v>
      </c>
      <c r="GY135" s="62" t="e">
        <f t="shared" si="137"/>
        <v>#NUM!</v>
      </c>
      <c r="GZ135" s="62">
        <f ca="1">AVERAGE(OFFSET($GY$3,0,0,'Données projet'!$E$18+1,1))-AVERAGE(OFFSET($H$3,0,0,'Données projet'!$E$18+1,1))</f>
        <v>378.51861272969165</v>
      </c>
      <c r="HA135" s="62">
        <f t="shared" si="160"/>
        <v>387.42368617035459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0</v>
      </c>
      <c r="HH135" s="23">
        <f>EXP(-LN(2)/25)*HH134+(1-EXP(-LN(2)/25))/(LN(2)/25)*Calculateur!HC135*Calculateur!HE135*VLOOKUP('Données projet'!$B$18,Paramètres!$A$1:$I$89,3,0)*0.475*44/12</f>
        <v>0</v>
      </c>
      <c r="HI135" s="23">
        <f>EXP(-LN(2)/2)*HI134+(1-EXP(-LN(2)/2))/(LN(2)/2)*HC135*HF135*VLOOKUP('Données projet'!$B$18,Paramètres!$A$1:$I$89,3,0)*0.475*44/12</f>
        <v>0</v>
      </c>
      <c r="HJ135" s="24">
        <f t="shared" si="138"/>
        <v>0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135.66666666666666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279.7428588207755</v>
      </c>
      <c r="S136" s="62">
        <f ca="1">AVERAGE(OFFSET($R$3,0,0,'Données projet'!$E$9+1,1))-AVERAGE(OFFSET($H$3,0,0,'Données projet'!$E$9+1,1))</f>
        <v>437.94016462147999</v>
      </c>
      <c r="T136" s="62">
        <f t="shared" si="142"/>
        <v>281.88254003380348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2.571301085702367E-15</v>
      </c>
      <c r="AC136" s="24">
        <f t="shared" si="111"/>
        <v>2.571301085702367E-15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1.0286385077051818E-13</v>
      </c>
      <c r="AK136" s="14">
        <f t="shared" si="143"/>
        <v>1.5402366592183556E-12</v>
      </c>
      <c r="AL136" s="22">
        <f t="shared" si="112"/>
        <v>2.8617333882306215E-12</v>
      </c>
      <c r="AM136" s="62">
        <f t="shared" si="113"/>
        <v>279.74285882077635</v>
      </c>
      <c r="AN136" s="62">
        <f ca="1">AVERAGE(OFFSET($AM$3,0,0,'Données projet'!$E$10+1,1))-AVERAGE(OFFSET($H$3,0,0,'Données projet'!$E$10+1,1))</f>
        <v>434.56763649859136</v>
      </c>
      <c r="AO136" s="62">
        <f t="shared" si="144"/>
        <v>271.90302066766264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6.7984728957526396E-14</v>
      </c>
      <c r="BF136" s="14">
        <f t="shared" si="145"/>
        <v>1.0682447123141398E-12</v>
      </c>
      <c r="BG136" s="22">
        <f t="shared" si="115"/>
        <v>1.978932943548152E-12</v>
      </c>
      <c r="BH136" s="62">
        <f t="shared" si="116"/>
        <v>279.7428588207755</v>
      </c>
      <c r="BI136" s="62">
        <f ca="1">AVERAGE(OFFSET($BH$3,0,0,'Données projet'!$E$11+1,1))-AVERAGE(OFFSET($H$3,0,0,'Données projet'!$E$11+1,1))</f>
        <v>199.65420589615553</v>
      </c>
      <c r="BJ136" s="62">
        <f t="shared" si="146"/>
        <v>477.85821088970999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6.9343411127811221</v>
      </c>
      <c r="BQ136" s="23">
        <f>EXP(-LN(2)/25)*BQ135+(1-EXP(-LN(2)/25))/(LN(2)/25)*Calculateur!BL136*Calculateur!BN136*VLOOKUP('Données projet'!$B$11,Paramètres!$A$1:$I$89,3,0)*0.475*44/12</f>
        <v>2.527572285144315</v>
      </c>
      <c r="BR136" s="23">
        <f>EXP(-LN(2)/2)*BR135+(1-EXP(-LN(2)/2))/(LN(2)/2)*BL136*BO136*VLOOKUP('Données projet'!$B$11,Paramètres!$A$1:$I$89,3,0)*0.475*44/12</f>
        <v>1.3680964462840098E-14</v>
      </c>
      <c r="BS136" s="24">
        <f t="shared" si="117"/>
        <v>9.4619133979254517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1.1368683772161603E-13</v>
      </c>
      <c r="BZ136" s="14">
        <f>BY136*VLOOKUP('Données projet'!$B$12,Paramètres!$A$1:$I$89,3,0)*VLOOKUP('Données projet'!$B$12,Paramètres!$A$1:$I$89,5,0)</f>
        <v>6.7984728957526396E-14</v>
      </c>
      <c r="CA136" s="14">
        <f t="shared" si="147"/>
        <v>1.0682447123141398E-12</v>
      </c>
      <c r="CB136" s="22">
        <f t="shared" si="118"/>
        <v>1.978932943548152E-12</v>
      </c>
      <c r="CC136" s="62">
        <f t="shared" si="119"/>
        <v>279.7428588207755</v>
      </c>
      <c r="CD136" s="62">
        <f ca="1">AVERAGE(OFFSET($CC$3,0,0,'Données projet'!$E$12+1,1))-AVERAGE(OFFSET($H$3,0,0,'Données projet'!$E$12+1,1))</f>
        <v>437.94016462147999</v>
      </c>
      <c r="CE136" s="62">
        <f t="shared" si="148"/>
        <v>281.88254003380348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2.571301085702367E-15</v>
      </c>
      <c r="CN136" s="24">
        <f t="shared" si="120"/>
        <v>2.571301085702367E-15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1.1368683772161603E-13</v>
      </c>
      <c r="CU136" s="18">
        <f>CT136*VLOOKUP('Données projet'!$B$13,Paramètres!$A$1:$I$89,3,0)*VLOOKUP('Données projet'!$B$13,Paramètres!$A$1:$I$89,5,0)</f>
        <v>1.2946657079737634E-13</v>
      </c>
      <c r="CV136" s="14">
        <f t="shared" si="149"/>
        <v>1.8873591890224769E-12</v>
      </c>
      <c r="CW136" s="22">
        <f t="shared" si="121"/>
        <v>3.5126381983529106E-12</v>
      </c>
      <c r="CX136" s="62">
        <f t="shared" si="122"/>
        <v>279.74285882077703</v>
      </c>
      <c r="CY136" s="62">
        <f ca="1">AVERAGE(OFFSET($CX$3,0,0,'Données projet'!$E$13+1,1))-AVERAGE(OFFSET($H$3,0,0,'Données projet'!$E$13+1,1))</f>
        <v>520.23742527061836</v>
      </c>
      <c r="CZ136" s="62">
        <f t="shared" si="150"/>
        <v>321.35925479331274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>
        <f>DO136*VLOOKUP('Données projet'!$B$14,Paramètres!$A$1:$I$89,3,0)*VLOOKUP('Données projet'!$B$14,Paramètres!$A$1:$I$89,5,0)</f>
        <v>0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547.89540791313675</v>
      </c>
      <c r="DU136" s="62">
        <f t="shared" si="152"/>
        <v>345.19555189302378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5.6843418860808015E-14</v>
      </c>
      <c r="EK136" s="18">
        <f>EJ136*VLOOKUP('Données projet'!$B$15,Paramètres!$A$1:$I$89,3,0)*VLOOKUP('Données projet'!$B$15,Paramètres!$A$1:$I$89,5,0)</f>
        <v>5.9412741393316544E-14</v>
      </c>
      <c r="EL136" s="14">
        <f t="shared" si="153"/>
        <v>9.483138037075782E-13</v>
      </c>
      <c r="EM136" s="22">
        <f t="shared" si="127"/>
        <v>1.7551237327173916E-12</v>
      </c>
      <c r="EN136" s="62">
        <f t="shared" si="128"/>
        <v>279.74285882077527</v>
      </c>
      <c r="EO136" s="62">
        <f ca="1">AVERAGE(OFFSET($EN$3,0,0,'Données projet'!$E$15+1,1))-AVERAGE(OFFSET($H$3,0,0,'Données projet'!$E$15+1,1))</f>
        <v>418.23737352070503</v>
      </c>
      <c r="EP136" s="62">
        <f t="shared" si="154"/>
        <v>496.10742685332968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1.1368683772161603E-13</v>
      </c>
      <c r="FF136" s="18">
        <f>FE136*VLOOKUP('Données projet'!$B$16,Paramètres!$A$1:$I$89,3,0)*VLOOKUP('Données projet'!$B$16,Paramètres!$A$1:$I$89,5,0)</f>
        <v>6.7984728957526396E-14</v>
      </c>
      <c r="FG136" s="14">
        <f t="shared" si="155"/>
        <v>1.0682447123141398E-12</v>
      </c>
      <c r="FH136" s="22">
        <f t="shared" si="130"/>
        <v>1.978932943548152E-12</v>
      </c>
      <c r="FI136" s="62">
        <f t="shared" si="131"/>
        <v>279.7428588207755</v>
      </c>
      <c r="FJ136" s="62">
        <f ca="1">AVERAGE(OFFSET($FI$3,0,0,'Données projet'!$E$16+1,1))-AVERAGE(OFFSET($H$3,0,0,'Données projet'!$E$16+1,1))</f>
        <v>341.70983624543067</v>
      </c>
      <c r="FK136" s="62">
        <f t="shared" si="156"/>
        <v>250.82562837973805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3.8915388006552432E-15</v>
      </c>
      <c r="FT136" s="24">
        <f t="shared" si="132"/>
        <v>3.8915388006552432E-15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-2.2737367544323206E-13</v>
      </c>
      <c r="GA136" s="18">
        <f>FZ136*VLOOKUP('Données projet'!$B$17,Paramètres!$A$1:$I$89,3,0)*VLOOKUP('Données projet'!$B$17,Paramètres!$A$1:$I$89,5,0)</f>
        <v>-1.064108801074326E-13</v>
      </c>
      <c r="GB136" s="14" t="e">
        <f t="shared" si="157"/>
        <v>#NUM!</v>
      </c>
      <c r="GC136" s="22" t="e">
        <f t="shared" si="133"/>
        <v>#NUM!</v>
      </c>
      <c r="GD136" s="62" t="e">
        <f t="shared" si="134"/>
        <v>#NUM!</v>
      </c>
      <c r="GE136" s="62">
        <f ca="1">AVERAGE(OFFSET($GD$3,0,0,'Données projet'!$E$17+1,1))-AVERAGE(OFFSET($H$3,0,0,'Données projet'!$E$17+1,1))</f>
        <v>368.69628434154333</v>
      </c>
      <c r="GF136" s="62">
        <f t="shared" si="158"/>
        <v>202.28197295839524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-1.1368683772161603E-13</v>
      </c>
      <c r="GV136" s="18">
        <f>GU136*VLOOKUP('Données projet'!$B$18,Paramètres!$A$1:$I$89,3,0)*VLOOKUP('Données projet'!$B$18,Paramètres!$A$1:$I$89,5,0)</f>
        <v>-9.9316821433603781E-14</v>
      </c>
      <c r="GW136" s="14" t="e">
        <f t="shared" si="159"/>
        <v>#NUM!</v>
      </c>
      <c r="GX136" s="22" t="e">
        <f t="shared" si="136"/>
        <v>#NUM!</v>
      </c>
      <c r="GY136" s="62" t="e">
        <f t="shared" si="137"/>
        <v>#NUM!</v>
      </c>
      <c r="GZ136" s="62">
        <f ca="1">AVERAGE(OFFSET($GY$3,0,0,'Données projet'!$E$18+1,1))-AVERAGE(OFFSET($H$3,0,0,'Données projet'!$E$18+1,1))</f>
        <v>378.51861272969165</v>
      </c>
      <c r="HA136" s="62">
        <f t="shared" si="160"/>
        <v>387.42368617035459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0</v>
      </c>
      <c r="HH136" s="23">
        <f>EXP(-LN(2)/25)*HH135+(1-EXP(-LN(2)/25))/(LN(2)/25)*Calculateur!HC136*Calculateur!HE136*VLOOKUP('Données projet'!$B$18,Paramètres!$A$1:$I$89,3,0)*0.475*44/12</f>
        <v>0</v>
      </c>
      <c r="HI136" s="23">
        <f>EXP(-LN(2)/2)*HI135+(1-EXP(-LN(2)/2))/(LN(2)/2)*HC136*HF136*VLOOKUP('Données projet'!$B$18,Paramètres!$A$1:$I$89,3,0)*0.475*44/12</f>
        <v>0</v>
      </c>
      <c r="HJ136" s="24">
        <f t="shared" si="138"/>
        <v>0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135.66666666666666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279.97862316981923</v>
      </c>
      <c r="S137" s="62">
        <f ca="1">AVERAGE(OFFSET($R$3,0,0,'Données projet'!$E$9+1,1))-AVERAGE(OFFSET($H$3,0,0,'Données projet'!$E$9+1,1))</f>
        <v>437.94016462147999</v>
      </c>
      <c r="T137" s="62">
        <f t="shared" si="142"/>
        <v>281.88254003380348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1.8181844341724757E-15</v>
      </c>
      <c r="AC137" s="24">
        <f t="shared" si="111"/>
        <v>1.8181844341724757E-15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1.0286385077051818E-13</v>
      </c>
      <c r="AK137" s="14">
        <f t="shared" si="143"/>
        <v>1.5402366592183556E-12</v>
      </c>
      <c r="AL137" s="22">
        <f t="shared" si="112"/>
        <v>2.8617333882306215E-12</v>
      </c>
      <c r="AM137" s="62">
        <f t="shared" si="113"/>
        <v>279.97862316982008</v>
      </c>
      <c r="AN137" s="62">
        <f ca="1">AVERAGE(OFFSET($AM$3,0,0,'Données projet'!$E$10+1,1))-AVERAGE(OFFSET($H$3,0,0,'Données projet'!$E$10+1,1))</f>
        <v>434.56763649859136</v>
      </c>
      <c r="AO137" s="62">
        <f t="shared" si="144"/>
        <v>271.90302066766264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6.7984728957526396E-14</v>
      </c>
      <c r="BF137" s="14">
        <f t="shared" si="145"/>
        <v>1.0682447123141398E-12</v>
      </c>
      <c r="BG137" s="22">
        <f t="shared" si="115"/>
        <v>1.978932943548152E-12</v>
      </c>
      <c r="BH137" s="62">
        <f t="shared" si="116"/>
        <v>279.97862316981923</v>
      </c>
      <c r="BI137" s="62">
        <f ca="1">AVERAGE(OFFSET($BH$3,0,0,'Données projet'!$E$11+1,1))-AVERAGE(OFFSET($H$3,0,0,'Données projet'!$E$11+1,1))</f>
        <v>199.65420589615553</v>
      </c>
      <c r="BJ137" s="62">
        <f t="shared" si="146"/>
        <v>477.85821088970999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6.7983629130899317</v>
      </c>
      <c r="BQ137" s="23">
        <f>EXP(-LN(2)/25)*BQ136+(1-EXP(-LN(2)/25))/(LN(2)/25)*Calculateur!BL137*Calculateur!BN137*VLOOKUP('Données projet'!$B$11,Paramètres!$A$1:$I$89,3,0)*0.475*44/12</f>
        <v>2.4584556880877941</v>
      </c>
      <c r="BR137" s="23">
        <f>EXP(-LN(2)/2)*BR136+(1-EXP(-LN(2)/2))/(LN(2)/2)*BL137*BO137*VLOOKUP('Données projet'!$B$11,Paramètres!$A$1:$I$89,3,0)*0.475*44/12</f>
        <v>9.6739027448464056E-15</v>
      </c>
      <c r="BS137" s="24">
        <f t="shared" si="117"/>
        <v>9.2568186011777343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1.1368683772161603E-13</v>
      </c>
      <c r="BZ137" s="14">
        <f>BY137*VLOOKUP('Données projet'!$B$12,Paramètres!$A$1:$I$89,3,0)*VLOOKUP('Données projet'!$B$12,Paramètres!$A$1:$I$89,5,0)</f>
        <v>6.7984728957526396E-14</v>
      </c>
      <c r="CA137" s="14">
        <f t="shared" si="147"/>
        <v>1.0682447123141398E-12</v>
      </c>
      <c r="CB137" s="22">
        <f t="shared" si="118"/>
        <v>1.978932943548152E-12</v>
      </c>
      <c r="CC137" s="62">
        <f t="shared" si="119"/>
        <v>279.97862316981923</v>
      </c>
      <c r="CD137" s="62">
        <f ca="1">AVERAGE(OFFSET($CC$3,0,0,'Données projet'!$E$12+1,1))-AVERAGE(OFFSET($H$3,0,0,'Données projet'!$E$12+1,1))</f>
        <v>437.94016462147999</v>
      </c>
      <c r="CE137" s="62">
        <f t="shared" si="148"/>
        <v>281.88254003380348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1.8181844341724757E-15</v>
      </c>
      <c r="CN137" s="24">
        <f t="shared" si="120"/>
        <v>1.8181844341724757E-15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1.1368683772161603E-13</v>
      </c>
      <c r="CU137" s="18">
        <f>CT137*VLOOKUP('Données projet'!$B$13,Paramètres!$A$1:$I$89,3,0)*VLOOKUP('Données projet'!$B$13,Paramètres!$A$1:$I$89,5,0)</f>
        <v>1.2946657079737634E-13</v>
      </c>
      <c r="CV137" s="14">
        <f t="shared" si="149"/>
        <v>1.8873591890224769E-12</v>
      </c>
      <c r="CW137" s="22">
        <f t="shared" si="121"/>
        <v>3.5126381983529106E-12</v>
      </c>
      <c r="CX137" s="62">
        <f t="shared" si="122"/>
        <v>279.97862316982076</v>
      </c>
      <c r="CY137" s="62">
        <f ca="1">AVERAGE(OFFSET($CX$3,0,0,'Données projet'!$E$13+1,1))-AVERAGE(OFFSET($H$3,0,0,'Données projet'!$E$13+1,1))</f>
        <v>520.23742527061836</v>
      </c>
      <c r="CZ137" s="62">
        <f t="shared" si="150"/>
        <v>321.35925479331274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>
        <f>DO137*VLOOKUP('Données projet'!$B$14,Paramètres!$A$1:$I$89,3,0)*VLOOKUP('Données projet'!$B$14,Paramètres!$A$1:$I$89,5,0)</f>
        <v>0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547.89540791313675</v>
      </c>
      <c r="DU137" s="62">
        <f t="shared" si="152"/>
        <v>345.19555189302378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5.6843418860808015E-14</v>
      </c>
      <c r="EK137" s="18">
        <f>EJ137*VLOOKUP('Données projet'!$B$15,Paramètres!$A$1:$I$89,3,0)*VLOOKUP('Données projet'!$B$15,Paramètres!$A$1:$I$89,5,0)</f>
        <v>5.9412741393316544E-14</v>
      </c>
      <c r="EL137" s="14">
        <f t="shared" si="153"/>
        <v>9.483138037075782E-13</v>
      </c>
      <c r="EM137" s="22">
        <f t="shared" si="127"/>
        <v>1.7551237327173916E-12</v>
      </c>
      <c r="EN137" s="62">
        <f t="shared" si="128"/>
        <v>279.978623169819</v>
      </c>
      <c r="EO137" s="62">
        <f ca="1">AVERAGE(OFFSET($EN$3,0,0,'Données projet'!$E$15+1,1))-AVERAGE(OFFSET($H$3,0,0,'Données projet'!$E$15+1,1))</f>
        <v>418.23737352070503</v>
      </c>
      <c r="EP137" s="62">
        <f t="shared" si="154"/>
        <v>496.10742685332968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1.1368683772161603E-13</v>
      </c>
      <c r="FF137" s="18">
        <f>FE137*VLOOKUP('Données projet'!$B$16,Paramètres!$A$1:$I$89,3,0)*VLOOKUP('Données projet'!$B$16,Paramètres!$A$1:$I$89,5,0)</f>
        <v>6.7984728957526396E-14</v>
      </c>
      <c r="FG137" s="14">
        <f t="shared" si="155"/>
        <v>1.0682447123141398E-12</v>
      </c>
      <c r="FH137" s="22">
        <f t="shared" si="130"/>
        <v>1.978932943548152E-12</v>
      </c>
      <c r="FI137" s="62">
        <f t="shared" si="131"/>
        <v>279.97862316981923</v>
      </c>
      <c r="FJ137" s="62">
        <f ca="1">AVERAGE(OFFSET($FI$3,0,0,'Données projet'!$E$16+1,1))-AVERAGE(OFFSET($H$3,0,0,'Données projet'!$E$16+1,1))</f>
        <v>341.70983624543067</v>
      </c>
      <c r="FK137" s="62">
        <f t="shared" si="156"/>
        <v>250.82562837973805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2.7517334751938866E-15</v>
      </c>
      <c r="FT137" s="24">
        <f t="shared" si="132"/>
        <v>2.7517334751938866E-15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-2.2737367544323206E-13</v>
      </c>
      <c r="GA137" s="18">
        <f>FZ137*VLOOKUP('Données projet'!$B$17,Paramètres!$A$1:$I$89,3,0)*VLOOKUP('Données projet'!$B$17,Paramètres!$A$1:$I$89,5,0)</f>
        <v>-1.064108801074326E-13</v>
      </c>
      <c r="GB137" s="14" t="e">
        <f t="shared" si="157"/>
        <v>#NUM!</v>
      </c>
      <c r="GC137" s="22" t="e">
        <f t="shared" si="133"/>
        <v>#NUM!</v>
      </c>
      <c r="GD137" s="62" t="e">
        <f t="shared" si="134"/>
        <v>#NUM!</v>
      </c>
      <c r="GE137" s="62">
        <f ca="1">AVERAGE(OFFSET($GD$3,0,0,'Données projet'!$E$17+1,1))-AVERAGE(OFFSET($H$3,0,0,'Données projet'!$E$17+1,1))</f>
        <v>368.69628434154333</v>
      </c>
      <c r="GF137" s="62">
        <f t="shared" si="158"/>
        <v>202.28197295839524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-1.1368683772161603E-13</v>
      </c>
      <c r="GV137" s="18">
        <f>GU137*VLOOKUP('Données projet'!$B$18,Paramètres!$A$1:$I$89,3,0)*VLOOKUP('Données projet'!$B$18,Paramètres!$A$1:$I$89,5,0)</f>
        <v>-9.9316821433603781E-14</v>
      </c>
      <c r="GW137" s="14" t="e">
        <f t="shared" si="159"/>
        <v>#NUM!</v>
      </c>
      <c r="GX137" s="22" t="e">
        <f t="shared" si="136"/>
        <v>#NUM!</v>
      </c>
      <c r="GY137" s="62" t="e">
        <f t="shared" si="137"/>
        <v>#NUM!</v>
      </c>
      <c r="GZ137" s="62">
        <f ca="1">AVERAGE(OFFSET($GY$3,0,0,'Données projet'!$E$18+1,1))-AVERAGE(OFFSET($H$3,0,0,'Données projet'!$E$18+1,1))</f>
        <v>378.51861272969165</v>
      </c>
      <c r="HA137" s="62">
        <f t="shared" si="160"/>
        <v>387.42368617035459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0</v>
      </c>
      <c r="HH137" s="23">
        <f>EXP(-LN(2)/25)*HH136+(1-EXP(-LN(2)/25))/(LN(2)/25)*Calculateur!HC137*Calculateur!HE137*VLOOKUP('Données projet'!$B$18,Paramètres!$A$1:$I$89,3,0)*0.475*44/12</f>
        <v>0</v>
      </c>
      <c r="HI137" s="23">
        <f>EXP(-LN(2)/2)*HI136+(1-EXP(-LN(2)/2))/(LN(2)/2)*HC137*HF137*VLOOKUP('Données projet'!$B$18,Paramètres!$A$1:$I$89,3,0)*0.475*44/12</f>
        <v>0</v>
      </c>
      <c r="HJ137" s="24">
        <f t="shared" si="138"/>
        <v>0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135.66666666666666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280.21029753449716</v>
      </c>
      <c r="S138" s="62">
        <f ca="1">AVERAGE(OFFSET($R$3,0,0,'Données projet'!$E$9+1,1))-AVERAGE(OFFSET($H$3,0,0,'Données projet'!$E$9+1,1))</f>
        <v>437.94016462147999</v>
      </c>
      <c r="T138" s="62">
        <f t="shared" si="142"/>
        <v>281.88254003380348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1.2856505428511835E-15</v>
      </c>
      <c r="AC138" s="24">
        <f t="shared" si="111"/>
        <v>1.2856505428511835E-15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1.0286385077051818E-13</v>
      </c>
      <c r="AK138" s="14">
        <f t="shared" si="143"/>
        <v>1.5402366592183556E-12</v>
      </c>
      <c r="AL138" s="22">
        <f t="shared" si="112"/>
        <v>2.8617333882306215E-12</v>
      </c>
      <c r="AM138" s="62">
        <f t="shared" si="113"/>
        <v>280.21029753449801</v>
      </c>
      <c r="AN138" s="62">
        <f ca="1">AVERAGE(OFFSET($AM$3,0,0,'Données projet'!$E$10+1,1))-AVERAGE(OFFSET($H$3,0,0,'Données projet'!$E$10+1,1))</f>
        <v>434.56763649859136</v>
      </c>
      <c r="AO138" s="62">
        <f t="shared" si="144"/>
        <v>271.90302066766264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6.7984728957526396E-14</v>
      </c>
      <c r="BF138" s="14">
        <f t="shared" si="145"/>
        <v>1.0682447123141398E-12</v>
      </c>
      <c r="BG138" s="22">
        <f t="shared" si="115"/>
        <v>1.978932943548152E-12</v>
      </c>
      <c r="BH138" s="62">
        <f t="shared" si="116"/>
        <v>280.21029753449716</v>
      </c>
      <c r="BI138" s="62">
        <f ca="1">AVERAGE(OFFSET($BH$3,0,0,'Données projet'!$E$11+1,1))-AVERAGE(OFFSET($H$3,0,0,'Données projet'!$E$11+1,1))</f>
        <v>199.65420589615553</v>
      </c>
      <c r="BJ138" s="62">
        <f t="shared" si="146"/>
        <v>477.85821088970999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6.6650511629561731</v>
      </c>
      <c r="BQ138" s="23">
        <f>EXP(-LN(2)/25)*BQ137+(1-EXP(-LN(2)/25))/(LN(2)/25)*Calculateur!BL138*Calculateur!BN138*VLOOKUP('Données projet'!$B$11,Paramètres!$A$1:$I$89,3,0)*0.475*44/12</f>
        <v>2.3912290880124676</v>
      </c>
      <c r="BR138" s="23">
        <f>EXP(-LN(2)/2)*BR137+(1-EXP(-LN(2)/2))/(LN(2)/2)*BL138*BO138*VLOOKUP('Données projet'!$B$11,Paramètres!$A$1:$I$89,3,0)*0.475*44/12</f>
        <v>6.8404822314200489E-15</v>
      </c>
      <c r="BS138" s="24">
        <f t="shared" si="117"/>
        <v>9.0562802509686477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1.1368683772161603E-13</v>
      </c>
      <c r="BZ138" s="14">
        <f>BY138*VLOOKUP('Données projet'!$B$12,Paramètres!$A$1:$I$89,3,0)*VLOOKUP('Données projet'!$B$12,Paramètres!$A$1:$I$89,5,0)</f>
        <v>6.7984728957526396E-14</v>
      </c>
      <c r="CA138" s="14">
        <f t="shared" si="147"/>
        <v>1.0682447123141398E-12</v>
      </c>
      <c r="CB138" s="22">
        <f t="shared" si="118"/>
        <v>1.978932943548152E-12</v>
      </c>
      <c r="CC138" s="62">
        <f t="shared" si="119"/>
        <v>280.21029753449716</v>
      </c>
      <c r="CD138" s="62">
        <f ca="1">AVERAGE(OFFSET($CC$3,0,0,'Données projet'!$E$12+1,1))-AVERAGE(OFFSET($H$3,0,0,'Données projet'!$E$12+1,1))</f>
        <v>437.94016462147999</v>
      </c>
      <c r="CE138" s="62">
        <f t="shared" si="148"/>
        <v>281.88254003380348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1.2856505428511835E-15</v>
      </c>
      <c r="CN138" s="24">
        <f t="shared" si="120"/>
        <v>1.2856505428511835E-15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1.1368683772161603E-13</v>
      </c>
      <c r="CU138" s="18">
        <f>CT138*VLOOKUP('Données projet'!$B$13,Paramètres!$A$1:$I$89,3,0)*VLOOKUP('Données projet'!$B$13,Paramètres!$A$1:$I$89,5,0)</f>
        <v>1.2946657079737634E-13</v>
      </c>
      <c r="CV138" s="14">
        <f t="shared" si="149"/>
        <v>1.8873591890224769E-12</v>
      </c>
      <c r="CW138" s="22">
        <f t="shared" si="121"/>
        <v>3.5126381983529106E-12</v>
      </c>
      <c r="CX138" s="62">
        <f t="shared" si="122"/>
        <v>280.21029753449869</v>
      </c>
      <c r="CY138" s="62">
        <f ca="1">AVERAGE(OFFSET($CX$3,0,0,'Données projet'!$E$13+1,1))-AVERAGE(OFFSET($H$3,0,0,'Données projet'!$E$13+1,1))</f>
        <v>520.23742527061836</v>
      </c>
      <c r="CZ138" s="62">
        <f t="shared" si="150"/>
        <v>321.35925479331274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>
        <f>DO138*VLOOKUP('Données projet'!$B$14,Paramètres!$A$1:$I$89,3,0)*VLOOKUP('Données projet'!$B$14,Paramètres!$A$1:$I$89,5,0)</f>
        <v>0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547.89540791313675</v>
      </c>
      <c r="DU138" s="62">
        <f t="shared" si="152"/>
        <v>345.19555189302378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5.6843418860808015E-14</v>
      </c>
      <c r="EK138" s="18">
        <f>EJ138*VLOOKUP('Données projet'!$B$15,Paramètres!$A$1:$I$89,3,0)*VLOOKUP('Données projet'!$B$15,Paramètres!$A$1:$I$89,5,0)</f>
        <v>5.9412741393316544E-14</v>
      </c>
      <c r="EL138" s="14">
        <f t="shared" si="153"/>
        <v>9.483138037075782E-13</v>
      </c>
      <c r="EM138" s="22">
        <f t="shared" si="127"/>
        <v>1.7551237327173916E-12</v>
      </c>
      <c r="EN138" s="62">
        <f t="shared" si="128"/>
        <v>280.21029753449693</v>
      </c>
      <c r="EO138" s="62">
        <f ca="1">AVERAGE(OFFSET($EN$3,0,0,'Données projet'!$E$15+1,1))-AVERAGE(OFFSET($H$3,0,0,'Données projet'!$E$15+1,1))</f>
        <v>418.23737352070503</v>
      </c>
      <c r="EP138" s="62">
        <f t="shared" si="154"/>
        <v>496.10742685332968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1.1368683772161603E-13</v>
      </c>
      <c r="FF138" s="18">
        <f>FE138*VLOOKUP('Données projet'!$B$16,Paramètres!$A$1:$I$89,3,0)*VLOOKUP('Données projet'!$B$16,Paramètres!$A$1:$I$89,5,0)</f>
        <v>6.7984728957526396E-14</v>
      </c>
      <c r="FG138" s="14">
        <f t="shared" si="155"/>
        <v>1.0682447123141398E-12</v>
      </c>
      <c r="FH138" s="22">
        <f t="shared" si="130"/>
        <v>1.978932943548152E-12</v>
      </c>
      <c r="FI138" s="62">
        <f t="shared" si="131"/>
        <v>280.21029753449716</v>
      </c>
      <c r="FJ138" s="62">
        <f ca="1">AVERAGE(OFFSET($FI$3,0,0,'Données projet'!$E$16+1,1))-AVERAGE(OFFSET($H$3,0,0,'Données projet'!$E$16+1,1))</f>
        <v>341.70983624543067</v>
      </c>
      <c r="FK138" s="62">
        <f t="shared" si="156"/>
        <v>250.82562837973805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1.9457694003276216E-15</v>
      </c>
      <c r="FT138" s="24">
        <f t="shared" si="132"/>
        <v>1.9457694003276216E-15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-2.2737367544323206E-13</v>
      </c>
      <c r="GA138" s="18">
        <f>FZ138*VLOOKUP('Données projet'!$B$17,Paramètres!$A$1:$I$89,3,0)*VLOOKUP('Données projet'!$B$17,Paramètres!$A$1:$I$89,5,0)</f>
        <v>-1.064108801074326E-13</v>
      </c>
      <c r="GB138" s="14" t="e">
        <f t="shared" si="157"/>
        <v>#NUM!</v>
      </c>
      <c r="GC138" s="22" t="e">
        <f t="shared" si="133"/>
        <v>#NUM!</v>
      </c>
      <c r="GD138" s="62" t="e">
        <f t="shared" si="134"/>
        <v>#NUM!</v>
      </c>
      <c r="GE138" s="62">
        <f ca="1">AVERAGE(OFFSET($GD$3,0,0,'Données projet'!$E$17+1,1))-AVERAGE(OFFSET($H$3,0,0,'Données projet'!$E$17+1,1))</f>
        <v>368.69628434154333</v>
      </c>
      <c r="GF138" s="62">
        <f t="shared" si="158"/>
        <v>202.28197295839524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-1.1368683772161603E-13</v>
      </c>
      <c r="GV138" s="18">
        <f>GU138*VLOOKUP('Données projet'!$B$18,Paramètres!$A$1:$I$89,3,0)*VLOOKUP('Données projet'!$B$18,Paramètres!$A$1:$I$89,5,0)</f>
        <v>-9.9316821433603781E-14</v>
      </c>
      <c r="GW138" s="14" t="e">
        <f t="shared" si="159"/>
        <v>#NUM!</v>
      </c>
      <c r="GX138" s="22" t="e">
        <f t="shared" si="136"/>
        <v>#NUM!</v>
      </c>
      <c r="GY138" s="62" t="e">
        <f t="shared" si="137"/>
        <v>#NUM!</v>
      </c>
      <c r="GZ138" s="62">
        <f ca="1">AVERAGE(OFFSET($GY$3,0,0,'Données projet'!$E$18+1,1))-AVERAGE(OFFSET($H$3,0,0,'Données projet'!$E$18+1,1))</f>
        <v>378.51861272969165</v>
      </c>
      <c r="HA138" s="62">
        <f t="shared" si="160"/>
        <v>387.42368617035459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0</v>
      </c>
      <c r="HH138" s="23">
        <f>EXP(-LN(2)/25)*HH137+(1-EXP(-LN(2)/25))/(LN(2)/25)*Calculateur!HC138*Calculateur!HE138*VLOOKUP('Données projet'!$B$18,Paramètres!$A$1:$I$89,3,0)*0.475*44/12</f>
        <v>0</v>
      </c>
      <c r="HI138" s="23">
        <f>EXP(-LN(2)/2)*HI137+(1-EXP(-LN(2)/2))/(LN(2)/2)*HC138*HF138*VLOOKUP('Données projet'!$B$18,Paramètres!$A$1:$I$89,3,0)*0.475*44/12</f>
        <v>0</v>
      </c>
      <c r="HJ138" s="24">
        <f t="shared" si="138"/>
        <v>0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135.66666666666666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280.43795286689414</v>
      </c>
      <c r="S139" s="62">
        <f ca="1">AVERAGE(OFFSET($R$3,0,0,'Données projet'!$E$9+1,1))-AVERAGE(OFFSET($H$3,0,0,'Données projet'!$E$9+1,1))</f>
        <v>437.94016462147999</v>
      </c>
      <c r="T139" s="62">
        <f t="shared" si="142"/>
        <v>281.88254003380348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9.0909221708623786E-16</v>
      </c>
      <c r="AC139" s="24">
        <f t="shared" si="111"/>
        <v>9.0909221708623786E-16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1.0286385077051818E-13</v>
      </c>
      <c r="AK139" s="14">
        <f t="shared" si="143"/>
        <v>1.5402366592183556E-12</v>
      </c>
      <c r="AL139" s="22">
        <f t="shared" si="112"/>
        <v>2.8617333882306215E-12</v>
      </c>
      <c r="AM139" s="62">
        <f t="shared" si="113"/>
        <v>280.43795286689499</v>
      </c>
      <c r="AN139" s="62">
        <f ca="1">AVERAGE(OFFSET($AM$3,0,0,'Données projet'!$E$10+1,1))-AVERAGE(OFFSET($H$3,0,0,'Données projet'!$E$10+1,1))</f>
        <v>434.56763649859136</v>
      </c>
      <c r="AO139" s="62">
        <f t="shared" si="144"/>
        <v>271.90302066766264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6.7984728957526396E-14</v>
      </c>
      <c r="BF139" s="14">
        <f t="shared" si="145"/>
        <v>1.0682447123141398E-12</v>
      </c>
      <c r="BG139" s="22">
        <f t="shared" si="115"/>
        <v>1.978932943548152E-12</v>
      </c>
      <c r="BH139" s="62">
        <f t="shared" si="116"/>
        <v>280.43795286689414</v>
      </c>
      <c r="BI139" s="62">
        <f ca="1">AVERAGE(OFFSET($BH$3,0,0,'Données projet'!$E$11+1,1))-AVERAGE(OFFSET($H$3,0,0,'Données projet'!$E$11+1,1))</f>
        <v>199.65420589615553</v>
      </c>
      <c r="BJ139" s="62">
        <f t="shared" si="146"/>
        <v>477.85821088970999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6.5343535749303987</v>
      </c>
      <c r="BQ139" s="23">
        <f>EXP(-LN(2)/25)*BQ138+(1-EXP(-LN(2)/25))/(LN(2)/25)*Calculateur!BL139*Calculateur!BN139*VLOOKUP('Données projet'!$B$11,Paramètres!$A$1:$I$89,3,0)*0.475*44/12</f>
        <v>2.3258408028514941</v>
      </c>
      <c r="BR139" s="23">
        <f>EXP(-LN(2)/2)*BR138+(1-EXP(-LN(2)/2))/(LN(2)/2)*BL139*BO139*VLOOKUP('Données projet'!$B$11,Paramètres!$A$1:$I$89,3,0)*0.475*44/12</f>
        <v>4.8369513724232028E-15</v>
      </c>
      <c r="BS139" s="24">
        <f t="shared" si="117"/>
        <v>8.8601943777818981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1.1368683772161603E-13</v>
      </c>
      <c r="BZ139" s="14">
        <f>BY139*VLOOKUP('Données projet'!$B$12,Paramètres!$A$1:$I$89,3,0)*VLOOKUP('Données projet'!$B$12,Paramètres!$A$1:$I$89,5,0)</f>
        <v>6.7984728957526396E-14</v>
      </c>
      <c r="CA139" s="14">
        <f t="shared" si="147"/>
        <v>1.0682447123141398E-12</v>
      </c>
      <c r="CB139" s="22">
        <f t="shared" si="118"/>
        <v>1.978932943548152E-12</v>
      </c>
      <c r="CC139" s="62">
        <f t="shared" si="119"/>
        <v>280.43795286689414</v>
      </c>
      <c r="CD139" s="62">
        <f ca="1">AVERAGE(OFFSET($CC$3,0,0,'Données projet'!$E$12+1,1))-AVERAGE(OFFSET($H$3,0,0,'Données projet'!$E$12+1,1))</f>
        <v>437.94016462147999</v>
      </c>
      <c r="CE139" s="62">
        <f t="shared" si="148"/>
        <v>281.88254003380348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9.0909221708623786E-16</v>
      </c>
      <c r="CN139" s="24">
        <f t="shared" si="120"/>
        <v>9.0909221708623786E-16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1.1368683772161603E-13</v>
      </c>
      <c r="CU139" s="18">
        <f>CT139*VLOOKUP('Données projet'!$B$13,Paramètres!$A$1:$I$89,3,0)*VLOOKUP('Données projet'!$B$13,Paramètres!$A$1:$I$89,5,0)</f>
        <v>1.2946657079737634E-13</v>
      </c>
      <c r="CV139" s="14">
        <f t="shared" si="149"/>
        <v>1.8873591890224769E-12</v>
      </c>
      <c r="CW139" s="22">
        <f t="shared" si="121"/>
        <v>3.5126381983529106E-12</v>
      </c>
      <c r="CX139" s="62">
        <f t="shared" si="122"/>
        <v>280.43795286689567</v>
      </c>
      <c r="CY139" s="62">
        <f ca="1">AVERAGE(OFFSET($CX$3,0,0,'Données projet'!$E$13+1,1))-AVERAGE(OFFSET($H$3,0,0,'Données projet'!$E$13+1,1))</f>
        <v>520.23742527061836</v>
      </c>
      <c r="CZ139" s="62">
        <f t="shared" si="150"/>
        <v>321.35925479331274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>
        <f>DO139*VLOOKUP('Données projet'!$B$14,Paramètres!$A$1:$I$89,3,0)*VLOOKUP('Données projet'!$B$14,Paramètres!$A$1:$I$89,5,0)</f>
        <v>0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547.89540791313675</v>
      </c>
      <c r="DU139" s="62">
        <f t="shared" si="152"/>
        <v>345.19555189302378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5.6843418860808015E-14</v>
      </c>
      <c r="EK139" s="18">
        <f>EJ139*VLOOKUP('Données projet'!$B$15,Paramètres!$A$1:$I$89,3,0)*VLOOKUP('Données projet'!$B$15,Paramètres!$A$1:$I$89,5,0)</f>
        <v>5.9412741393316544E-14</v>
      </c>
      <c r="EL139" s="14">
        <f t="shared" si="153"/>
        <v>9.483138037075782E-13</v>
      </c>
      <c r="EM139" s="22">
        <f t="shared" si="127"/>
        <v>1.7551237327173916E-12</v>
      </c>
      <c r="EN139" s="62">
        <f t="shared" si="128"/>
        <v>280.43795286689391</v>
      </c>
      <c r="EO139" s="62">
        <f ca="1">AVERAGE(OFFSET($EN$3,0,0,'Données projet'!$E$15+1,1))-AVERAGE(OFFSET($H$3,0,0,'Données projet'!$E$15+1,1))</f>
        <v>418.23737352070503</v>
      </c>
      <c r="EP139" s="62">
        <f t="shared" si="154"/>
        <v>496.10742685332968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1.1368683772161603E-13</v>
      </c>
      <c r="FF139" s="18">
        <f>FE139*VLOOKUP('Données projet'!$B$16,Paramètres!$A$1:$I$89,3,0)*VLOOKUP('Données projet'!$B$16,Paramètres!$A$1:$I$89,5,0)</f>
        <v>6.7984728957526396E-14</v>
      </c>
      <c r="FG139" s="14">
        <f t="shared" si="155"/>
        <v>1.0682447123141398E-12</v>
      </c>
      <c r="FH139" s="22">
        <f t="shared" si="130"/>
        <v>1.978932943548152E-12</v>
      </c>
      <c r="FI139" s="62">
        <f t="shared" si="131"/>
        <v>280.43795286689414</v>
      </c>
      <c r="FJ139" s="62">
        <f ca="1">AVERAGE(OFFSET($FI$3,0,0,'Données projet'!$E$16+1,1))-AVERAGE(OFFSET($H$3,0,0,'Données projet'!$E$16+1,1))</f>
        <v>341.70983624543067</v>
      </c>
      <c r="FK139" s="62">
        <f t="shared" si="156"/>
        <v>250.82562837973805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1.3758667375969433E-15</v>
      </c>
      <c r="FT139" s="24">
        <f t="shared" si="132"/>
        <v>1.3758667375969433E-15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-2.2737367544323206E-13</v>
      </c>
      <c r="GA139" s="18">
        <f>FZ139*VLOOKUP('Données projet'!$B$17,Paramètres!$A$1:$I$89,3,0)*VLOOKUP('Données projet'!$B$17,Paramètres!$A$1:$I$89,5,0)</f>
        <v>-1.064108801074326E-13</v>
      </c>
      <c r="GB139" s="14" t="e">
        <f t="shared" si="157"/>
        <v>#NUM!</v>
      </c>
      <c r="GC139" s="22" t="e">
        <f t="shared" si="133"/>
        <v>#NUM!</v>
      </c>
      <c r="GD139" s="62" t="e">
        <f t="shared" si="134"/>
        <v>#NUM!</v>
      </c>
      <c r="GE139" s="62">
        <f ca="1">AVERAGE(OFFSET($GD$3,0,0,'Données projet'!$E$17+1,1))-AVERAGE(OFFSET($H$3,0,0,'Données projet'!$E$17+1,1))</f>
        <v>368.69628434154333</v>
      </c>
      <c r="GF139" s="62">
        <f t="shared" si="158"/>
        <v>202.28197295839524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-1.1368683772161603E-13</v>
      </c>
      <c r="GV139" s="18">
        <f>GU139*VLOOKUP('Données projet'!$B$18,Paramètres!$A$1:$I$89,3,0)*VLOOKUP('Données projet'!$B$18,Paramètres!$A$1:$I$89,5,0)</f>
        <v>-9.9316821433603781E-14</v>
      </c>
      <c r="GW139" s="14" t="e">
        <f t="shared" si="159"/>
        <v>#NUM!</v>
      </c>
      <c r="GX139" s="22" t="e">
        <f t="shared" si="136"/>
        <v>#NUM!</v>
      </c>
      <c r="GY139" s="62" t="e">
        <f t="shared" si="137"/>
        <v>#NUM!</v>
      </c>
      <c r="GZ139" s="62">
        <f ca="1">AVERAGE(OFFSET($GY$3,0,0,'Données projet'!$E$18+1,1))-AVERAGE(OFFSET($H$3,0,0,'Données projet'!$E$18+1,1))</f>
        <v>378.51861272969165</v>
      </c>
      <c r="HA139" s="62">
        <f t="shared" si="160"/>
        <v>387.42368617035459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0</v>
      </c>
      <c r="HH139" s="23">
        <f>EXP(-LN(2)/25)*HH138+(1-EXP(-LN(2)/25))/(LN(2)/25)*Calculateur!HC139*Calculateur!HE139*VLOOKUP('Données projet'!$B$18,Paramètres!$A$1:$I$89,3,0)*0.475*44/12</f>
        <v>0</v>
      </c>
      <c r="HI139" s="23">
        <f>EXP(-LN(2)/2)*HI138+(1-EXP(-LN(2)/2))/(LN(2)/2)*HC139*HF139*VLOOKUP('Données projet'!$B$18,Paramètres!$A$1:$I$89,3,0)*0.475*44/12</f>
        <v>0</v>
      </c>
      <c r="HJ139" s="24">
        <f t="shared" si="138"/>
        <v>0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135.66666666666666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280.66165888823519</v>
      </c>
      <c r="S140" s="62">
        <f ca="1">AVERAGE(OFFSET($R$3,0,0,'Données projet'!$E$9+1,1))-AVERAGE(OFFSET($H$3,0,0,'Données projet'!$E$9+1,1))</f>
        <v>437.94016462147999</v>
      </c>
      <c r="T140" s="62">
        <f t="shared" si="142"/>
        <v>281.88254003380348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6.4282527142559176E-16</v>
      </c>
      <c r="AC140" s="24">
        <f t="shared" si="111"/>
        <v>6.4282527142559176E-16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1.0286385077051818E-13</v>
      </c>
      <c r="AK140" s="14">
        <f t="shared" si="143"/>
        <v>1.5402366592183556E-12</v>
      </c>
      <c r="AL140" s="22">
        <f t="shared" si="112"/>
        <v>2.8617333882306215E-12</v>
      </c>
      <c r="AM140" s="62">
        <f t="shared" si="113"/>
        <v>280.66165888823605</v>
      </c>
      <c r="AN140" s="62">
        <f ca="1">AVERAGE(OFFSET($AM$3,0,0,'Données projet'!$E$10+1,1))-AVERAGE(OFFSET($H$3,0,0,'Données projet'!$E$10+1,1))</f>
        <v>434.56763649859136</v>
      </c>
      <c r="AO140" s="62">
        <f t="shared" si="144"/>
        <v>271.90302066766264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6.7984728957526396E-14</v>
      </c>
      <c r="BF140" s="14">
        <f t="shared" si="145"/>
        <v>1.0682447123141398E-12</v>
      </c>
      <c r="BG140" s="22">
        <f t="shared" si="115"/>
        <v>1.978932943548152E-12</v>
      </c>
      <c r="BH140" s="62">
        <f t="shared" si="116"/>
        <v>280.66165888823519</v>
      </c>
      <c r="BI140" s="62">
        <f ca="1">AVERAGE(OFFSET($BH$3,0,0,'Données projet'!$E$11+1,1))-AVERAGE(OFFSET($H$3,0,0,'Données projet'!$E$11+1,1))</f>
        <v>199.65420589615553</v>
      </c>
      <c r="BJ140" s="62">
        <f t="shared" si="146"/>
        <v>477.85821088970999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6.4062188868881531</v>
      </c>
      <c r="BQ140" s="23">
        <f>EXP(-LN(2)/25)*BQ139+(1-EXP(-LN(2)/25))/(LN(2)/25)*Calculateur!BL140*Calculateur!BN140*VLOOKUP('Données projet'!$B$11,Paramètres!$A$1:$I$89,3,0)*0.475*44/12</f>
        <v>2.2622405637868681</v>
      </c>
      <c r="BR140" s="23">
        <f>EXP(-LN(2)/2)*BR139+(1-EXP(-LN(2)/2))/(LN(2)/2)*BL140*BO140*VLOOKUP('Données projet'!$B$11,Paramètres!$A$1:$I$89,3,0)*0.475*44/12</f>
        <v>3.4202411157100244E-15</v>
      </c>
      <c r="BS140" s="24">
        <f t="shared" si="117"/>
        <v>8.6684594506750248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1.1368683772161603E-13</v>
      </c>
      <c r="BZ140" s="14">
        <f>BY140*VLOOKUP('Données projet'!$B$12,Paramètres!$A$1:$I$89,3,0)*VLOOKUP('Données projet'!$B$12,Paramètres!$A$1:$I$89,5,0)</f>
        <v>6.7984728957526396E-14</v>
      </c>
      <c r="CA140" s="14">
        <f t="shared" si="147"/>
        <v>1.0682447123141398E-12</v>
      </c>
      <c r="CB140" s="22">
        <f t="shared" si="118"/>
        <v>1.978932943548152E-12</v>
      </c>
      <c r="CC140" s="62">
        <f t="shared" si="119"/>
        <v>280.66165888823519</v>
      </c>
      <c r="CD140" s="62">
        <f ca="1">AVERAGE(OFFSET($CC$3,0,0,'Données projet'!$E$12+1,1))-AVERAGE(OFFSET($H$3,0,0,'Données projet'!$E$12+1,1))</f>
        <v>437.94016462147999</v>
      </c>
      <c r="CE140" s="62">
        <f t="shared" si="148"/>
        <v>281.88254003380348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6.4282527142559176E-16</v>
      </c>
      <c r="CN140" s="24">
        <f t="shared" si="120"/>
        <v>6.4282527142559176E-16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1.1368683772161603E-13</v>
      </c>
      <c r="CU140" s="18">
        <f>CT140*VLOOKUP('Données projet'!$B$13,Paramètres!$A$1:$I$89,3,0)*VLOOKUP('Données projet'!$B$13,Paramètres!$A$1:$I$89,5,0)</f>
        <v>1.2946657079737634E-13</v>
      </c>
      <c r="CV140" s="14">
        <f t="shared" si="149"/>
        <v>1.8873591890224769E-12</v>
      </c>
      <c r="CW140" s="22">
        <f t="shared" si="121"/>
        <v>3.5126381983529106E-12</v>
      </c>
      <c r="CX140" s="62">
        <f t="shared" si="122"/>
        <v>280.66165888823673</v>
      </c>
      <c r="CY140" s="62">
        <f ca="1">AVERAGE(OFFSET($CX$3,0,0,'Données projet'!$E$13+1,1))-AVERAGE(OFFSET($H$3,0,0,'Données projet'!$E$13+1,1))</f>
        <v>520.23742527061836</v>
      </c>
      <c r="CZ140" s="62">
        <f t="shared" si="150"/>
        <v>321.35925479331274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>
        <f>DO140*VLOOKUP('Données projet'!$B$14,Paramètres!$A$1:$I$89,3,0)*VLOOKUP('Données projet'!$B$14,Paramètres!$A$1:$I$89,5,0)</f>
        <v>0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547.89540791313675</v>
      </c>
      <c r="DU140" s="62">
        <f t="shared" si="152"/>
        <v>345.19555189302378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5.6843418860808015E-14</v>
      </c>
      <c r="EK140" s="18">
        <f>EJ140*VLOOKUP('Données projet'!$B$15,Paramètres!$A$1:$I$89,3,0)*VLOOKUP('Données projet'!$B$15,Paramètres!$A$1:$I$89,5,0)</f>
        <v>5.9412741393316544E-14</v>
      </c>
      <c r="EL140" s="14">
        <f t="shared" si="153"/>
        <v>9.483138037075782E-13</v>
      </c>
      <c r="EM140" s="22">
        <f t="shared" si="127"/>
        <v>1.7551237327173916E-12</v>
      </c>
      <c r="EN140" s="62">
        <f t="shared" si="128"/>
        <v>280.66165888823497</v>
      </c>
      <c r="EO140" s="62">
        <f ca="1">AVERAGE(OFFSET($EN$3,0,0,'Données projet'!$E$15+1,1))-AVERAGE(OFFSET($H$3,0,0,'Données projet'!$E$15+1,1))</f>
        <v>418.23737352070503</v>
      </c>
      <c r="EP140" s="62">
        <f t="shared" si="154"/>
        <v>496.10742685332968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1.1368683772161603E-13</v>
      </c>
      <c r="FF140" s="18">
        <f>FE140*VLOOKUP('Données projet'!$B$16,Paramètres!$A$1:$I$89,3,0)*VLOOKUP('Données projet'!$B$16,Paramètres!$A$1:$I$89,5,0)</f>
        <v>6.7984728957526396E-14</v>
      </c>
      <c r="FG140" s="14">
        <f t="shared" si="155"/>
        <v>1.0682447123141398E-12</v>
      </c>
      <c r="FH140" s="22">
        <f t="shared" si="130"/>
        <v>1.978932943548152E-12</v>
      </c>
      <c r="FI140" s="62">
        <f t="shared" si="131"/>
        <v>280.66165888823519</v>
      </c>
      <c r="FJ140" s="62">
        <f ca="1">AVERAGE(OFFSET($FI$3,0,0,'Données projet'!$E$16+1,1))-AVERAGE(OFFSET($H$3,0,0,'Données projet'!$E$16+1,1))</f>
        <v>341.70983624543067</v>
      </c>
      <c r="FK140" s="62">
        <f t="shared" si="156"/>
        <v>250.82562837973805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9.728847001638108E-16</v>
      </c>
      <c r="FT140" s="24">
        <f t="shared" si="132"/>
        <v>9.728847001638108E-16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-2.2737367544323206E-13</v>
      </c>
      <c r="GA140" s="18">
        <f>FZ140*VLOOKUP('Données projet'!$B$17,Paramètres!$A$1:$I$89,3,0)*VLOOKUP('Données projet'!$B$17,Paramètres!$A$1:$I$89,5,0)</f>
        <v>-1.064108801074326E-13</v>
      </c>
      <c r="GB140" s="14" t="e">
        <f t="shared" si="157"/>
        <v>#NUM!</v>
      </c>
      <c r="GC140" s="22" t="e">
        <f t="shared" si="133"/>
        <v>#NUM!</v>
      </c>
      <c r="GD140" s="62" t="e">
        <f t="shared" si="134"/>
        <v>#NUM!</v>
      </c>
      <c r="GE140" s="62">
        <f ca="1">AVERAGE(OFFSET($GD$3,0,0,'Données projet'!$E$17+1,1))-AVERAGE(OFFSET($H$3,0,0,'Données projet'!$E$17+1,1))</f>
        <v>368.69628434154333</v>
      </c>
      <c r="GF140" s="62">
        <f t="shared" si="158"/>
        <v>202.28197295839524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-1.1368683772161603E-13</v>
      </c>
      <c r="GV140" s="18">
        <f>GU140*VLOOKUP('Données projet'!$B$18,Paramètres!$A$1:$I$89,3,0)*VLOOKUP('Données projet'!$B$18,Paramètres!$A$1:$I$89,5,0)</f>
        <v>-9.9316821433603781E-14</v>
      </c>
      <c r="GW140" s="14" t="e">
        <f t="shared" si="159"/>
        <v>#NUM!</v>
      </c>
      <c r="GX140" s="22" t="e">
        <f t="shared" si="136"/>
        <v>#NUM!</v>
      </c>
      <c r="GY140" s="62" t="e">
        <f t="shared" si="137"/>
        <v>#NUM!</v>
      </c>
      <c r="GZ140" s="62">
        <f ca="1">AVERAGE(OFFSET($GY$3,0,0,'Données projet'!$E$18+1,1))-AVERAGE(OFFSET($H$3,0,0,'Données projet'!$E$18+1,1))</f>
        <v>378.51861272969165</v>
      </c>
      <c r="HA140" s="62">
        <f t="shared" si="160"/>
        <v>387.42368617035459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0</v>
      </c>
      <c r="HH140" s="23">
        <f>EXP(-LN(2)/25)*HH139+(1-EXP(-LN(2)/25))/(LN(2)/25)*Calculateur!HC140*Calculateur!HE140*VLOOKUP('Données projet'!$B$18,Paramètres!$A$1:$I$89,3,0)*0.475*44/12</f>
        <v>0</v>
      </c>
      <c r="HI140" s="23">
        <f>EXP(-LN(2)/2)*HI139+(1-EXP(-LN(2)/2))/(LN(2)/2)*HC140*HF140*VLOOKUP('Données projet'!$B$18,Paramètres!$A$1:$I$89,3,0)*0.475*44/12</f>
        <v>0</v>
      </c>
      <c r="HJ140" s="24">
        <f t="shared" si="138"/>
        <v>0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135.66666666666666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280.88148411023769</v>
      </c>
      <c r="S141" s="62">
        <f ca="1">AVERAGE(OFFSET($R$3,0,0,'Données projet'!$E$9+1,1))-AVERAGE(OFFSET($H$3,0,0,'Données projet'!$E$9+1,1))</f>
        <v>437.94016462147999</v>
      </c>
      <c r="T141" s="62">
        <f t="shared" si="142"/>
        <v>281.88254003380348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4.5454610854311893E-16</v>
      </c>
      <c r="AC141" s="24">
        <f t="shared" si="111"/>
        <v>4.5454610854311893E-16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1.0286385077051818E-13</v>
      </c>
      <c r="AK141" s="14">
        <f t="shared" si="143"/>
        <v>1.5402366592183556E-12</v>
      </c>
      <c r="AL141" s="22">
        <f t="shared" si="112"/>
        <v>2.8617333882306215E-12</v>
      </c>
      <c r="AM141" s="62">
        <f t="shared" si="113"/>
        <v>280.88148411023855</v>
      </c>
      <c r="AN141" s="62">
        <f ca="1">AVERAGE(OFFSET($AM$3,0,0,'Données projet'!$E$10+1,1))-AVERAGE(OFFSET($H$3,0,0,'Données projet'!$E$10+1,1))</f>
        <v>434.56763649859136</v>
      </c>
      <c r="AO141" s="62">
        <f t="shared" si="144"/>
        <v>271.90302066766264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6.7984728957526396E-14</v>
      </c>
      <c r="BF141" s="14">
        <f t="shared" si="145"/>
        <v>1.0682447123141398E-12</v>
      </c>
      <c r="BG141" s="22">
        <f t="shared" si="115"/>
        <v>1.978932943548152E-12</v>
      </c>
      <c r="BH141" s="62">
        <f t="shared" si="116"/>
        <v>280.88148411023769</v>
      </c>
      <c r="BI141" s="62">
        <f ca="1">AVERAGE(OFFSET($BH$3,0,0,'Données projet'!$E$11+1,1))-AVERAGE(OFFSET($H$3,0,0,'Données projet'!$E$11+1,1))</f>
        <v>199.65420589615553</v>
      </c>
      <c r="BJ141" s="62">
        <f t="shared" si="146"/>
        <v>477.85821088970999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6.2805968419239733</v>
      </c>
      <c r="BQ141" s="23">
        <f>EXP(-LN(2)/25)*BQ140+(1-EXP(-LN(2)/25))/(LN(2)/25)*Calculateur!BL141*Calculateur!BN141*VLOOKUP('Données projet'!$B$11,Paramètres!$A$1:$I$89,3,0)*0.475*44/12</f>
        <v>2.2003794766040552</v>
      </c>
      <c r="BR141" s="23">
        <f>EXP(-LN(2)/2)*BR140+(1-EXP(-LN(2)/2))/(LN(2)/2)*BL141*BO141*VLOOKUP('Données projet'!$B$11,Paramètres!$A$1:$I$89,3,0)*0.475*44/12</f>
        <v>2.4184756862116014E-15</v>
      </c>
      <c r="BS141" s="24">
        <f t="shared" si="117"/>
        <v>8.4809763185280307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1.1368683772161603E-13</v>
      </c>
      <c r="BZ141" s="14">
        <f>BY141*VLOOKUP('Données projet'!$B$12,Paramètres!$A$1:$I$89,3,0)*VLOOKUP('Données projet'!$B$12,Paramètres!$A$1:$I$89,5,0)</f>
        <v>6.7984728957526396E-14</v>
      </c>
      <c r="CA141" s="14">
        <f t="shared" si="147"/>
        <v>1.0682447123141398E-12</v>
      </c>
      <c r="CB141" s="22">
        <f t="shared" si="118"/>
        <v>1.978932943548152E-12</v>
      </c>
      <c r="CC141" s="62">
        <f t="shared" si="119"/>
        <v>280.88148411023769</v>
      </c>
      <c r="CD141" s="62">
        <f ca="1">AVERAGE(OFFSET($CC$3,0,0,'Données projet'!$E$12+1,1))-AVERAGE(OFFSET($H$3,0,0,'Données projet'!$E$12+1,1))</f>
        <v>437.94016462147999</v>
      </c>
      <c r="CE141" s="62">
        <f t="shared" si="148"/>
        <v>281.88254003380348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4.5454610854311893E-16</v>
      </c>
      <c r="CN141" s="24">
        <f t="shared" si="120"/>
        <v>4.5454610854311893E-16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1.1368683772161603E-13</v>
      </c>
      <c r="CU141" s="18">
        <f>CT141*VLOOKUP('Données projet'!$B$13,Paramètres!$A$1:$I$89,3,0)*VLOOKUP('Données projet'!$B$13,Paramètres!$A$1:$I$89,5,0)</f>
        <v>1.2946657079737634E-13</v>
      </c>
      <c r="CV141" s="14">
        <f t="shared" si="149"/>
        <v>1.8873591890224769E-12</v>
      </c>
      <c r="CW141" s="22">
        <f t="shared" si="121"/>
        <v>3.5126381983529106E-12</v>
      </c>
      <c r="CX141" s="62">
        <f t="shared" si="122"/>
        <v>280.88148411023923</v>
      </c>
      <c r="CY141" s="62">
        <f ca="1">AVERAGE(OFFSET($CX$3,0,0,'Données projet'!$E$13+1,1))-AVERAGE(OFFSET($H$3,0,0,'Données projet'!$E$13+1,1))</f>
        <v>520.23742527061836</v>
      </c>
      <c r="CZ141" s="62">
        <f t="shared" si="150"/>
        <v>321.35925479331274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>
        <f>DO141*VLOOKUP('Données projet'!$B$14,Paramètres!$A$1:$I$89,3,0)*VLOOKUP('Données projet'!$B$14,Paramètres!$A$1:$I$89,5,0)</f>
        <v>0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547.89540791313675</v>
      </c>
      <c r="DU141" s="62">
        <f t="shared" si="152"/>
        <v>345.19555189302378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5.6843418860808015E-14</v>
      </c>
      <c r="EK141" s="18">
        <f>EJ141*VLOOKUP('Données projet'!$B$15,Paramètres!$A$1:$I$89,3,0)*VLOOKUP('Données projet'!$B$15,Paramètres!$A$1:$I$89,5,0)</f>
        <v>5.9412741393316544E-14</v>
      </c>
      <c r="EL141" s="14">
        <f t="shared" si="153"/>
        <v>9.483138037075782E-13</v>
      </c>
      <c r="EM141" s="22">
        <f t="shared" si="127"/>
        <v>1.7551237327173916E-12</v>
      </c>
      <c r="EN141" s="62">
        <f t="shared" si="128"/>
        <v>280.88148411023747</v>
      </c>
      <c r="EO141" s="62">
        <f ca="1">AVERAGE(OFFSET($EN$3,0,0,'Données projet'!$E$15+1,1))-AVERAGE(OFFSET($H$3,0,0,'Données projet'!$E$15+1,1))</f>
        <v>418.23737352070503</v>
      </c>
      <c r="EP141" s="62">
        <f t="shared" si="154"/>
        <v>496.10742685332968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1.1368683772161603E-13</v>
      </c>
      <c r="FF141" s="18">
        <f>FE141*VLOOKUP('Données projet'!$B$16,Paramètres!$A$1:$I$89,3,0)*VLOOKUP('Données projet'!$B$16,Paramètres!$A$1:$I$89,5,0)</f>
        <v>6.7984728957526396E-14</v>
      </c>
      <c r="FG141" s="14">
        <f t="shared" si="155"/>
        <v>1.0682447123141398E-12</v>
      </c>
      <c r="FH141" s="22">
        <f t="shared" si="130"/>
        <v>1.978932943548152E-12</v>
      </c>
      <c r="FI141" s="62">
        <f t="shared" si="131"/>
        <v>280.88148411023769</v>
      </c>
      <c r="FJ141" s="62">
        <f ca="1">AVERAGE(OFFSET($FI$3,0,0,'Données projet'!$E$16+1,1))-AVERAGE(OFFSET($H$3,0,0,'Données projet'!$E$16+1,1))</f>
        <v>341.70983624543067</v>
      </c>
      <c r="FK141" s="62">
        <f t="shared" si="156"/>
        <v>250.82562837973805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6.8793336879847166E-16</v>
      </c>
      <c r="FT141" s="24">
        <f t="shared" si="132"/>
        <v>6.8793336879847166E-16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-2.2737367544323206E-13</v>
      </c>
      <c r="GA141" s="18">
        <f>FZ141*VLOOKUP('Données projet'!$B$17,Paramètres!$A$1:$I$89,3,0)*VLOOKUP('Données projet'!$B$17,Paramètres!$A$1:$I$89,5,0)</f>
        <v>-1.064108801074326E-13</v>
      </c>
      <c r="GB141" s="14" t="e">
        <f t="shared" si="157"/>
        <v>#NUM!</v>
      </c>
      <c r="GC141" s="22" t="e">
        <f t="shared" si="133"/>
        <v>#NUM!</v>
      </c>
      <c r="GD141" s="62" t="e">
        <f t="shared" si="134"/>
        <v>#NUM!</v>
      </c>
      <c r="GE141" s="62">
        <f ca="1">AVERAGE(OFFSET($GD$3,0,0,'Données projet'!$E$17+1,1))-AVERAGE(OFFSET($H$3,0,0,'Données projet'!$E$17+1,1))</f>
        <v>368.69628434154333</v>
      </c>
      <c r="GF141" s="62">
        <f t="shared" si="158"/>
        <v>202.28197295839524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-1.1368683772161603E-13</v>
      </c>
      <c r="GV141" s="18">
        <f>GU141*VLOOKUP('Données projet'!$B$18,Paramètres!$A$1:$I$89,3,0)*VLOOKUP('Données projet'!$B$18,Paramètres!$A$1:$I$89,5,0)</f>
        <v>-9.9316821433603781E-14</v>
      </c>
      <c r="GW141" s="14" t="e">
        <f t="shared" si="159"/>
        <v>#NUM!</v>
      </c>
      <c r="GX141" s="22" t="e">
        <f t="shared" si="136"/>
        <v>#NUM!</v>
      </c>
      <c r="GY141" s="62" t="e">
        <f t="shared" si="137"/>
        <v>#NUM!</v>
      </c>
      <c r="GZ141" s="62">
        <f ca="1">AVERAGE(OFFSET($GY$3,0,0,'Données projet'!$E$18+1,1))-AVERAGE(OFFSET($H$3,0,0,'Données projet'!$E$18+1,1))</f>
        <v>378.51861272969165</v>
      </c>
      <c r="HA141" s="62">
        <f t="shared" si="160"/>
        <v>387.42368617035459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0</v>
      </c>
      <c r="HH141" s="23">
        <f>EXP(-LN(2)/25)*HH140+(1-EXP(-LN(2)/25))/(LN(2)/25)*Calculateur!HC141*Calculateur!HE141*VLOOKUP('Données projet'!$B$18,Paramètres!$A$1:$I$89,3,0)*0.475*44/12</f>
        <v>0</v>
      </c>
      <c r="HI141" s="23">
        <f>EXP(-LN(2)/2)*HI140+(1-EXP(-LN(2)/2))/(LN(2)/2)*HC141*HF141*VLOOKUP('Données projet'!$B$18,Paramètres!$A$1:$I$89,3,0)*0.475*44/12</f>
        <v>0</v>
      </c>
      <c r="HJ141" s="24">
        <f t="shared" si="138"/>
        <v>0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135.66666666666666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281.09749585609404</v>
      </c>
      <c r="S142" s="62">
        <f ca="1">AVERAGE(OFFSET($R$3,0,0,'Données projet'!$E$9+1,1))-AVERAGE(OFFSET($H$3,0,0,'Données projet'!$E$9+1,1))</f>
        <v>437.94016462147999</v>
      </c>
      <c r="T142" s="62">
        <f t="shared" si="142"/>
        <v>281.88254003380348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3.2141263571279588E-16</v>
      </c>
      <c r="AC142" s="24">
        <f t="shared" si="111"/>
        <v>3.2141263571279588E-16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1.0286385077051818E-13</v>
      </c>
      <c r="AK142" s="14">
        <f t="shared" si="143"/>
        <v>1.5402366592183556E-12</v>
      </c>
      <c r="AL142" s="22">
        <f t="shared" si="112"/>
        <v>2.8617333882306215E-12</v>
      </c>
      <c r="AM142" s="62">
        <f t="shared" si="113"/>
        <v>281.09749585609489</v>
      </c>
      <c r="AN142" s="62">
        <f ca="1">AVERAGE(OFFSET($AM$3,0,0,'Données projet'!$E$10+1,1))-AVERAGE(OFFSET($H$3,0,0,'Données projet'!$E$10+1,1))</f>
        <v>434.56763649859136</v>
      </c>
      <c r="AO142" s="62">
        <f t="shared" si="144"/>
        <v>271.90302066766264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6.7984728957526396E-14</v>
      </c>
      <c r="BF142" s="14">
        <f t="shared" si="145"/>
        <v>1.0682447123141398E-12</v>
      </c>
      <c r="BG142" s="22">
        <f t="shared" si="115"/>
        <v>1.978932943548152E-12</v>
      </c>
      <c r="BH142" s="62">
        <f t="shared" si="116"/>
        <v>281.09749585609404</v>
      </c>
      <c r="BI142" s="62">
        <f ca="1">AVERAGE(OFFSET($BH$3,0,0,'Données projet'!$E$11+1,1))-AVERAGE(OFFSET($H$3,0,0,'Données projet'!$E$11+1,1))</f>
        <v>199.65420589615553</v>
      </c>
      <c r="BJ142" s="62">
        <f t="shared" si="146"/>
        <v>477.85821088970999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6.1574381686396586</v>
      </c>
      <c r="BQ142" s="23">
        <f>EXP(-LN(2)/25)*BQ141+(1-EXP(-LN(2)/25))/(LN(2)/25)*Calculateur!BL142*Calculateur!BN142*VLOOKUP('Données projet'!$B$11,Paramètres!$A$1:$I$89,3,0)*0.475*44/12</f>
        <v>2.1402099841033895</v>
      </c>
      <c r="BR142" s="23">
        <f>EXP(-LN(2)/2)*BR141+(1-EXP(-LN(2)/2))/(LN(2)/2)*BL142*BO142*VLOOKUP('Données projet'!$B$11,Paramètres!$A$1:$I$89,3,0)*0.475*44/12</f>
        <v>1.7101205578550122E-15</v>
      </c>
      <c r="BS142" s="24">
        <f t="shared" si="117"/>
        <v>8.297648152743049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1.1368683772161603E-13</v>
      </c>
      <c r="BZ142" s="14">
        <f>BY142*VLOOKUP('Données projet'!$B$12,Paramètres!$A$1:$I$89,3,0)*VLOOKUP('Données projet'!$B$12,Paramètres!$A$1:$I$89,5,0)</f>
        <v>6.7984728957526396E-14</v>
      </c>
      <c r="CA142" s="14">
        <f t="shared" si="147"/>
        <v>1.0682447123141398E-12</v>
      </c>
      <c r="CB142" s="22">
        <f t="shared" si="118"/>
        <v>1.978932943548152E-12</v>
      </c>
      <c r="CC142" s="62">
        <f t="shared" si="119"/>
        <v>281.09749585609404</v>
      </c>
      <c r="CD142" s="62">
        <f ca="1">AVERAGE(OFFSET($CC$3,0,0,'Données projet'!$E$12+1,1))-AVERAGE(OFFSET($H$3,0,0,'Données projet'!$E$12+1,1))</f>
        <v>437.94016462147999</v>
      </c>
      <c r="CE142" s="62">
        <f t="shared" si="148"/>
        <v>281.88254003380348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3.2141263571279588E-16</v>
      </c>
      <c r="CN142" s="24">
        <f t="shared" si="120"/>
        <v>3.2141263571279588E-16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1.1368683772161603E-13</v>
      </c>
      <c r="CU142" s="18">
        <f>CT142*VLOOKUP('Données projet'!$B$13,Paramètres!$A$1:$I$89,3,0)*VLOOKUP('Données projet'!$B$13,Paramètres!$A$1:$I$89,5,0)</f>
        <v>1.2946657079737634E-13</v>
      </c>
      <c r="CV142" s="14">
        <f t="shared" si="149"/>
        <v>1.8873591890224769E-12</v>
      </c>
      <c r="CW142" s="22">
        <f t="shared" si="121"/>
        <v>3.5126381983529106E-12</v>
      </c>
      <c r="CX142" s="62">
        <f t="shared" si="122"/>
        <v>281.09749585609558</v>
      </c>
      <c r="CY142" s="62">
        <f ca="1">AVERAGE(OFFSET($CX$3,0,0,'Données projet'!$E$13+1,1))-AVERAGE(OFFSET($H$3,0,0,'Données projet'!$E$13+1,1))</f>
        <v>520.23742527061836</v>
      </c>
      <c r="CZ142" s="62">
        <f t="shared" si="150"/>
        <v>321.35925479331274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>
        <f>DO142*VLOOKUP('Données projet'!$B$14,Paramètres!$A$1:$I$89,3,0)*VLOOKUP('Données projet'!$B$14,Paramètres!$A$1:$I$89,5,0)</f>
        <v>0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547.89540791313675</v>
      </c>
      <c r="DU142" s="62">
        <f t="shared" si="152"/>
        <v>345.19555189302378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5.6843418860808015E-14</v>
      </c>
      <c r="EK142" s="18">
        <f>EJ142*VLOOKUP('Données projet'!$B$15,Paramètres!$A$1:$I$89,3,0)*VLOOKUP('Données projet'!$B$15,Paramètres!$A$1:$I$89,5,0)</f>
        <v>5.9412741393316544E-14</v>
      </c>
      <c r="EL142" s="14">
        <f t="shared" si="153"/>
        <v>9.483138037075782E-13</v>
      </c>
      <c r="EM142" s="22">
        <f t="shared" si="127"/>
        <v>1.7551237327173916E-12</v>
      </c>
      <c r="EN142" s="62">
        <f t="shared" si="128"/>
        <v>281.09749585609381</v>
      </c>
      <c r="EO142" s="62">
        <f ca="1">AVERAGE(OFFSET($EN$3,0,0,'Données projet'!$E$15+1,1))-AVERAGE(OFFSET($H$3,0,0,'Données projet'!$E$15+1,1))</f>
        <v>418.23737352070503</v>
      </c>
      <c r="EP142" s="62">
        <f t="shared" si="154"/>
        <v>496.10742685332968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1.1368683772161603E-13</v>
      </c>
      <c r="FF142" s="18">
        <f>FE142*VLOOKUP('Données projet'!$B$16,Paramètres!$A$1:$I$89,3,0)*VLOOKUP('Données projet'!$B$16,Paramètres!$A$1:$I$89,5,0)</f>
        <v>6.7984728957526396E-14</v>
      </c>
      <c r="FG142" s="14">
        <f t="shared" si="155"/>
        <v>1.0682447123141398E-12</v>
      </c>
      <c r="FH142" s="22">
        <f t="shared" si="130"/>
        <v>1.978932943548152E-12</v>
      </c>
      <c r="FI142" s="62">
        <f t="shared" si="131"/>
        <v>281.09749585609404</v>
      </c>
      <c r="FJ142" s="62">
        <f ca="1">AVERAGE(OFFSET($FI$3,0,0,'Données projet'!$E$16+1,1))-AVERAGE(OFFSET($H$3,0,0,'Données projet'!$E$16+1,1))</f>
        <v>341.70983624543067</v>
      </c>
      <c r="FK142" s="62">
        <f t="shared" si="156"/>
        <v>250.82562837973805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4.864423500819054E-16</v>
      </c>
      <c r="FT142" s="24">
        <f t="shared" si="132"/>
        <v>4.864423500819054E-16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-2.2737367544323206E-13</v>
      </c>
      <c r="GA142" s="18">
        <f>FZ142*VLOOKUP('Données projet'!$B$17,Paramètres!$A$1:$I$89,3,0)*VLOOKUP('Données projet'!$B$17,Paramètres!$A$1:$I$89,5,0)</f>
        <v>-1.064108801074326E-13</v>
      </c>
      <c r="GB142" s="14" t="e">
        <f t="shared" si="157"/>
        <v>#NUM!</v>
      </c>
      <c r="GC142" s="22" t="e">
        <f t="shared" si="133"/>
        <v>#NUM!</v>
      </c>
      <c r="GD142" s="62" t="e">
        <f t="shared" si="134"/>
        <v>#NUM!</v>
      </c>
      <c r="GE142" s="62">
        <f ca="1">AVERAGE(OFFSET($GD$3,0,0,'Données projet'!$E$17+1,1))-AVERAGE(OFFSET($H$3,0,0,'Données projet'!$E$17+1,1))</f>
        <v>368.69628434154333</v>
      </c>
      <c r="GF142" s="62">
        <f t="shared" si="158"/>
        <v>202.28197295839524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-1.1368683772161603E-13</v>
      </c>
      <c r="GV142" s="18">
        <f>GU142*VLOOKUP('Données projet'!$B$18,Paramètres!$A$1:$I$89,3,0)*VLOOKUP('Données projet'!$B$18,Paramètres!$A$1:$I$89,5,0)</f>
        <v>-9.9316821433603781E-14</v>
      </c>
      <c r="GW142" s="14" t="e">
        <f t="shared" si="159"/>
        <v>#NUM!</v>
      </c>
      <c r="GX142" s="22" t="e">
        <f t="shared" si="136"/>
        <v>#NUM!</v>
      </c>
      <c r="GY142" s="62" t="e">
        <f t="shared" si="137"/>
        <v>#NUM!</v>
      </c>
      <c r="GZ142" s="62">
        <f ca="1">AVERAGE(OFFSET($GY$3,0,0,'Données projet'!$E$18+1,1))-AVERAGE(OFFSET($H$3,0,0,'Données projet'!$E$18+1,1))</f>
        <v>378.51861272969165</v>
      </c>
      <c r="HA142" s="62">
        <f t="shared" si="160"/>
        <v>387.42368617035459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0</v>
      </c>
      <c r="HH142" s="23">
        <f>EXP(-LN(2)/25)*HH141+(1-EXP(-LN(2)/25))/(LN(2)/25)*Calculateur!HC142*Calculateur!HE142*VLOOKUP('Données projet'!$B$18,Paramètres!$A$1:$I$89,3,0)*0.475*44/12</f>
        <v>0</v>
      </c>
      <c r="HI142" s="23">
        <f>EXP(-LN(2)/2)*HI141+(1-EXP(-LN(2)/2))/(LN(2)/2)*HC142*HF142*VLOOKUP('Données projet'!$B$18,Paramètres!$A$1:$I$89,3,0)*0.475*44/12</f>
        <v>0</v>
      </c>
      <c r="HJ142" s="24">
        <f t="shared" si="138"/>
        <v>0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135.66666666666666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281.30976028108972</v>
      </c>
      <c r="S143" s="62">
        <f ca="1">AVERAGE(OFFSET($R$3,0,0,'Données projet'!$E$9+1,1))-AVERAGE(OFFSET($H$3,0,0,'Données projet'!$E$9+1,1))</f>
        <v>437.94016462147999</v>
      </c>
      <c r="T143" s="62">
        <f t="shared" si="142"/>
        <v>281.88254003380348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2.2727305427155947E-16</v>
      </c>
      <c r="AC143" s="24">
        <f t="shared" si="111"/>
        <v>2.2727305427155947E-16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1.0286385077051818E-13</v>
      </c>
      <c r="AK143" s="14">
        <f t="shared" si="143"/>
        <v>1.5402366592183556E-12</v>
      </c>
      <c r="AL143" s="22">
        <f t="shared" si="112"/>
        <v>2.8617333882306215E-12</v>
      </c>
      <c r="AM143" s="62">
        <f t="shared" si="113"/>
        <v>281.30976028109058</v>
      </c>
      <c r="AN143" s="62">
        <f ca="1">AVERAGE(OFFSET($AM$3,0,0,'Données projet'!$E$10+1,1))-AVERAGE(OFFSET($H$3,0,0,'Données projet'!$E$10+1,1))</f>
        <v>434.56763649859136</v>
      </c>
      <c r="AO143" s="62">
        <f t="shared" si="144"/>
        <v>271.90302066766264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6.7984728957526396E-14</v>
      </c>
      <c r="BF143" s="14">
        <f t="shared" si="145"/>
        <v>1.0682447123141398E-12</v>
      </c>
      <c r="BG143" s="22">
        <f t="shared" si="115"/>
        <v>1.978932943548152E-12</v>
      </c>
      <c r="BH143" s="62">
        <f t="shared" si="116"/>
        <v>281.30976028108972</v>
      </c>
      <c r="BI143" s="62">
        <f ca="1">AVERAGE(OFFSET($BH$3,0,0,'Données projet'!$E$11+1,1))-AVERAGE(OFFSET($H$3,0,0,'Données projet'!$E$11+1,1))</f>
        <v>199.65420589615553</v>
      </c>
      <c r="BJ143" s="62">
        <f t="shared" si="146"/>
        <v>477.85821088970999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6.0366945618190764</v>
      </c>
      <c r="BQ143" s="23">
        <f>EXP(-LN(2)/25)*BQ142+(1-EXP(-LN(2)/25))/(LN(2)/25)*Calculateur!BL143*Calculateur!BN143*VLOOKUP('Données projet'!$B$11,Paramètres!$A$1:$I$89,3,0)*0.475*44/12</f>
        <v>2.0816858295393308</v>
      </c>
      <c r="BR143" s="23">
        <f>EXP(-LN(2)/2)*BR142+(1-EXP(-LN(2)/2))/(LN(2)/2)*BL143*BO143*VLOOKUP('Données projet'!$B$11,Paramètres!$A$1:$I$89,3,0)*0.475*44/12</f>
        <v>1.2092378431058007E-15</v>
      </c>
      <c r="BS143" s="24">
        <f t="shared" si="117"/>
        <v>8.1183803913584089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1.1368683772161603E-13</v>
      </c>
      <c r="BZ143" s="14">
        <f>BY143*VLOOKUP('Données projet'!$B$12,Paramètres!$A$1:$I$89,3,0)*VLOOKUP('Données projet'!$B$12,Paramètres!$A$1:$I$89,5,0)</f>
        <v>6.7984728957526396E-14</v>
      </c>
      <c r="CA143" s="14">
        <f t="shared" si="147"/>
        <v>1.0682447123141398E-12</v>
      </c>
      <c r="CB143" s="22">
        <f t="shared" si="118"/>
        <v>1.978932943548152E-12</v>
      </c>
      <c r="CC143" s="62">
        <f t="shared" si="119"/>
        <v>281.30976028108972</v>
      </c>
      <c r="CD143" s="62">
        <f ca="1">AVERAGE(OFFSET($CC$3,0,0,'Données projet'!$E$12+1,1))-AVERAGE(OFFSET($H$3,0,0,'Données projet'!$E$12+1,1))</f>
        <v>437.94016462147999</v>
      </c>
      <c r="CE143" s="62">
        <f t="shared" si="148"/>
        <v>281.88254003380348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2.2727305427155947E-16</v>
      </c>
      <c r="CN143" s="24">
        <f t="shared" si="120"/>
        <v>2.2727305427155947E-16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1.1368683772161603E-13</v>
      </c>
      <c r="CU143" s="18">
        <f>CT143*VLOOKUP('Données projet'!$B$13,Paramètres!$A$1:$I$89,3,0)*VLOOKUP('Données projet'!$B$13,Paramètres!$A$1:$I$89,5,0)</f>
        <v>1.2946657079737634E-13</v>
      </c>
      <c r="CV143" s="14">
        <f t="shared" si="149"/>
        <v>1.8873591890224769E-12</v>
      </c>
      <c r="CW143" s="22">
        <f t="shared" si="121"/>
        <v>3.5126381983529106E-12</v>
      </c>
      <c r="CX143" s="62">
        <f t="shared" si="122"/>
        <v>281.30976028109126</v>
      </c>
      <c r="CY143" s="62">
        <f ca="1">AVERAGE(OFFSET($CX$3,0,0,'Données projet'!$E$13+1,1))-AVERAGE(OFFSET($H$3,0,0,'Données projet'!$E$13+1,1))</f>
        <v>520.23742527061836</v>
      </c>
      <c r="CZ143" s="62">
        <f t="shared" si="150"/>
        <v>321.35925479331274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>
        <f>DO143*VLOOKUP('Données projet'!$B$14,Paramètres!$A$1:$I$89,3,0)*VLOOKUP('Données projet'!$B$14,Paramètres!$A$1:$I$89,5,0)</f>
        <v>0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547.89540791313675</v>
      </c>
      <c r="DU143" s="62">
        <f t="shared" si="152"/>
        <v>345.19555189302378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5.6843418860808015E-14</v>
      </c>
      <c r="EK143" s="18">
        <f>EJ143*VLOOKUP('Données projet'!$B$15,Paramètres!$A$1:$I$89,3,0)*VLOOKUP('Données projet'!$B$15,Paramètres!$A$1:$I$89,5,0)</f>
        <v>5.9412741393316544E-14</v>
      </c>
      <c r="EL143" s="14">
        <f t="shared" si="153"/>
        <v>9.483138037075782E-13</v>
      </c>
      <c r="EM143" s="22">
        <f t="shared" si="127"/>
        <v>1.7551237327173916E-12</v>
      </c>
      <c r="EN143" s="62">
        <f t="shared" si="128"/>
        <v>281.3097602810895</v>
      </c>
      <c r="EO143" s="62">
        <f ca="1">AVERAGE(OFFSET($EN$3,0,0,'Données projet'!$E$15+1,1))-AVERAGE(OFFSET($H$3,0,0,'Données projet'!$E$15+1,1))</f>
        <v>418.23737352070503</v>
      </c>
      <c r="EP143" s="62">
        <f t="shared" si="154"/>
        <v>496.10742685332968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1.1368683772161603E-13</v>
      </c>
      <c r="FF143" s="18">
        <f>FE143*VLOOKUP('Données projet'!$B$16,Paramètres!$A$1:$I$89,3,0)*VLOOKUP('Données projet'!$B$16,Paramètres!$A$1:$I$89,5,0)</f>
        <v>6.7984728957526396E-14</v>
      </c>
      <c r="FG143" s="14">
        <f t="shared" si="155"/>
        <v>1.0682447123141398E-12</v>
      </c>
      <c r="FH143" s="22">
        <f t="shared" si="130"/>
        <v>1.978932943548152E-12</v>
      </c>
      <c r="FI143" s="62">
        <f t="shared" si="131"/>
        <v>281.30976028108972</v>
      </c>
      <c r="FJ143" s="62">
        <f ca="1">AVERAGE(OFFSET($FI$3,0,0,'Données projet'!$E$16+1,1))-AVERAGE(OFFSET($H$3,0,0,'Données projet'!$E$16+1,1))</f>
        <v>341.70983624543067</v>
      </c>
      <c r="FK143" s="62">
        <f t="shared" si="156"/>
        <v>250.82562837973805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3.4396668439923583E-16</v>
      </c>
      <c r="FT143" s="24">
        <f t="shared" si="132"/>
        <v>3.4396668439923583E-16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-2.2737367544323206E-13</v>
      </c>
      <c r="GA143" s="18">
        <f>FZ143*VLOOKUP('Données projet'!$B$17,Paramètres!$A$1:$I$89,3,0)*VLOOKUP('Données projet'!$B$17,Paramètres!$A$1:$I$89,5,0)</f>
        <v>-1.064108801074326E-13</v>
      </c>
      <c r="GB143" s="14" t="e">
        <f t="shared" si="157"/>
        <v>#NUM!</v>
      </c>
      <c r="GC143" s="22" t="e">
        <f t="shared" si="133"/>
        <v>#NUM!</v>
      </c>
      <c r="GD143" s="62" t="e">
        <f t="shared" si="134"/>
        <v>#NUM!</v>
      </c>
      <c r="GE143" s="62">
        <f ca="1">AVERAGE(OFFSET($GD$3,0,0,'Données projet'!$E$17+1,1))-AVERAGE(OFFSET($H$3,0,0,'Données projet'!$E$17+1,1))</f>
        <v>368.69628434154333</v>
      </c>
      <c r="GF143" s="62">
        <f t="shared" si="158"/>
        <v>202.28197295839524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-1.1368683772161603E-13</v>
      </c>
      <c r="GV143" s="18">
        <f>GU143*VLOOKUP('Données projet'!$B$18,Paramètres!$A$1:$I$89,3,0)*VLOOKUP('Données projet'!$B$18,Paramètres!$A$1:$I$89,5,0)</f>
        <v>-9.9316821433603781E-14</v>
      </c>
      <c r="GW143" s="14" t="e">
        <f t="shared" si="159"/>
        <v>#NUM!</v>
      </c>
      <c r="GX143" s="22" t="e">
        <f t="shared" si="136"/>
        <v>#NUM!</v>
      </c>
      <c r="GY143" s="62" t="e">
        <f t="shared" si="137"/>
        <v>#NUM!</v>
      </c>
      <c r="GZ143" s="62">
        <f ca="1">AVERAGE(OFFSET($GY$3,0,0,'Données projet'!$E$18+1,1))-AVERAGE(OFFSET($H$3,0,0,'Données projet'!$E$18+1,1))</f>
        <v>378.51861272969165</v>
      </c>
      <c r="HA143" s="62">
        <f t="shared" si="160"/>
        <v>387.42368617035459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0</v>
      </c>
      <c r="HH143" s="23">
        <f>EXP(-LN(2)/25)*HH142+(1-EXP(-LN(2)/25))/(LN(2)/25)*Calculateur!HC143*Calculateur!HE143*VLOOKUP('Données projet'!$B$18,Paramètres!$A$1:$I$89,3,0)*0.475*44/12</f>
        <v>0</v>
      </c>
      <c r="HI143" s="23">
        <f>EXP(-LN(2)/2)*HI142+(1-EXP(-LN(2)/2))/(LN(2)/2)*HC143*HF143*VLOOKUP('Données projet'!$B$18,Paramètres!$A$1:$I$89,3,0)*0.475*44/12</f>
        <v>0</v>
      </c>
      <c r="HJ143" s="24">
        <f t="shared" si="138"/>
        <v>0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135.66666666666666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281.51834239286381</v>
      </c>
      <c r="S144" s="62">
        <f ca="1">AVERAGE(OFFSET($R$3,0,0,'Données projet'!$E$9+1,1))-AVERAGE(OFFSET($H$3,0,0,'Données projet'!$E$9+1,1))</f>
        <v>437.94016462147999</v>
      </c>
      <c r="T144" s="62">
        <f t="shared" si="142"/>
        <v>281.88254003380348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1.6070631785639794E-16</v>
      </c>
      <c r="AC144" s="24">
        <f t="shared" si="111"/>
        <v>1.6070631785639794E-16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1.0286385077051818E-13</v>
      </c>
      <c r="AK144" s="14">
        <f t="shared" si="143"/>
        <v>1.5402366592183556E-12</v>
      </c>
      <c r="AL144" s="22">
        <f t="shared" si="112"/>
        <v>2.8617333882306215E-12</v>
      </c>
      <c r="AM144" s="62">
        <f t="shared" si="113"/>
        <v>281.51834239286467</v>
      </c>
      <c r="AN144" s="62">
        <f ca="1">AVERAGE(OFFSET($AM$3,0,0,'Données projet'!$E$10+1,1))-AVERAGE(OFFSET($H$3,0,0,'Données projet'!$E$10+1,1))</f>
        <v>434.56763649859136</v>
      </c>
      <c r="AO144" s="62">
        <f t="shared" si="144"/>
        <v>271.90302066766264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6.7984728957526396E-14</v>
      </c>
      <c r="BF144" s="14">
        <f t="shared" si="145"/>
        <v>1.0682447123141398E-12</v>
      </c>
      <c r="BG144" s="22">
        <f t="shared" si="115"/>
        <v>1.978932943548152E-12</v>
      </c>
      <c r="BH144" s="62">
        <f t="shared" si="116"/>
        <v>281.51834239286381</v>
      </c>
      <c r="BI144" s="62">
        <f ca="1">AVERAGE(OFFSET($BH$3,0,0,'Données projet'!$E$11+1,1))-AVERAGE(OFFSET($H$3,0,0,'Données projet'!$E$11+1,1))</f>
        <v>199.65420589615553</v>
      </c>
      <c r="BJ144" s="62">
        <f t="shared" si="146"/>
        <v>477.85821088970999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5.9183186634819176</v>
      </c>
      <c r="BQ144" s="23">
        <f>EXP(-LN(2)/25)*BQ143+(1-EXP(-LN(2)/25))/(LN(2)/25)*Calculateur!BL144*Calculateur!BN144*VLOOKUP('Données projet'!$B$11,Paramètres!$A$1:$I$89,3,0)*0.475*44/12</f>
        <v>2.0247620210594777</v>
      </c>
      <c r="BR144" s="23">
        <f>EXP(-LN(2)/2)*BR143+(1-EXP(-LN(2)/2))/(LN(2)/2)*BL144*BO144*VLOOKUP('Données projet'!$B$11,Paramètres!$A$1:$I$89,3,0)*0.475*44/12</f>
        <v>8.5506027892750611E-16</v>
      </c>
      <c r="BS144" s="24">
        <f t="shared" si="117"/>
        <v>7.9430806845413962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1.1368683772161603E-13</v>
      </c>
      <c r="BZ144" s="14">
        <f>BY144*VLOOKUP('Données projet'!$B$12,Paramètres!$A$1:$I$89,3,0)*VLOOKUP('Données projet'!$B$12,Paramètres!$A$1:$I$89,5,0)</f>
        <v>6.7984728957526396E-14</v>
      </c>
      <c r="CA144" s="14">
        <f t="shared" si="147"/>
        <v>1.0682447123141398E-12</v>
      </c>
      <c r="CB144" s="22">
        <f t="shared" si="118"/>
        <v>1.978932943548152E-12</v>
      </c>
      <c r="CC144" s="62">
        <f t="shared" si="119"/>
        <v>281.51834239286381</v>
      </c>
      <c r="CD144" s="62">
        <f ca="1">AVERAGE(OFFSET($CC$3,0,0,'Données projet'!$E$12+1,1))-AVERAGE(OFFSET($H$3,0,0,'Données projet'!$E$12+1,1))</f>
        <v>437.94016462147999</v>
      </c>
      <c r="CE144" s="62">
        <f t="shared" si="148"/>
        <v>281.88254003380348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1.6070631785639794E-16</v>
      </c>
      <c r="CN144" s="24">
        <f t="shared" si="120"/>
        <v>1.6070631785639794E-16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1.1368683772161603E-13</v>
      </c>
      <c r="CU144" s="18">
        <f>CT144*VLOOKUP('Données projet'!$B$13,Paramètres!$A$1:$I$89,3,0)*VLOOKUP('Données projet'!$B$13,Paramètres!$A$1:$I$89,5,0)</f>
        <v>1.2946657079737634E-13</v>
      </c>
      <c r="CV144" s="14">
        <f t="shared" si="149"/>
        <v>1.8873591890224769E-12</v>
      </c>
      <c r="CW144" s="22">
        <f t="shared" si="121"/>
        <v>3.5126381983529106E-12</v>
      </c>
      <c r="CX144" s="62">
        <f t="shared" si="122"/>
        <v>281.51834239286535</v>
      </c>
      <c r="CY144" s="62">
        <f ca="1">AVERAGE(OFFSET($CX$3,0,0,'Données projet'!$E$13+1,1))-AVERAGE(OFFSET($H$3,0,0,'Données projet'!$E$13+1,1))</f>
        <v>520.23742527061836</v>
      </c>
      <c r="CZ144" s="62">
        <f t="shared" si="150"/>
        <v>321.35925479331274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>
        <f>DO144*VLOOKUP('Données projet'!$B$14,Paramètres!$A$1:$I$89,3,0)*VLOOKUP('Données projet'!$B$14,Paramètres!$A$1:$I$89,5,0)</f>
        <v>0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547.89540791313675</v>
      </c>
      <c r="DU144" s="62">
        <f t="shared" si="152"/>
        <v>345.19555189302378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5.6843418860808015E-14</v>
      </c>
      <c r="EK144" s="18">
        <f>EJ144*VLOOKUP('Données projet'!$B$15,Paramètres!$A$1:$I$89,3,0)*VLOOKUP('Données projet'!$B$15,Paramètres!$A$1:$I$89,5,0)</f>
        <v>5.9412741393316544E-14</v>
      </c>
      <c r="EL144" s="14">
        <f t="shared" si="153"/>
        <v>9.483138037075782E-13</v>
      </c>
      <c r="EM144" s="22">
        <f t="shared" si="127"/>
        <v>1.7551237327173916E-12</v>
      </c>
      <c r="EN144" s="62">
        <f t="shared" si="128"/>
        <v>281.51834239286359</v>
      </c>
      <c r="EO144" s="62">
        <f ca="1">AVERAGE(OFFSET($EN$3,0,0,'Données projet'!$E$15+1,1))-AVERAGE(OFFSET($H$3,0,0,'Données projet'!$E$15+1,1))</f>
        <v>418.23737352070503</v>
      </c>
      <c r="EP144" s="62">
        <f t="shared" si="154"/>
        <v>496.10742685332968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1.1368683772161603E-13</v>
      </c>
      <c r="FF144" s="18">
        <f>FE144*VLOOKUP('Données projet'!$B$16,Paramètres!$A$1:$I$89,3,0)*VLOOKUP('Données projet'!$B$16,Paramètres!$A$1:$I$89,5,0)</f>
        <v>6.7984728957526396E-14</v>
      </c>
      <c r="FG144" s="14">
        <f t="shared" si="155"/>
        <v>1.0682447123141398E-12</v>
      </c>
      <c r="FH144" s="22">
        <f t="shared" si="130"/>
        <v>1.978932943548152E-12</v>
      </c>
      <c r="FI144" s="62">
        <f t="shared" si="131"/>
        <v>281.51834239286381</v>
      </c>
      <c r="FJ144" s="62">
        <f ca="1">AVERAGE(OFFSET($FI$3,0,0,'Données projet'!$E$16+1,1))-AVERAGE(OFFSET($H$3,0,0,'Données projet'!$E$16+1,1))</f>
        <v>341.70983624543067</v>
      </c>
      <c r="FK144" s="62">
        <f t="shared" si="156"/>
        <v>250.82562837973805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2.432211750409527E-16</v>
      </c>
      <c r="FT144" s="24">
        <f t="shared" si="132"/>
        <v>2.432211750409527E-16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-2.2737367544323206E-13</v>
      </c>
      <c r="GA144" s="18">
        <f>FZ144*VLOOKUP('Données projet'!$B$17,Paramètres!$A$1:$I$89,3,0)*VLOOKUP('Données projet'!$B$17,Paramètres!$A$1:$I$89,5,0)</f>
        <v>-1.064108801074326E-13</v>
      </c>
      <c r="GB144" s="14" t="e">
        <f t="shared" si="157"/>
        <v>#NUM!</v>
      </c>
      <c r="GC144" s="22" t="e">
        <f t="shared" si="133"/>
        <v>#NUM!</v>
      </c>
      <c r="GD144" s="62" t="e">
        <f t="shared" si="134"/>
        <v>#NUM!</v>
      </c>
      <c r="GE144" s="62">
        <f ca="1">AVERAGE(OFFSET($GD$3,0,0,'Données projet'!$E$17+1,1))-AVERAGE(OFFSET($H$3,0,0,'Données projet'!$E$17+1,1))</f>
        <v>368.69628434154333</v>
      </c>
      <c r="GF144" s="62">
        <f t="shared" si="158"/>
        <v>202.28197295839524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-1.1368683772161603E-13</v>
      </c>
      <c r="GV144" s="18">
        <f>GU144*VLOOKUP('Données projet'!$B$18,Paramètres!$A$1:$I$89,3,0)*VLOOKUP('Données projet'!$B$18,Paramètres!$A$1:$I$89,5,0)</f>
        <v>-9.9316821433603781E-14</v>
      </c>
      <c r="GW144" s="14" t="e">
        <f t="shared" si="159"/>
        <v>#NUM!</v>
      </c>
      <c r="GX144" s="22" t="e">
        <f t="shared" si="136"/>
        <v>#NUM!</v>
      </c>
      <c r="GY144" s="62" t="e">
        <f t="shared" si="137"/>
        <v>#NUM!</v>
      </c>
      <c r="GZ144" s="62">
        <f ca="1">AVERAGE(OFFSET($GY$3,0,0,'Données projet'!$E$18+1,1))-AVERAGE(OFFSET($H$3,0,0,'Données projet'!$E$18+1,1))</f>
        <v>378.51861272969165</v>
      </c>
      <c r="HA144" s="62">
        <f t="shared" si="160"/>
        <v>387.42368617035459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0</v>
      </c>
      <c r="HH144" s="23">
        <f>EXP(-LN(2)/25)*HH143+(1-EXP(-LN(2)/25))/(LN(2)/25)*Calculateur!HC144*Calculateur!HE144*VLOOKUP('Données projet'!$B$18,Paramètres!$A$1:$I$89,3,0)*0.475*44/12</f>
        <v>0</v>
      </c>
      <c r="HI144" s="23">
        <f>EXP(-LN(2)/2)*HI143+(1-EXP(-LN(2)/2))/(LN(2)/2)*HC144*HF144*VLOOKUP('Données projet'!$B$18,Paramètres!$A$1:$I$89,3,0)*0.475*44/12</f>
        <v>0</v>
      </c>
      <c r="HJ144" s="24">
        <f t="shared" si="138"/>
        <v>0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135.66666666666666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281.72330607131846</v>
      </c>
      <c r="S145" s="62">
        <f ca="1">AVERAGE(OFFSET($R$3,0,0,'Données projet'!$E$9+1,1))-AVERAGE(OFFSET($H$3,0,0,'Données projet'!$E$9+1,1))</f>
        <v>437.94016462147999</v>
      </c>
      <c r="T145" s="62">
        <f t="shared" si="142"/>
        <v>281.88254003380348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1.1363652713577973E-16</v>
      </c>
      <c r="AC145" s="24">
        <f t="shared" si="111"/>
        <v>1.1363652713577973E-16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1.0286385077051818E-13</v>
      </c>
      <c r="AK145" s="14">
        <f t="shared" si="143"/>
        <v>1.5402366592183556E-12</v>
      </c>
      <c r="AL145" s="22">
        <f t="shared" si="112"/>
        <v>2.8617333882306215E-12</v>
      </c>
      <c r="AM145" s="62">
        <f t="shared" si="113"/>
        <v>281.72330607131931</v>
      </c>
      <c r="AN145" s="62">
        <f ca="1">AVERAGE(OFFSET($AM$3,0,0,'Données projet'!$E$10+1,1))-AVERAGE(OFFSET($H$3,0,0,'Données projet'!$E$10+1,1))</f>
        <v>434.56763649859136</v>
      </c>
      <c r="AO145" s="62">
        <f t="shared" si="144"/>
        <v>271.90302066766264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6.7984728957526396E-14</v>
      </c>
      <c r="BF145" s="14">
        <f t="shared" si="145"/>
        <v>1.0682447123141398E-12</v>
      </c>
      <c r="BG145" s="22">
        <f t="shared" si="115"/>
        <v>1.978932943548152E-12</v>
      </c>
      <c r="BH145" s="62">
        <f t="shared" si="116"/>
        <v>281.72330607131846</v>
      </c>
      <c r="BI145" s="62">
        <f ca="1">AVERAGE(OFFSET($BH$3,0,0,'Données projet'!$E$11+1,1))-AVERAGE(OFFSET($H$3,0,0,'Données projet'!$E$11+1,1))</f>
        <v>199.65420589615553</v>
      </c>
      <c r="BJ145" s="62">
        <f t="shared" si="146"/>
        <v>477.85821088970999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5.8022640443089823</v>
      </c>
      <c r="BQ145" s="23">
        <f>EXP(-LN(2)/25)*BQ144+(1-EXP(-LN(2)/25))/(LN(2)/25)*Calculateur!BL145*Calculateur!BN145*VLOOKUP('Données projet'!$B$11,Paramètres!$A$1:$I$89,3,0)*0.475*44/12</f>
        <v>1.9693947971159993</v>
      </c>
      <c r="BR145" s="23">
        <f>EXP(-LN(2)/2)*BR144+(1-EXP(-LN(2)/2))/(LN(2)/2)*BL145*BO145*VLOOKUP('Données projet'!$B$11,Paramètres!$A$1:$I$89,3,0)*0.475*44/12</f>
        <v>6.0461892155290035E-16</v>
      </c>
      <c r="BS145" s="24">
        <f t="shared" si="117"/>
        <v>7.7716588414249825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1.1368683772161603E-13</v>
      </c>
      <c r="BZ145" s="14">
        <f>BY145*VLOOKUP('Données projet'!$B$12,Paramètres!$A$1:$I$89,3,0)*VLOOKUP('Données projet'!$B$12,Paramètres!$A$1:$I$89,5,0)</f>
        <v>6.7984728957526396E-14</v>
      </c>
      <c r="CA145" s="14">
        <f t="shared" si="147"/>
        <v>1.0682447123141398E-12</v>
      </c>
      <c r="CB145" s="22">
        <f t="shared" si="118"/>
        <v>1.978932943548152E-12</v>
      </c>
      <c r="CC145" s="62">
        <f t="shared" si="119"/>
        <v>281.72330607131846</v>
      </c>
      <c r="CD145" s="62">
        <f ca="1">AVERAGE(OFFSET($CC$3,0,0,'Données projet'!$E$12+1,1))-AVERAGE(OFFSET($H$3,0,0,'Données projet'!$E$12+1,1))</f>
        <v>437.94016462147999</v>
      </c>
      <c r="CE145" s="62">
        <f t="shared" si="148"/>
        <v>281.88254003380348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1.1363652713577973E-16</v>
      </c>
      <c r="CN145" s="24">
        <f t="shared" si="120"/>
        <v>1.1363652713577973E-16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1.1368683772161603E-13</v>
      </c>
      <c r="CU145" s="18">
        <f>CT145*VLOOKUP('Données projet'!$B$13,Paramètres!$A$1:$I$89,3,0)*VLOOKUP('Données projet'!$B$13,Paramètres!$A$1:$I$89,5,0)</f>
        <v>1.2946657079737634E-13</v>
      </c>
      <c r="CV145" s="14">
        <f t="shared" si="149"/>
        <v>1.8873591890224769E-12</v>
      </c>
      <c r="CW145" s="22">
        <f t="shared" si="121"/>
        <v>3.5126381983529106E-12</v>
      </c>
      <c r="CX145" s="62">
        <f t="shared" si="122"/>
        <v>281.72330607132</v>
      </c>
      <c r="CY145" s="62">
        <f ca="1">AVERAGE(OFFSET($CX$3,0,0,'Données projet'!$E$13+1,1))-AVERAGE(OFFSET($H$3,0,0,'Données projet'!$E$13+1,1))</f>
        <v>520.23742527061836</v>
      </c>
      <c r="CZ145" s="62">
        <f t="shared" si="150"/>
        <v>321.35925479331274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>
        <f>DO145*VLOOKUP('Données projet'!$B$14,Paramètres!$A$1:$I$89,3,0)*VLOOKUP('Données projet'!$B$14,Paramètres!$A$1:$I$89,5,0)</f>
        <v>0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547.89540791313675</v>
      </c>
      <c r="DU145" s="62">
        <f t="shared" si="152"/>
        <v>345.19555189302378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5.6843418860808015E-14</v>
      </c>
      <c r="EK145" s="18">
        <f>EJ145*VLOOKUP('Données projet'!$B$15,Paramètres!$A$1:$I$89,3,0)*VLOOKUP('Données projet'!$B$15,Paramètres!$A$1:$I$89,5,0)</f>
        <v>5.9412741393316544E-14</v>
      </c>
      <c r="EL145" s="14">
        <f t="shared" si="153"/>
        <v>9.483138037075782E-13</v>
      </c>
      <c r="EM145" s="22">
        <f t="shared" si="127"/>
        <v>1.7551237327173916E-12</v>
      </c>
      <c r="EN145" s="62">
        <f t="shared" si="128"/>
        <v>281.72330607131823</v>
      </c>
      <c r="EO145" s="62">
        <f ca="1">AVERAGE(OFFSET($EN$3,0,0,'Données projet'!$E$15+1,1))-AVERAGE(OFFSET($H$3,0,0,'Données projet'!$E$15+1,1))</f>
        <v>418.23737352070503</v>
      </c>
      <c r="EP145" s="62">
        <f t="shared" si="154"/>
        <v>496.10742685332968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1.1368683772161603E-13</v>
      </c>
      <c r="FF145" s="18">
        <f>FE145*VLOOKUP('Données projet'!$B$16,Paramètres!$A$1:$I$89,3,0)*VLOOKUP('Données projet'!$B$16,Paramètres!$A$1:$I$89,5,0)</f>
        <v>6.7984728957526396E-14</v>
      </c>
      <c r="FG145" s="14">
        <f t="shared" si="155"/>
        <v>1.0682447123141398E-12</v>
      </c>
      <c r="FH145" s="22">
        <f t="shared" si="130"/>
        <v>1.978932943548152E-12</v>
      </c>
      <c r="FI145" s="62">
        <f t="shared" si="131"/>
        <v>281.72330607131846</v>
      </c>
      <c r="FJ145" s="62">
        <f ca="1">AVERAGE(OFFSET($FI$3,0,0,'Données projet'!$E$16+1,1))-AVERAGE(OFFSET($H$3,0,0,'Données projet'!$E$16+1,1))</f>
        <v>341.70983624543067</v>
      </c>
      <c r="FK145" s="62">
        <f t="shared" si="156"/>
        <v>250.82562837973805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1.7198334219961792E-16</v>
      </c>
      <c r="FT145" s="24">
        <f t="shared" si="132"/>
        <v>1.7198334219961792E-16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-2.2737367544323206E-13</v>
      </c>
      <c r="GA145" s="18">
        <f>FZ145*VLOOKUP('Données projet'!$B$17,Paramètres!$A$1:$I$89,3,0)*VLOOKUP('Données projet'!$B$17,Paramètres!$A$1:$I$89,5,0)</f>
        <v>-1.064108801074326E-13</v>
      </c>
      <c r="GB145" s="14" t="e">
        <f t="shared" si="157"/>
        <v>#NUM!</v>
      </c>
      <c r="GC145" s="22" t="e">
        <f t="shared" si="133"/>
        <v>#NUM!</v>
      </c>
      <c r="GD145" s="62" t="e">
        <f t="shared" si="134"/>
        <v>#NUM!</v>
      </c>
      <c r="GE145" s="62">
        <f ca="1">AVERAGE(OFFSET($GD$3,0,0,'Données projet'!$E$17+1,1))-AVERAGE(OFFSET($H$3,0,0,'Données projet'!$E$17+1,1))</f>
        <v>368.69628434154333</v>
      </c>
      <c r="GF145" s="62">
        <f t="shared" si="158"/>
        <v>202.28197295839524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-1.1368683772161603E-13</v>
      </c>
      <c r="GV145" s="18">
        <f>GU145*VLOOKUP('Données projet'!$B$18,Paramètres!$A$1:$I$89,3,0)*VLOOKUP('Données projet'!$B$18,Paramètres!$A$1:$I$89,5,0)</f>
        <v>-9.9316821433603781E-14</v>
      </c>
      <c r="GW145" s="14" t="e">
        <f t="shared" si="159"/>
        <v>#NUM!</v>
      </c>
      <c r="GX145" s="22" t="e">
        <f t="shared" si="136"/>
        <v>#NUM!</v>
      </c>
      <c r="GY145" s="62" t="e">
        <f t="shared" si="137"/>
        <v>#NUM!</v>
      </c>
      <c r="GZ145" s="62">
        <f ca="1">AVERAGE(OFFSET($GY$3,0,0,'Données projet'!$E$18+1,1))-AVERAGE(OFFSET($H$3,0,0,'Données projet'!$E$18+1,1))</f>
        <v>378.51861272969165</v>
      </c>
      <c r="HA145" s="62">
        <f t="shared" si="160"/>
        <v>387.42368617035459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0</v>
      </c>
      <c r="HH145" s="23">
        <f>EXP(-LN(2)/25)*HH144+(1-EXP(-LN(2)/25))/(LN(2)/25)*Calculateur!HC145*Calculateur!HE145*VLOOKUP('Données projet'!$B$18,Paramètres!$A$1:$I$89,3,0)*0.475*44/12</f>
        <v>0</v>
      </c>
      <c r="HI145" s="23">
        <f>EXP(-LN(2)/2)*HI144+(1-EXP(-LN(2)/2))/(LN(2)/2)*HC145*HF145*VLOOKUP('Données projet'!$B$18,Paramètres!$A$1:$I$89,3,0)*0.475*44/12</f>
        <v>0</v>
      </c>
      <c r="HJ145" s="24">
        <f t="shared" si="138"/>
        <v>0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135.66666666666666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281.92471408818199</v>
      </c>
      <c r="S146" s="62">
        <f ca="1">AVERAGE(OFFSET($R$3,0,0,'Données projet'!$E$9+1,1))-AVERAGE(OFFSET($H$3,0,0,'Données projet'!$E$9+1,1))</f>
        <v>437.94016462147999</v>
      </c>
      <c r="T146" s="62">
        <f t="shared" si="142"/>
        <v>281.88254003380348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8.035315892819897E-17</v>
      </c>
      <c r="AC146" s="24">
        <f t="shared" si="111"/>
        <v>8.035315892819897E-17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1.0286385077051818E-13</v>
      </c>
      <c r="AK146" s="14">
        <f t="shared" si="143"/>
        <v>1.5402366592183556E-12</v>
      </c>
      <c r="AL146" s="22">
        <f t="shared" si="112"/>
        <v>2.8617333882306215E-12</v>
      </c>
      <c r="AM146" s="62">
        <f t="shared" si="113"/>
        <v>281.92471408818284</v>
      </c>
      <c r="AN146" s="62">
        <f ca="1">AVERAGE(OFFSET($AM$3,0,0,'Données projet'!$E$10+1,1))-AVERAGE(OFFSET($H$3,0,0,'Données projet'!$E$10+1,1))</f>
        <v>434.56763649859136</v>
      </c>
      <c r="AO146" s="62">
        <f t="shared" si="144"/>
        <v>271.90302066766264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6.7984728957526396E-14</v>
      </c>
      <c r="BF146" s="14">
        <f t="shared" si="145"/>
        <v>1.0682447123141398E-12</v>
      </c>
      <c r="BG146" s="22">
        <f t="shared" si="115"/>
        <v>1.978932943548152E-12</v>
      </c>
      <c r="BH146" s="62">
        <f t="shared" si="116"/>
        <v>281.92471408818199</v>
      </c>
      <c r="BI146" s="62">
        <f ca="1">AVERAGE(OFFSET($BH$3,0,0,'Données projet'!$E$11+1,1))-AVERAGE(OFFSET($H$3,0,0,'Données projet'!$E$11+1,1))</f>
        <v>199.65420589615553</v>
      </c>
      <c r="BJ146" s="62">
        <f t="shared" si="146"/>
        <v>477.85821088970999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5.6884851854317002</v>
      </c>
      <c r="BQ146" s="23">
        <f>EXP(-LN(2)/25)*BQ145+(1-EXP(-LN(2)/25))/(LN(2)/25)*Calculateur!BL146*Calculateur!BN146*VLOOKUP('Données projet'!$B$11,Paramètres!$A$1:$I$89,3,0)*0.475*44/12</f>
        <v>1.9155415928228909</v>
      </c>
      <c r="BR146" s="23">
        <f>EXP(-LN(2)/2)*BR145+(1-EXP(-LN(2)/2))/(LN(2)/2)*BL146*BO146*VLOOKUP('Données projet'!$B$11,Paramètres!$A$1:$I$89,3,0)*0.475*44/12</f>
        <v>4.2753013946375306E-16</v>
      </c>
      <c r="BS146" s="24">
        <f t="shared" si="117"/>
        <v>7.6040267782545907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1.1368683772161603E-13</v>
      </c>
      <c r="BZ146" s="14">
        <f>BY146*VLOOKUP('Données projet'!$B$12,Paramètres!$A$1:$I$89,3,0)*VLOOKUP('Données projet'!$B$12,Paramètres!$A$1:$I$89,5,0)</f>
        <v>6.7984728957526396E-14</v>
      </c>
      <c r="CA146" s="14">
        <f t="shared" si="147"/>
        <v>1.0682447123141398E-12</v>
      </c>
      <c r="CB146" s="22">
        <f t="shared" si="118"/>
        <v>1.978932943548152E-12</v>
      </c>
      <c r="CC146" s="62">
        <f t="shared" si="119"/>
        <v>281.92471408818199</v>
      </c>
      <c r="CD146" s="62">
        <f ca="1">AVERAGE(OFFSET($CC$3,0,0,'Données projet'!$E$12+1,1))-AVERAGE(OFFSET($H$3,0,0,'Données projet'!$E$12+1,1))</f>
        <v>437.94016462147999</v>
      </c>
      <c r="CE146" s="62">
        <f t="shared" si="148"/>
        <v>281.88254003380348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8.035315892819897E-17</v>
      </c>
      <c r="CN146" s="24">
        <f t="shared" si="120"/>
        <v>8.035315892819897E-17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1.1368683772161603E-13</v>
      </c>
      <c r="CU146" s="18">
        <f>CT146*VLOOKUP('Données projet'!$B$13,Paramètres!$A$1:$I$89,3,0)*VLOOKUP('Données projet'!$B$13,Paramètres!$A$1:$I$89,5,0)</f>
        <v>1.2946657079737634E-13</v>
      </c>
      <c r="CV146" s="14">
        <f t="shared" si="149"/>
        <v>1.8873591890224769E-12</v>
      </c>
      <c r="CW146" s="22">
        <f t="shared" si="121"/>
        <v>3.5126381983529106E-12</v>
      </c>
      <c r="CX146" s="62">
        <f t="shared" si="122"/>
        <v>281.92471408818352</v>
      </c>
      <c r="CY146" s="62">
        <f ca="1">AVERAGE(OFFSET($CX$3,0,0,'Données projet'!$E$13+1,1))-AVERAGE(OFFSET($H$3,0,0,'Données projet'!$E$13+1,1))</f>
        <v>520.23742527061836</v>
      </c>
      <c r="CZ146" s="62">
        <f t="shared" si="150"/>
        <v>321.35925479331274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>
        <f>DO146*VLOOKUP('Données projet'!$B$14,Paramètres!$A$1:$I$89,3,0)*VLOOKUP('Données projet'!$B$14,Paramètres!$A$1:$I$89,5,0)</f>
        <v>0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547.89540791313675</v>
      </c>
      <c r="DU146" s="62">
        <f t="shared" si="152"/>
        <v>345.19555189302378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5.6843418860808015E-14</v>
      </c>
      <c r="EK146" s="18">
        <f>EJ146*VLOOKUP('Données projet'!$B$15,Paramètres!$A$1:$I$89,3,0)*VLOOKUP('Données projet'!$B$15,Paramètres!$A$1:$I$89,5,0)</f>
        <v>5.9412741393316544E-14</v>
      </c>
      <c r="EL146" s="14">
        <f t="shared" si="153"/>
        <v>9.483138037075782E-13</v>
      </c>
      <c r="EM146" s="22">
        <f t="shared" si="127"/>
        <v>1.7551237327173916E-12</v>
      </c>
      <c r="EN146" s="62">
        <f t="shared" si="128"/>
        <v>281.92471408818176</v>
      </c>
      <c r="EO146" s="62">
        <f ca="1">AVERAGE(OFFSET($EN$3,0,0,'Données projet'!$E$15+1,1))-AVERAGE(OFFSET($H$3,0,0,'Données projet'!$E$15+1,1))</f>
        <v>418.23737352070503</v>
      </c>
      <c r="EP146" s="62">
        <f t="shared" si="154"/>
        <v>496.10742685332968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1.1368683772161603E-13</v>
      </c>
      <c r="FF146" s="18">
        <f>FE146*VLOOKUP('Données projet'!$B$16,Paramètres!$A$1:$I$89,3,0)*VLOOKUP('Données projet'!$B$16,Paramètres!$A$1:$I$89,5,0)</f>
        <v>6.7984728957526396E-14</v>
      </c>
      <c r="FG146" s="14">
        <f t="shared" si="155"/>
        <v>1.0682447123141398E-12</v>
      </c>
      <c r="FH146" s="22">
        <f t="shared" si="130"/>
        <v>1.978932943548152E-12</v>
      </c>
      <c r="FI146" s="62">
        <f t="shared" si="131"/>
        <v>281.92471408818199</v>
      </c>
      <c r="FJ146" s="62">
        <f ca="1">AVERAGE(OFFSET($FI$3,0,0,'Données projet'!$E$16+1,1))-AVERAGE(OFFSET($H$3,0,0,'Données projet'!$E$16+1,1))</f>
        <v>341.70983624543067</v>
      </c>
      <c r="FK146" s="62">
        <f t="shared" si="156"/>
        <v>250.82562837973805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1.2161058752047635E-16</v>
      </c>
      <c r="FT146" s="24">
        <f t="shared" si="132"/>
        <v>1.2161058752047635E-16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-2.2737367544323206E-13</v>
      </c>
      <c r="GA146" s="18">
        <f>FZ146*VLOOKUP('Données projet'!$B$17,Paramètres!$A$1:$I$89,3,0)*VLOOKUP('Données projet'!$B$17,Paramètres!$A$1:$I$89,5,0)</f>
        <v>-1.064108801074326E-13</v>
      </c>
      <c r="GB146" s="14" t="e">
        <f t="shared" si="157"/>
        <v>#NUM!</v>
      </c>
      <c r="GC146" s="22" t="e">
        <f t="shared" si="133"/>
        <v>#NUM!</v>
      </c>
      <c r="GD146" s="62" t="e">
        <f t="shared" si="134"/>
        <v>#NUM!</v>
      </c>
      <c r="GE146" s="62">
        <f ca="1">AVERAGE(OFFSET($GD$3,0,0,'Données projet'!$E$17+1,1))-AVERAGE(OFFSET($H$3,0,0,'Données projet'!$E$17+1,1))</f>
        <v>368.69628434154333</v>
      </c>
      <c r="GF146" s="62">
        <f t="shared" si="158"/>
        <v>202.28197295839524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-1.1368683772161603E-13</v>
      </c>
      <c r="GV146" s="18">
        <f>GU146*VLOOKUP('Données projet'!$B$18,Paramètres!$A$1:$I$89,3,0)*VLOOKUP('Données projet'!$B$18,Paramètres!$A$1:$I$89,5,0)</f>
        <v>-9.9316821433603781E-14</v>
      </c>
      <c r="GW146" s="14" t="e">
        <f t="shared" si="159"/>
        <v>#NUM!</v>
      </c>
      <c r="GX146" s="22" t="e">
        <f t="shared" si="136"/>
        <v>#NUM!</v>
      </c>
      <c r="GY146" s="62" t="e">
        <f t="shared" si="137"/>
        <v>#NUM!</v>
      </c>
      <c r="GZ146" s="62">
        <f ca="1">AVERAGE(OFFSET($GY$3,0,0,'Données projet'!$E$18+1,1))-AVERAGE(OFFSET($H$3,0,0,'Données projet'!$E$18+1,1))</f>
        <v>378.51861272969165</v>
      </c>
      <c r="HA146" s="62">
        <f t="shared" si="160"/>
        <v>387.42368617035459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0</v>
      </c>
      <c r="HH146" s="23">
        <f>EXP(-LN(2)/25)*HH145+(1-EXP(-LN(2)/25))/(LN(2)/25)*Calculateur!HC146*Calculateur!HE146*VLOOKUP('Données projet'!$B$18,Paramètres!$A$1:$I$89,3,0)*0.475*44/12</f>
        <v>0</v>
      </c>
      <c r="HI146" s="23">
        <f>EXP(-LN(2)/2)*HI145+(1-EXP(-LN(2)/2))/(LN(2)/2)*HC146*HF146*VLOOKUP('Données projet'!$B$18,Paramètres!$A$1:$I$89,3,0)*0.475*44/12</f>
        <v>0</v>
      </c>
      <c r="HJ146" s="24">
        <f t="shared" si="138"/>
        <v>0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135.66666666666666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282.12262812623374</v>
      </c>
      <c r="S147" s="62">
        <f ca="1">AVERAGE(OFFSET($R$3,0,0,'Données projet'!$E$9+1,1))-AVERAGE(OFFSET($H$3,0,0,'Données projet'!$E$9+1,1))</f>
        <v>437.94016462147999</v>
      </c>
      <c r="T147" s="62">
        <f t="shared" si="142"/>
        <v>281.88254003380348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5.6818263567889866E-17</v>
      </c>
      <c r="AC147" s="24">
        <f t="shared" si="111"/>
        <v>5.6818263567889866E-17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1.0286385077051818E-13</v>
      </c>
      <c r="AK147" s="14">
        <f t="shared" si="143"/>
        <v>1.5402366592183556E-12</v>
      </c>
      <c r="AL147" s="22">
        <f t="shared" si="112"/>
        <v>2.8617333882306215E-12</v>
      </c>
      <c r="AM147" s="62">
        <f t="shared" si="113"/>
        <v>282.12262812623459</v>
      </c>
      <c r="AN147" s="62">
        <f ca="1">AVERAGE(OFFSET($AM$3,0,0,'Données projet'!$E$10+1,1))-AVERAGE(OFFSET($H$3,0,0,'Données projet'!$E$10+1,1))</f>
        <v>434.56763649859136</v>
      </c>
      <c r="AO147" s="62">
        <f t="shared" si="144"/>
        <v>271.90302066766264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6.7984728957526396E-14</v>
      </c>
      <c r="BF147" s="14">
        <f t="shared" si="145"/>
        <v>1.0682447123141398E-12</v>
      </c>
      <c r="BG147" s="22">
        <f t="shared" si="115"/>
        <v>1.978932943548152E-12</v>
      </c>
      <c r="BH147" s="62">
        <f t="shared" si="116"/>
        <v>282.12262812623374</v>
      </c>
      <c r="BI147" s="62">
        <f ca="1">AVERAGE(OFFSET($BH$3,0,0,'Données projet'!$E$11+1,1))-AVERAGE(OFFSET($H$3,0,0,'Données projet'!$E$11+1,1))</f>
        <v>199.65420589615553</v>
      </c>
      <c r="BJ147" s="62">
        <f t="shared" si="146"/>
        <v>477.85821088970999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5.5769374605787503</v>
      </c>
      <c r="BQ147" s="23">
        <f>EXP(-LN(2)/25)*BQ146+(1-EXP(-LN(2)/25))/(LN(2)/25)*Calculateur!BL147*Calculateur!BN147*VLOOKUP('Données projet'!$B$11,Paramètres!$A$1:$I$89,3,0)*0.475*44/12</f>
        <v>1.8631610072331946</v>
      </c>
      <c r="BR147" s="23">
        <f>EXP(-LN(2)/2)*BR146+(1-EXP(-LN(2)/2))/(LN(2)/2)*BL147*BO147*VLOOKUP('Données projet'!$B$11,Paramètres!$A$1:$I$89,3,0)*0.475*44/12</f>
        <v>3.0230946077645017E-16</v>
      </c>
      <c r="BS147" s="24">
        <f t="shared" si="117"/>
        <v>7.4400984678119446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1.1368683772161603E-13</v>
      </c>
      <c r="BZ147" s="14">
        <f>BY147*VLOOKUP('Données projet'!$B$12,Paramètres!$A$1:$I$89,3,0)*VLOOKUP('Données projet'!$B$12,Paramètres!$A$1:$I$89,5,0)</f>
        <v>6.7984728957526396E-14</v>
      </c>
      <c r="CA147" s="14">
        <f t="shared" si="147"/>
        <v>1.0682447123141398E-12</v>
      </c>
      <c r="CB147" s="22">
        <f t="shared" si="118"/>
        <v>1.978932943548152E-12</v>
      </c>
      <c r="CC147" s="62">
        <f t="shared" si="119"/>
        <v>282.12262812623374</v>
      </c>
      <c r="CD147" s="62">
        <f ca="1">AVERAGE(OFFSET($CC$3,0,0,'Données projet'!$E$12+1,1))-AVERAGE(OFFSET($H$3,0,0,'Données projet'!$E$12+1,1))</f>
        <v>437.94016462147999</v>
      </c>
      <c r="CE147" s="62">
        <f t="shared" si="148"/>
        <v>281.88254003380348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5.6818263567889866E-17</v>
      </c>
      <c r="CN147" s="24">
        <f t="shared" si="120"/>
        <v>5.6818263567889866E-17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1.1368683772161603E-13</v>
      </c>
      <c r="CU147" s="18">
        <f>CT147*VLOOKUP('Données projet'!$B$13,Paramètres!$A$1:$I$89,3,0)*VLOOKUP('Données projet'!$B$13,Paramètres!$A$1:$I$89,5,0)</f>
        <v>1.2946657079737634E-13</v>
      </c>
      <c r="CV147" s="14">
        <f t="shared" si="149"/>
        <v>1.8873591890224769E-12</v>
      </c>
      <c r="CW147" s="22">
        <f t="shared" si="121"/>
        <v>3.5126381983529106E-12</v>
      </c>
      <c r="CX147" s="62">
        <f t="shared" si="122"/>
        <v>282.12262812623527</v>
      </c>
      <c r="CY147" s="62">
        <f ca="1">AVERAGE(OFFSET($CX$3,0,0,'Données projet'!$E$13+1,1))-AVERAGE(OFFSET($H$3,0,0,'Données projet'!$E$13+1,1))</f>
        <v>520.23742527061836</v>
      </c>
      <c r="CZ147" s="62">
        <f t="shared" si="150"/>
        <v>321.35925479331274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>
        <f>DO147*VLOOKUP('Données projet'!$B$14,Paramètres!$A$1:$I$89,3,0)*VLOOKUP('Données projet'!$B$14,Paramètres!$A$1:$I$89,5,0)</f>
        <v>0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547.89540791313675</v>
      </c>
      <c r="DU147" s="62">
        <f t="shared" si="152"/>
        <v>345.19555189302378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5.6843418860808015E-14</v>
      </c>
      <c r="EK147" s="18">
        <f>EJ147*VLOOKUP('Données projet'!$B$15,Paramètres!$A$1:$I$89,3,0)*VLOOKUP('Données projet'!$B$15,Paramètres!$A$1:$I$89,5,0)</f>
        <v>5.9412741393316544E-14</v>
      </c>
      <c r="EL147" s="14">
        <f t="shared" si="153"/>
        <v>9.483138037075782E-13</v>
      </c>
      <c r="EM147" s="22">
        <f t="shared" si="127"/>
        <v>1.7551237327173916E-12</v>
      </c>
      <c r="EN147" s="62">
        <f t="shared" si="128"/>
        <v>282.12262812623351</v>
      </c>
      <c r="EO147" s="62">
        <f ca="1">AVERAGE(OFFSET($EN$3,0,0,'Données projet'!$E$15+1,1))-AVERAGE(OFFSET($H$3,0,0,'Données projet'!$E$15+1,1))</f>
        <v>418.23737352070503</v>
      </c>
      <c r="EP147" s="62">
        <f t="shared" si="154"/>
        <v>496.10742685332968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1.1368683772161603E-13</v>
      </c>
      <c r="FF147" s="18">
        <f>FE147*VLOOKUP('Données projet'!$B$16,Paramètres!$A$1:$I$89,3,0)*VLOOKUP('Données projet'!$B$16,Paramètres!$A$1:$I$89,5,0)</f>
        <v>6.7984728957526396E-14</v>
      </c>
      <c r="FG147" s="14">
        <f t="shared" si="155"/>
        <v>1.0682447123141398E-12</v>
      </c>
      <c r="FH147" s="22">
        <f t="shared" si="130"/>
        <v>1.978932943548152E-12</v>
      </c>
      <c r="FI147" s="62">
        <f t="shared" si="131"/>
        <v>282.12262812623374</v>
      </c>
      <c r="FJ147" s="62">
        <f ca="1">AVERAGE(OFFSET($FI$3,0,0,'Données projet'!$E$16+1,1))-AVERAGE(OFFSET($H$3,0,0,'Données projet'!$E$16+1,1))</f>
        <v>341.70983624543067</v>
      </c>
      <c r="FK147" s="62">
        <f t="shared" si="156"/>
        <v>250.82562837973805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8.5991671099808958E-17</v>
      </c>
      <c r="FT147" s="24">
        <f t="shared" si="132"/>
        <v>8.5991671099808958E-17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-2.2737367544323206E-13</v>
      </c>
      <c r="GA147" s="18">
        <f>FZ147*VLOOKUP('Données projet'!$B$17,Paramètres!$A$1:$I$89,3,0)*VLOOKUP('Données projet'!$B$17,Paramètres!$A$1:$I$89,5,0)</f>
        <v>-1.064108801074326E-13</v>
      </c>
      <c r="GB147" s="14" t="e">
        <f t="shared" si="157"/>
        <v>#NUM!</v>
      </c>
      <c r="GC147" s="22" t="e">
        <f t="shared" si="133"/>
        <v>#NUM!</v>
      </c>
      <c r="GD147" s="62" t="e">
        <f t="shared" si="134"/>
        <v>#NUM!</v>
      </c>
      <c r="GE147" s="62">
        <f ca="1">AVERAGE(OFFSET($GD$3,0,0,'Données projet'!$E$17+1,1))-AVERAGE(OFFSET($H$3,0,0,'Données projet'!$E$17+1,1))</f>
        <v>368.69628434154333</v>
      </c>
      <c r="GF147" s="62">
        <f t="shared" si="158"/>
        <v>202.28197295839524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-1.1368683772161603E-13</v>
      </c>
      <c r="GV147" s="18">
        <f>GU147*VLOOKUP('Données projet'!$B$18,Paramètres!$A$1:$I$89,3,0)*VLOOKUP('Données projet'!$B$18,Paramètres!$A$1:$I$89,5,0)</f>
        <v>-9.9316821433603781E-14</v>
      </c>
      <c r="GW147" s="14" t="e">
        <f t="shared" si="159"/>
        <v>#NUM!</v>
      </c>
      <c r="GX147" s="22" t="e">
        <f t="shared" si="136"/>
        <v>#NUM!</v>
      </c>
      <c r="GY147" s="62" t="e">
        <f t="shared" si="137"/>
        <v>#NUM!</v>
      </c>
      <c r="GZ147" s="62">
        <f ca="1">AVERAGE(OFFSET($GY$3,0,0,'Données projet'!$E$18+1,1))-AVERAGE(OFFSET($H$3,0,0,'Données projet'!$E$18+1,1))</f>
        <v>378.51861272969165</v>
      </c>
      <c r="HA147" s="62">
        <f t="shared" si="160"/>
        <v>387.42368617035459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0</v>
      </c>
      <c r="HH147" s="23">
        <f>EXP(-LN(2)/25)*HH146+(1-EXP(-LN(2)/25))/(LN(2)/25)*Calculateur!HC147*Calculateur!HE147*VLOOKUP('Données projet'!$B$18,Paramètres!$A$1:$I$89,3,0)*0.475*44/12</f>
        <v>0</v>
      </c>
      <c r="HI147" s="23">
        <f>EXP(-LN(2)/2)*HI146+(1-EXP(-LN(2)/2))/(LN(2)/2)*HC147*HF147*VLOOKUP('Données projet'!$B$18,Paramètres!$A$1:$I$89,3,0)*0.475*44/12</f>
        <v>0</v>
      </c>
      <c r="HJ147" s="24">
        <f t="shared" si="138"/>
        <v>0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135.66666666666666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282.31710879819497</v>
      </c>
      <c r="S148" s="62">
        <f ca="1">AVERAGE(OFFSET($R$3,0,0,'Données projet'!$E$9+1,1))-AVERAGE(OFFSET($H$3,0,0,'Données projet'!$E$9+1,1))</f>
        <v>437.94016462147999</v>
      </c>
      <c r="T148" s="62">
        <f t="shared" si="142"/>
        <v>281.88254003380348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4.0176579464099485E-17</v>
      </c>
      <c r="AC148" s="24">
        <f t="shared" si="111"/>
        <v>4.0176579464099485E-17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1.0286385077051818E-13</v>
      </c>
      <c r="AK148" s="14">
        <f t="shared" si="143"/>
        <v>1.5402366592183556E-12</v>
      </c>
      <c r="AL148" s="22">
        <f t="shared" si="112"/>
        <v>2.8617333882306215E-12</v>
      </c>
      <c r="AM148" s="62">
        <f t="shared" si="113"/>
        <v>282.31710879819582</v>
      </c>
      <c r="AN148" s="62">
        <f ca="1">AVERAGE(OFFSET($AM$3,0,0,'Données projet'!$E$10+1,1))-AVERAGE(OFFSET($H$3,0,0,'Données projet'!$E$10+1,1))</f>
        <v>434.56763649859136</v>
      </c>
      <c r="AO148" s="62">
        <f t="shared" si="144"/>
        <v>271.90302066766264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6.7984728957526396E-14</v>
      </c>
      <c r="BF148" s="14">
        <f t="shared" si="145"/>
        <v>1.0682447123141398E-12</v>
      </c>
      <c r="BG148" s="22">
        <f t="shared" si="115"/>
        <v>1.978932943548152E-12</v>
      </c>
      <c r="BH148" s="62">
        <f t="shared" si="116"/>
        <v>282.31710879819497</v>
      </c>
      <c r="BI148" s="62">
        <f ca="1">AVERAGE(OFFSET($BH$3,0,0,'Données projet'!$E$11+1,1))-AVERAGE(OFFSET($H$3,0,0,'Données projet'!$E$11+1,1))</f>
        <v>199.65420589615553</v>
      </c>
      <c r="BJ148" s="62">
        <f t="shared" si="146"/>
        <v>477.85821088970999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5.4675771185727724</v>
      </c>
      <c r="BQ148" s="23">
        <f>EXP(-LN(2)/25)*BQ147+(1-EXP(-LN(2)/25))/(LN(2)/25)*Calculateur!BL148*Calculateur!BN148*VLOOKUP('Données projet'!$B$11,Paramètres!$A$1:$I$89,3,0)*0.475*44/12</f>
        <v>1.8122127715110239</v>
      </c>
      <c r="BR148" s="23">
        <f>EXP(-LN(2)/2)*BR147+(1-EXP(-LN(2)/2))/(LN(2)/2)*BL148*BO148*VLOOKUP('Données projet'!$B$11,Paramètres!$A$1:$I$89,3,0)*0.475*44/12</f>
        <v>2.1376506973187653E-16</v>
      </c>
      <c r="BS148" s="24">
        <f t="shared" si="117"/>
        <v>7.2797898900837961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1.1368683772161603E-13</v>
      </c>
      <c r="BZ148" s="14">
        <f>BY148*VLOOKUP('Données projet'!$B$12,Paramètres!$A$1:$I$89,3,0)*VLOOKUP('Données projet'!$B$12,Paramètres!$A$1:$I$89,5,0)</f>
        <v>6.7984728957526396E-14</v>
      </c>
      <c r="CA148" s="14">
        <f t="shared" si="147"/>
        <v>1.0682447123141398E-12</v>
      </c>
      <c r="CB148" s="22">
        <f t="shared" si="118"/>
        <v>1.978932943548152E-12</v>
      </c>
      <c r="CC148" s="62">
        <f t="shared" si="119"/>
        <v>282.31710879819497</v>
      </c>
      <c r="CD148" s="62">
        <f ca="1">AVERAGE(OFFSET($CC$3,0,0,'Données projet'!$E$12+1,1))-AVERAGE(OFFSET($H$3,0,0,'Données projet'!$E$12+1,1))</f>
        <v>437.94016462147999</v>
      </c>
      <c r="CE148" s="62">
        <f t="shared" si="148"/>
        <v>281.88254003380348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4.0176579464099485E-17</v>
      </c>
      <c r="CN148" s="24">
        <f t="shared" si="120"/>
        <v>4.0176579464099485E-17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1.1368683772161603E-13</v>
      </c>
      <c r="CU148" s="18">
        <f>CT148*VLOOKUP('Données projet'!$B$13,Paramètres!$A$1:$I$89,3,0)*VLOOKUP('Données projet'!$B$13,Paramètres!$A$1:$I$89,5,0)</f>
        <v>1.2946657079737634E-13</v>
      </c>
      <c r="CV148" s="14">
        <f t="shared" si="149"/>
        <v>1.8873591890224769E-12</v>
      </c>
      <c r="CW148" s="22">
        <f t="shared" si="121"/>
        <v>3.5126381983529106E-12</v>
      </c>
      <c r="CX148" s="62">
        <f t="shared" si="122"/>
        <v>282.3171087981965</v>
      </c>
      <c r="CY148" s="62">
        <f ca="1">AVERAGE(OFFSET($CX$3,0,0,'Données projet'!$E$13+1,1))-AVERAGE(OFFSET($H$3,0,0,'Données projet'!$E$13+1,1))</f>
        <v>520.23742527061836</v>
      </c>
      <c r="CZ148" s="62">
        <f t="shared" si="150"/>
        <v>321.35925479331274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>
        <f>DO148*VLOOKUP('Données projet'!$B$14,Paramètres!$A$1:$I$89,3,0)*VLOOKUP('Données projet'!$B$14,Paramètres!$A$1:$I$89,5,0)</f>
        <v>0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547.89540791313675</v>
      </c>
      <c r="DU148" s="62">
        <f t="shared" si="152"/>
        <v>345.19555189302378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5.6843418860808015E-14</v>
      </c>
      <c r="EK148" s="18">
        <f>EJ148*VLOOKUP('Données projet'!$B$15,Paramètres!$A$1:$I$89,3,0)*VLOOKUP('Données projet'!$B$15,Paramètres!$A$1:$I$89,5,0)</f>
        <v>5.9412741393316544E-14</v>
      </c>
      <c r="EL148" s="14">
        <f t="shared" si="153"/>
        <v>9.483138037075782E-13</v>
      </c>
      <c r="EM148" s="22">
        <f t="shared" si="127"/>
        <v>1.7551237327173916E-12</v>
      </c>
      <c r="EN148" s="62">
        <f t="shared" si="128"/>
        <v>282.31710879819474</v>
      </c>
      <c r="EO148" s="62">
        <f ca="1">AVERAGE(OFFSET($EN$3,0,0,'Données projet'!$E$15+1,1))-AVERAGE(OFFSET($H$3,0,0,'Données projet'!$E$15+1,1))</f>
        <v>418.23737352070503</v>
      </c>
      <c r="EP148" s="62">
        <f t="shared" si="154"/>
        <v>496.10742685332968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1.1368683772161603E-13</v>
      </c>
      <c r="FF148" s="18">
        <f>FE148*VLOOKUP('Données projet'!$B$16,Paramètres!$A$1:$I$89,3,0)*VLOOKUP('Données projet'!$B$16,Paramètres!$A$1:$I$89,5,0)</f>
        <v>6.7984728957526396E-14</v>
      </c>
      <c r="FG148" s="14">
        <f t="shared" si="155"/>
        <v>1.0682447123141398E-12</v>
      </c>
      <c r="FH148" s="22">
        <f t="shared" si="130"/>
        <v>1.978932943548152E-12</v>
      </c>
      <c r="FI148" s="62">
        <f t="shared" si="131"/>
        <v>282.31710879819497</v>
      </c>
      <c r="FJ148" s="62">
        <f ca="1">AVERAGE(OFFSET($FI$3,0,0,'Données projet'!$E$16+1,1))-AVERAGE(OFFSET($H$3,0,0,'Données projet'!$E$16+1,1))</f>
        <v>341.70983624543067</v>
      </c>
      <c r="FK148" s="62">
        <f t="shared" si="156"/>
        <v>250.82562837973805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6.0805293760238175E-17</v>
      </c>
      <c r="FT148" s="24">
        <f t="shared" si="132"/>
        <v>6.0805293760238175E-17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-2.2737367544323206E-13</v>
      </c>
      <c r="GA148" s="18">
        <f>FZ148*VLOOKUP('Données projet'!$B$17,Paramètres!$A$1:$I$89,3,0)*VLOOKUP('Données projet'!$B$17,Paramètres!$A$1:$I$89,5,0)</f>
        <v>-1.064108801074326E-13</v>
      </c>
      <c r="GB148" s="14" t="e">
        <f t="shared" si="157"/>
        <v>#NUM!</v>
      </c>
      <c r="GC148" s="22" t="e">
        <f t="shared" si="133"/>
        <v>#NUM!</v>
      </c>
      <c r="GD148" s="62" t="e">
        <f t="shared" si="134"/>
        <v>#NUM!</v>
      </c>
      <c r="GE148" s="62">
        <f ca="1">AVERAGE(OFFSET($GD$3,0,0,'Données projet'!$E$17+1,1))-AVERAGE(OFFSET($H$3,0,0,'Données projet'!$E$17+1,1))</f>
        <v>368.69628434154333</v>
      </c>
      <c r="GF148" s="62">
        <f t="shared" si="158"/>
        <v>202.28197295839524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-1.1368683772161603E-13</v>
      </c>
      <c r="GV148" s="18">
        <f>GU148*VLOOKUP('Données projet'!$B$18,Paramètres!$A$1:$I$89,3,0)*VLOOKUP('Données projet'!$B$18,Paramètres!$A$1:$I$89,5,0)</f>
        <v>-9.9316821433603781E-14</v>
      </c>
      <c r="GW148" s="14" t="e">
        <f t="shared" si="159"/>
        <v>#NUM!</v>
      </c>
      <c r="GX148" s="22" t="e">
        <f t="shared" si="136"/>
        <v>#NUM!</v>
      </c>
      <c r="GY148" s="62" t="e">
        <f t="shared" si="137"/>
        <v>#NUM!</v>
      </c>
      <c r="GZ148" s="62">
        <f ca="1">AVERAGE(OFFSET($GY$3,0,0,'Données projet'!$E$18+1,1))-AVERAGE(OFFSET($H$3,0,0,'Données projet'!$E$18+1,1))</f>
        <v>378.51861272969165</v>
      </c>
      <c r="HA148" s="62">
        <f t="shared" si="160"/>
        <v>387.42368617035459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0</v>
      </c>
      <c r="HH148" s="23">
        <f>EXP(-LN(2)/25)*HH147+(1-EXP(-LN(2)/25))/(LN(2)/25)*Calculateur!HC148*Calculateur!HE148*VLOOKUP('Données projet'!$B$18,Paramètres!$A$1:$I$89,3,0)*0.475*44/12</f>
        <v>0</v>
      </c>
      <c r="HI148" s="23">
        <f>EXP(-LN(2)/2)*HI147+(1-EXP(-LN(2)/2))/(LN(2)/2)*HC148*HF148*VLOOKUP('Données projet'!$B$18,Paramètres!$A$1:$I$89,3,0)*0.475*44/12</f>
        <v>0</v>
      </c>
      <c r="HJ148" s="24">
        <f t="shared" si="138"/>
        <v>0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135.66666666666666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282.50821566529123</v>
      </c>
      <c r="S149" s="62">
        <f ca="1">AVERAGE(OFFSET($R$3,0,0,'Données projet'!$E$9+1,1))-AVERAGE(OFFSET($H$3,0,0,'Données projet'!$E$9+1,1))</f>
        <v>437.94016462147999</v>
      </c>
      <c r="T149" s="62">
        <f t="shared" si="142"/>
        <v>281.88254003380348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2.8409131783944933E-17</v>
      </c>
      <c r="AC149" s="24">
        <f t="shared" si="111"/>
        <v>2.8409131783944933E-17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1.0286385077051818E-13</v>
      </c>
      <c r="AK149" s="14">
        <f t="shared" si="143"/>
        <v>1.5402366592183556E-12</v>
      </c>
      <c r="AL149" s="22">
        <f t="shared" si="112"/>
        <v>2.8617333882306215E-12</v>
      </c>
      <c r="AM149" s="62">
        <f t="shared" si="113"/>
        <v>282.50821566529208</v>
      </c>
      <c r="AN149" s="62">
        <f ca="1">AVERAGE(OFFSET($AM$3,0,0,'Données projet'!$E$10+1,1))-AVERAGE(OFFSET($H$3,0,0,'Données projet'!$E$10+1,1))</f>
        <v>434.56763649859136</v>
      </c>
      <c r="AO149" s="62">
        <f t="shared" si="144"/>
        <v>271.90302066766264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6.7984728957526396E-14</v>
      </c>
      <c r="BF149" s="14">
        <f t="shared" si="145"/>
        <v>1.0682447123141398E-12</v>
      </c>
      <c r="BG149" s="22">
        <f t="shared" si="115"/>
        <v>1.978932943548152E-12</v>
      </c>
      <c r="BH149" s="62">
        <f t="shared" si="116"/>
        <v>282.50821566529123</v>
      </c>
      <c r="BI149" s="62">
        <f ca="1">AVERAGE(OFFSET($BH$3,0,0,'Données projet'!$E$11+1,1))-AVERAGE(OFFSET($H$3,0,0,'Données projet'!$E$11+1,1))</f>
        <v>199.65420589615553</v>
      </c>
      <c r="BJ149" s="62">
        <f t="shared" si="146"/>
        <v>477.85821088970999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5.3603612661703091</v>
      </c>
      <c r="BQ149" s="23">
        <f>EXP(-LN(2)/25)*BQ148+(1-EXP(-LN(2)/25))/(LN(2)/25)*Calculateur!BL149*Calculateur!BN149*VLOOKUP('Données projet'!$B$11,Paramètres!$A$1:$I$89,3,0)*0.475*44/12</f>
        <v>1.7626577179739271</v>
      </c>
      <c r="BR149" s="23">
        <f>EXP(-LN(2)/2)*BR148+(1-EXP(-LN(2)/2))/(LN(2)/2)*BL149*BO149*VLOOKUP('Données projet'!$B$11,Paramètres!$A$1:$I$89,3,0)*0.475*44/12</f>
        <v>1.5115473038822509E-16</v>
      </c>
      <c r="BS149" s="24">
        <f t="shared" si="117"/>
        <v>7.1230189841442364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1.1368683772161603E-13</v>
      </c>
      <c r="BZ149" s="14">
        <f>BY149*VLOOKUP('Données projet'!$B$12,Paramètres!$A$1:$I$89,3,0)*VLOOKUP('Données projet'!$B$12,Paramètres!$A$1:$I$89,5,0)</f>
        <v>6.7984728957526396E-14</v>
      </c>
      <c r="CA149" s="14">
        <f t="shared" si="147"/>
        <v>1.0682447123141398E-12</v>
      </c>
      <c r="CB149" s="22">
        <f t="shared" si="118"/>
        <v>1.978932943548152E-12</v>
      </c>
      <c r="CC149" s="62">
        <f t="shared" si="119"/>
        <v>282.50821566529123</v>
      </c>
      <c r="CD149" s="62">
        <f ca="1">AVERAGE(OFFSET($CC$3,0,0,'Données projet'!$E$12+1,1))-AVERAGE(OFFSET($H$3,0,0,'Données projet'!$E$12+1,1))</f>
        <v>437.94016462147999</v>
      </c>
      <c r="CE149" s="62">
        <f t="shared" si="148"/>
        <v>281.88254003380348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2.8409131783944933E-17</v>
      </c>
      <c r="CN149" s="24">
        <f t="shared" si="120"/>
        <v>2.8409131783944933E-17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1.1368683772161603E-13</v>
      </c>
      <c r="CU149" s="18">
        <f>CT149*VLOOKUP('Données projet'!$B$13,Paramètres!$A$1:$I$89,3,0)*VLOOKUP('Données projet'!$B$13,Paramètres!$A$1:$I$89,5,0)</f>
        <v>1.2946657079737634E-13</v>
      </c>
      <c r="CV149" s="14">
        <f t="shared" si="149"/>
        <v>1.8873591890224769E-12</v>
      </c>
      <c r="CW149" s="22">
        <f t="shared" si="121"/>
        <v>3.5126381983529106E-12</v>
      </c>
      <c r="CX149" s="62">
        <f t="shared" si="122"/>
        <v>282.50821566529277</v>
      </c>
      <c r="CY149" s="62">
        <f ca="1">AVERAGE(OFFSET($CX$3,0,0,'Données projet'!$E$13+1,1))-AVERAGE(OFFSET($H$3,0,0,'Données projet'!$E$13+1,1))</f>
        <v>520.23742527061836</v>
      </c>
      <c r="CZ149" s="62">
        <f t="shared" si="150"/>
        <v>321.35925479331274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>
        <f>DO149*VLOOKUP('Données projet'!$B$14,Paramètres!$A$1:$I$89,3,0)*VLOOKUP('Données projet'!$B$14,Paramètres!$A$1:$I$89,5,0)</f>
        <v>0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547.89540791313675</v>
      </c>
      <c r="DU149" s="62">
        <f t="shared" si="152"/>
        <v>345.19555189302378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5.6843418860808015E-14</v>
      </c>
      <c r="EK149" s="18">
        <f>EJ149*VLOOKUP('Données projet'!$B$15,Paramètres!$A$1:$I$89,3,0)*VLOOKUP('Données projet'!$B$15,Paramètres!$A$1:$I$89,5,0)</f>
        <v>5.9412741393316544E-14</v>
      </c>
      <c r="EL149" s="14">
        <f t="shared" si="153"/>
        <v>9.483138037075782E-13</v>
      </c>
      <c r="EM149" s="22">
        <f t="shared" si="127"/>
        <v>1.7551237327173916E-12</v>
      </c>
      <c r="EN149" s="62">
        <f t="shared" si="128"/>
        <v>282.508215665291</v>
      </c>
      <c r="EO149" s="62">
        <f ca="1">AVERAGE(OFFSET($EN$3,0,0,'Données projet'!$E$15+1,1))-AVERAGE(OFFSET($H$3,0,0,'Données projet'!$E$15+1,1))</f>
        <v>418.23737352070503</v>
      </c>
      <c r="EP149" s="62">
        <f t="shared" si="154"/>
        <v>496.10742685332968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1.1368683772161603E-13</v>
      </c>
      <c r="FF149" s="18">
        <f>FE149*VLOOKUP('Données projet'!$B$16,Paramètres!$A$1:$I$89,3,0)*VLOOKUP('Données projet'!$B$16,Paramètres!$A$1:$I$89,5,0)</f>
        <v>6.7984728957526396E-14</v>
      </c>
      <c r="FG149" s="14">
        <f t="shared" si="155"/>
        <v>1.0682447123141398E-12</v>
      </c>
      <c r="FH149" s="22">
        <f t="shared" si="130"/>
        <v>1.978932943548152E-12</v>
      </c>
      <c r="FI149" s="62">
        <f t="shared" si="131"/>
        <v>282.50821566529123</v>
      </c>
      <c r="FJ149" s="62">
        <f ca="1">AVERAGE(OFFSET($FI$3,0,0,'Données projet'!$E$16+1,1))-AVERAGE(OFFSET($H$3,0,0,'Données projet'!$E$16+1,1))</f>
        <v>341.70983624543067</v>
      </c>
      <c r="FK149" s="62">
        <f t="shared" si="156"/>
        <v>250.82562837973805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4.2995835549904479E-17</v>
      </c>
      <c r="FT149" s="24">
        <f t="shared" si="132"/>
        <v>4.2995835549904479E-17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-2.2737367544323206E-13</v>
      </c>
      <c r="GA149" s="18">
        <f>FZ149*VLOOKUP('Données projet'!$B$17,Paramètres!$A$1:$I$89,3,0)*VLOOKUP('Données projet'!$B$17,Paramètres!$A$1:$I$89,5,0)</f>
        <v>-1.064108801074326E-13</v>
      </c>
      <c r="GB149" s="14" t="e">
        <f t="shared" si="157"/>
        <v>#NUM!</v>
      </c>
      <c r="GC149" s="22" t="e">
        <f t="shared" si="133"/>
        <v>#NUM!</v>
      </c>
      <c r="GD149" s="62" t="e">
        <f t="shared" si="134"/>
        <v>#NUM!</v>
      </c>
      <c r="GE149" s="62">
        <f ca="1">AVERAGE(OFFSET($GD$3,0,0,'Données projet'!$E$17+1,1))-AVERAGE(OFFSET($H$3,0,0,'Données projet'!$E$17+1,1))</f>
        <v>368.69628434154333</v>
      </c>
      <c r="GF149" s="62">
        <f t="shared" si="158"/>
        <v>202.28197295839524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-1.1368683772161603E-13</v>
      </c>
      <c r="GV149" s="18">
        <f>GU149*VLOOKUP('Données projet'!$B$18,Paramètres!$A$1:$I$89,3,0)*VLOOKUP('Données projet'!$B$18,Paramètres!$A$1:$I$89,5,0)</f>
        <v>-9.9316821433603781E-14</v>
      </c>
      <c r="GW149" s="14" t="e">
        <f t="shared" si="159"/>
        <v>#NUM!</v>
      </c>
      <c r="GX149" s="22" t="e">
        <f t="shared" si="136"/>
        <v>#NUM!</v>
      </c>
      <c r="GY149" s="62" t="e">
        <f t="shared" si="137"/>
        <v>#NUM!</v>
      </c>
      <c r="GZ149" s="62">
        <f ca="1">AVERAGE(OFFSET($GY$3,0,0,'Données projet'!$E$18+1,1))-AVERAGE(OFFSET($H$3,0,0,'Données projet'!$E$18+1,1))</f>
        <v>378.51861272969165</v>
      </c>
      <c r="HA149" s="62">
        <f t="shared" si="160"/>
        <v>387.42368617035459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0</v>
      </c>
      <c r="HH149" s="23">
        <f>EXP(-LN(2)/25)*HH148+(1-EXP(-LN(2)/25))/(LN(2)/25)*Calculateur!HC149*Calculateur!HE149*VLOOKUP('Données projet'!$B$18,Paramètres!$A$1:$I$89,3,0)*0.475*44/12</f>
        <v>0</v>
      </c>
      <c r="HI149" s="23">
        <f>EXP(-LN(2)/2)*HI148+(1-EXP(-LN(2)/2))/(LN(2)/2)*HC149*HF149*VLOOKUP('Données projet'!$B$18,Paramètres!$A$1:$I$89,3,0)*0.475*44/12</f>
        <v>0</v>
      </c>
      <c r="HJ149" s="24">
        <f t="shared" si="138"/>
        <v>0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135.66666666666666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282.69600725549429</v>
      </c>
      <c r="S150" s="62">
        <f ca="1">AVERAGE(OFFSET($R$3,0,0,'Données projet'!$E$9+1,1))-AVERAGE(OFFSET($H$3,0,0,'Données projet'!$E$9+1,1))</f>
        <v>437.94016462147999</v>
      </c>
      <c r="T150" s="62">
        <f t="shared" si="142"/>
        <v>281.88254003380348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2.0088289732049742E-17</v>
      </c>
      <c r="AC150" s="24">
        <f t="shared" si="111"/>
        <v>2.0088289732049742E-17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1.0286385077051818E-13</v>
      </c>
      <c r="AK150" s="14">
        <f t="shared" si="143"/>
        <v>1.5402366592183556E-12</v>
      </c>
      <c r="AL150" s="22">
        <f t="shared" si="112"/>
        <v>2.8617333882306215E-12</v>
      </c>
      <c r="AM150" s="62">
        <f t="shared" si="113"/>
        <v>282.69600725549515</v>
      </c>
      <c r="AN150" s="62">
        <f ca="1">AVERAGE(OFFSET($AM$3,0,0,'Données projet'!$E$10+1,1))-AVERAGE(OFFSET($H$3,0,0,'Données projet'!$E$10+1,1))</f>
        <v>434.56763649859136</v>
      </c>
      <c r="AO150" s="62">
        <f t="shared" si="144"/>
        <v>271.90302066766264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6.7984728957526396E-14</v>
      </c>
      <c r="BF150" s="14">
        <f t="shared" si="145"/>
        <v>1.0682447123141398E-12</v>
      </c>
      <c r="BG150" s="22">
        <f t="shared" si="115"/>
        <v>1.978932943548152E-12</v>
      </c>
      <c r="BH150" s="62">
        <f t="shared" si="116"/>
        <v>282.69600725549429</v>
      </c>
      <c r="BI150" s="62">
        <f ca="1">AVERAGE(OFFSET($BH$3,0,0,'Données projet'!$E$11+1,1))-AVERAGE(OFFSET($H$3,0,0,'Données projet'!$E$11+1,1))</f>
        <v>199.65420589615553</v>
      </c>
      <c r="BJ150" s="62">
        <f t="shared" si="146"/>
        <v>477.85821088970999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5.2552478512382459</v>
      </c>
      <c r="BQ150" s="23">
        <f>EXP(-LN(2)/25)*BQ149+(1-EXP(-LN(2)/25))/(LN(2)/25)*Calculateur!BL150*Calculateur!BN150*VLOOKUP('Données projet'!$B$11,Paramètres!$A$1:$I$89,3,0)*0.475*44/12</f>
        <v>1.7144577499817892</v>
      </c>
      <c r="BR150" s="23">
        <f>EXP(-LN(2)/2)*BR149+(1-EXP(-LN(2)/2))/(LN(2)/2)*BL150*BO150*VLOOKUP('Données projet'!$B$11,Paramètres!$A$1:$I$89,3,0)*0.475*44/12</f>
        <v>1.0688253486593826E-16</v>
      </c>
      <c r="BS150" s="24">
        <f t="shared" si="117"/>
        <v>6.9697056012200349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1.1368683772161603E-13</v>
      </c>
      <c r="BZ150" s="14">
        <f>BY150*VLOOKUP('Données projet'!$B$12,Paramètres!$A$1:$I$89,3,0)*VLOOKUP('Données projet'!$B$12,Paramètres!$A$1:$I$89,5,0)</f>
        <v>6.7984728957526396E-14</v>
      </c>
      <c r="CA150" s="14">
        <f t="shared" si="147"/>
        <v>1.0682447123141398E-12</v>
      </c>
      <c r="CB150" s="22">
        <f t="shared" si="118"/>
        <v>1.978932943548152E-12</v>
      </c>
      <c r="CC150" s="62">
        <f t="shared" si="119"/>
        <v>282.69600725549429</v>
      </c>
      <c r="CD150" s="62">
        <f ca="1">AVERAGE(OFFSET($CC$3,0,0,'Données projet'!$E$12+1,1))-AVERAGE(OFFSET($H$3,0,0,'Données projet'!$E$12+1,1))</f>
        <v>437.94016462147999</v>
      </c>
      <c r="CE150" s="62">
        <f t="shared" si="148"/>
        <v>281.88254003380348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2.0088289732049742E-17</v>
      </c>
      <c r="CN150" s="24">
        <f t="shared" si="120"/>
        <v>2.0088289732049742E-17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1.1368683772161603E-13</v>
      </c>
      <c r="CU150" s="18">
        <f>CT150*VLOOKUP('Données projet'!$B$13,Paramètres!$A$1:$I$89,3,0)*VLOOKUP('Données projet'!$B$13,Paramètres!$A$1:$I$89,5,0)</f>
        <v>1.2946657079737634E-13</v>
      </c>
      <c r="CV150" s="14">
        <f t="shared" si="149"/>
        <v>1.8873591890224769E-12</v>
      </c>
      <c r="CW150" s="22">
        <f t="shared" si="121"/>
        <v>3.5126381983529106E-12</v>
      </c>
      <c r="CX150" s="62">
        <f t="shared" si="122"/>
        <v>282.69600725549583</v>
      </c>
      <c r="CY150" s="62">
        <f ca="1">AVERAGE(OFFSET($CX$3,0,0,'Données projet'!$E$13+1,1))-AVERAGE(OFFSET($H$3,0,0,'Données projet'!$E$13+1,1))</f>
        <v>520.23742527061836</v>
      </c>
      <c r="CZ150" s="62">
        <f t="shared" si="150"/>
        <v>321.35925479331274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>
        <f>DO150*VLOOKUP('Données projet'!$B$14,Paramètres!$A$1:$I$89,3,0)*VLOOKUP('Données projet'!$B$14,Paramètres!$A$1:$I$89,5,0)</f>
        <v>0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547.89540791313675</v>
      </c>
      <c r="DU150" s="62">
        <f t="shared" si="152"/>
        <v>345.19555189302378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5.6843418860808015E-14</v>
      </c>
      <c r="EK150" s="18">
        <f>EJ150*VLOOKUP('Données projet'!$B$15,Paramètres!$A$1:$I$89,3,0)*VLOOKUP('Données projet'!$B$15,Paramètres!$A$1:$I$89,5,0)</f>
        <v>5.9412741393316544E-14</v>
      </c>
      <c r="EL150" s="14">
        <f t="shared" si="153"/>
        <v>9.483138037075782E-13</v>
      </c>
      <c r="EM150" s="22">
        <f t="shared" si="127"/>
        <v>1.7551237327173916E-12</v>
      </c>
      <c r="EN150" s="62">
        <f t="shared" si="128"/>
        <v>282.69600725549407</v>
      </c>
      <c r="EO150" s="62">
        <f ca="1">AVERAGE(OFFSET($EN$3,0,0,'Données projet'!$E$15+1,1))-AVERAGE(OFFSET($H$3,0,0,'Données projet'!$E$15+1,1))</f>
        <v>418.23737352070503</v>
      </c>
      <c r="EP150" s="62">
        <f t="shared" si="154"/>
        <v>496.10742685332968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1.1368683772161603E-13</v>
      </c>
      <c r="FF150" s="18">
        <f>FE150*VLOOKUP('Données projet'!$B$16,Paramètres!$A$1:$I$89,3,0)*VLOOKUP('Données projet'!$B$16,Paramètres!$A$1:$I$89,5,0)</f>
        <v>6.7984728957526396E-14</v>
      </c>
      <c r="FG150" s="14">
        <f t="shared" si="155"/>
        <v>1.0682447123141398E-12</v>
      </c>
      <c r="FH150" s="22">
        <f t="shared" si="130"/>
        <v>1.978932943548152E-12</v>
      </c>
      <c r="FI150" s="62">
        <f t="shared" si="131"/>
        <v>282.69600725549429</v>
      </c>
      <c r="FJ150" s="62">
        <f ca="1">AVERAGE(OFFSET($FI$3,0,0,'Données projet'!$E$16+1,1))-AVERAGE(OFFSET($H$3,0,0,'Données projet'!$E$16+1,1))</f>
        <v>341.70983624543067</v>
      </c>
      <c r="FK150" s="62">
        <f t="shared" si="156"/>
        <v>250.82562837973805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3.0402646880119087E-17</v>
      </c>
      <c r="FT150" s="24">
        <f t="shared" si="132"/>
        <v>3.0402646880119087E-17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-2.2737367544323206E-13</v>
      </c>
      <c r="GA150" s="18">
        <f>FZ150*VLOOKUP('Données projet'!$B$17,Paramètres!$A$1:$I$89,3,0)*VLOOKUP('Données projet'!$B$17,Paramètres!$A$1:$I$89,5,0)</f>
        <v>-1.064108801074326E-13</v>
      </c>
      <c r="GB150" s="14" t="e">
        <f t="shared" si="157"/>
        <v>#NUM!</v>
      </c>
      <c r="GC150" s="22" t="e">
        <f t="shared" si="133"/>
        <v>#NUM!</v>
      </c>
      <c r="GD150" s="62" t="e">
        <f t="shared" si="134"/>
        <v>#NUM!</v>
      </c>
      <c r="GE150" s="62">
        <f ca="1">AVERAGE(OFFSET($GD$3,0,0,'Données projet'!$E$17+1,1))-AVERAGE(OFFSET($H$3,0,0,'Données projet'!$E$17+1,1))</f>
        <v>368.69628434154333</v>
      </c>
      <c r="GF150" s="62">
        <f t="shared" si="158"/>
        <v>202.28197295839524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-1.1368683772161603E-13</v>
      </c>
      <c r="GV150" s="18">
        <f>GU150*VLOOKUP('Données projet'!$B$18,Paramètres!$A$1:$I$89,3,0)*VLOOKUP('Données projet'!$B$18,Paramètres!$A$1:$I$89,5,0)</f>
        <v>-9.9316821433603781E-14</v>
      </c>
      <c r="GW150" s="14" t="e">
        <f t="shared" si="159"/>
        <v>#NUM!</v>
      </c>
      <c r="GX150" s="22" t="e">
        <f t="shared" si="136"/>
        <v>#NUM!</v>
      </c>
      <c r="GY150" s="62" t="e">
        <f t="shared" si="137"/>
        <v>#NUM!</v>
      </c>
      <c r="GZ150" s="62">
        <f ca="1">AVERAGE(OFFSET($GY$3,0,0,'Données projet'!$E$18+1,1))-AVERAGE(OFFSET($H$3,0,0,'Données projet'!$E$18+1,1))</f>
        <v>378.51861272969165</v>
      </c>
      <c r="HA150" s="62">
        <f t="shared" si="160"/>
        <v>387.42368617035459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0</v>
      </c>
      <c r="HH150" s="23">
        <f>EXP(-LN(2)/25)*HH149+(1-EXP(-LN(2)/25))/(LN(2)/25)*Calculateur!HC150*Calculateur!HE150*VLOOKUP('Données projet'!$B$18,Paramètres!$A$1:$I$89,3,0)*0.475*44/12</f>
        <v>0</v>
      </c>
      <c r="HI150" s="23">
        <f>EXP(-LN(2)/2)*HI149+(1-EXP(-LN(2)/2))/(LN(2)/2)*HC150*HF150*VLOOKUP('Données projet'!$B$18,Paramètres!$A$1:$I$89,3,0)*0.475*44/12</f>
        <v>0</v>
      </c>
      <c r="HJ150" s="24">
        <f t="shared" si="138"/>
        <v>0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135.66666666666666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282.88054108144644</v>
      </c>
      <c r="S151" s="62">
        <f ca="1">AVERAGE(OFFSET($R$3,0,0,'Données projet'!$E$9+1,1))-AVERAGE(OFFSET($H$3,0,0,'Données projet'!$E$9+1,1))</f>
        <v>437.94016462147999</v>
      </c>
      <c r="T151" s="62">
        <f t="shared" si="142"/>
        <v>281.88254003380348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1.4204565891972467E-17</v>
      </c>
      <c r="AC151" s="24">
        <f t="shared" si="111"/>
        <v>1.4204565891972467E-17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1.0286385077051818E-13</v>
      </c>
      <c r="AK151" s="14">
        <f t="shared" si="143"/>
        <v>1.5402366592183556E-12</v>
      </c>
      <c r="AL151" s="22">
        <f t="shared" si="112"/>
        <v>2.8617333882306215E-12</v>
      </c>
      <c r="AM151" s="62">
        <f t="shared" si="113"/>
        <v>282.88054108144729</v>
      </c>
      <c r="AN151" s="62">
        <f ca="1">AVERAGE(OFFSET($AM$3,0,0,'Données projet'!$E$10+1,1))-AVERAGE(OFFSET($H$3,0,0,'Données projet'!$E$10+1,1))</f>
        <v>434.56763649859136</v>
      </c>
      <c r="AO151" s="62">
        <f t="shared" si="144"/>
        <v>271.90302066766264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6.7984728957526396E-14</v>
      </c>
      <c r="BF151" s="14">
        <f t="shared" si="145"/>
        <v>1.0682447123141398E-12</v>
      </c>
      <c r="BG151" s="22">
        <f t="shared" si="115"/>
        <v>1.978932943548152E-12</v>
      </c>
      <c r="BH151" s="62">
        <f t="shared" si="116"/>
        <v>282.88054108144644</v>
      </c>
      <c r="BI151" s="62">
        <f ca="1">AVERAGE(OFFSET($BH$3,0,0,'Données projet'!$E$11+1,1))-AVERAGE(OFFSET($H$3,0,0,'Données projet'!$E$11+1,1))</f>
        <v>199.65420589615553</v>
      </c>
      <c r="BJ151" s="62">
        <f t="shared" si="146"/>
        <v>477.85821088970999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5.1521956462601475</v>
      </c>
      <c r="BQ151" s="23">
        <f>EXP(-LN(2)/25)*BQ150+(1-EXP(-LN(2)/25))/(LN(2)/25)*Calculateur!BL151*Calculateur!BN151*VLOOKUP('Données projet'!$B$11,Paramètres!$A$1:$I$89,3,0)*0.475*44/12</f>
        <v>1.6675758126491227</v>
      </c>
      <c r="BR151" s="23">
        <f>EXP(-LN(2)/2)*BR150+(1-EXP(-LN(2)/2))/(LN(2)/2)*BL151*BO151*VLOOKUP('Données projet'!$B$11,Paramètres!$A$1:$I$89,3,0)*0.475*44/12</f>
        <v>7.5577365194112544E-17</v>
      </c>
      <c r="BS151" s="24">
        <f t="shared" si="117"/>
        <v>6.8197714589092699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1.1368683772161603E-13</v>
      </c>
      <c r="BZ151" s="14">
        <f>BY151*VLOOKUP('Données projet'!$B$12,Paramètres!$A$1:$I$89,3,0)*VLOOKUP('Données projet'!$B$12,Paramètres!$A$1:$I$89,5,0)</f>
        <v>6.7984728957526396E-14</v>
      </c>
      <c r="CA151" s="14">
        <f t="shared" si="147"/>
        <v>1.0682447123141398E-12</v>
      </c>
      <c r="CB151" s="22">
        <f t="shared" si="118"/>
        <v>1.978932943548152E-12</v>
      </c>
      <c r="CC151" s="62">
        <f t="shared" si="119"/>
        <v>282.88054108144644</v>
      </c>
      <c r="CD151" s="62">
        <f ca="1">AVERAGE(OFFSET($CC$3,0,0,'Données projet'!$E$12+1,1))-AVERAGE(OFFSET($H$3,0,0,'Données projet'!$E$12+1,1))</f>
        <v>437.94016462147999</v>
      </c>
      <c r="CE151" s="62">
        <f t="shared" si="148"/>
        <v>281.88254003380348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1.4204565891972467E-17</v>
      </c>
      <c r="CN151" s="24">
        <f t="shared" si="120"/>
        <v>1.4204565891972467E-17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1.1368683772161603E-13</v>
      </c>
      <c r="CU151" s="18">
        <f>CT151*VLOOKUP('Données projet'!$B$13,Paramètres!$A$1:$I$89,3,0)*VLOOKUP('Données projet'!$B$13,Paramètres!$A$1:$I$89,5,0)</f>
        <v>1.2946657079737634E-13</v>
      </c>
      <c r="CV151" s="14">
        <f t="shared" si="149"/>
        <v>1.8873591890224769E-12</v>
      </c>
      <c r="CW151" s="22">
        <f t="shared" si="121"/>
        <v>3.5126381983529106E-12</v>
      </c>
      <c r="CX151" s="62">
        <f t="shared" si="122"/>
        <v>282.88054108144797</v>
      </c>
      <c r="CY151" s="62">
        <f ca="1">AVERAGE(OFFSET($CX$3,0,0,'Données projet'!$E$13+1,1))-AVERAGE(OFFSET($H$3,0,0,'Données projet'!$E$13+1,1))</f>
        <v>520.23742527061836</v>
      </c>
      <c r="CZ151" s="62">
        <f t="shared" si="150"/>
        <v>321.35925479331274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>
        <f>DO151*VLOOKUP('Données projet'!$B$14,Paramètres!$A$1:$I$89,3,0)*VLOOKUP('Données projet'!$B$14,Paramètres!$A$1:$I$89,5,0)</f>
        <v>0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547.89540791313675</v>
      </c>
      <c r="DU151" s="62">
        <f t="shared" si="152"/>
        <v>345.19555189302378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5.6843418860808015E-14</v>
      </c>
      <c r="EK151" s="18">
        <f>EJ151*VLOOKUP('Données projet'!$B$15,Paramètres!$A$1:$I$89,3,0)*VLOOKUP('Données projet'!$B$15,Paramètres!$A$1:$I$89,5,0)</f>
        <v>5.9412741393316544E-14</v>
      </c>
      <c r="EL151" s="14">
        <f t="shared" si="153"/>
        <v>9.483138037075782E-13</v>
      </c>
      <c r="EM151" s="22">
        <f t="shared" si="127"/>
        <v>1.7551237327173916E-12</v>
      </c>
      <c r="EN151" s="62">
        <f t="shared" si="128"/>
        <v>282.88054108144621</v>
      </c>
      <c r="EO151" s="62">
        <f ca="1">AVERAGE(OFFSET($EN$3,0,0,'Données projet'!$E$15+1,1))-AVERAGE(OFFSET($H$3,0,0,'Données projet'!$E$15+1,1))</f>
        <v>418.23737352070503</v>
      </c>
      <c r="EP151" s="62">
        <f t="shared" si="154"/>
        <v>496.10742685332968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1.1368683772161603E-13</v>
      </c>
      <c r="FF151" s="18">
        <f>FE151*VLOOKUP('Données projet'!$B$16,Paramètres!$A$1:$I$89,3,0)*VLOOKUP('Données projet'!$B$16,Paramètres!$A$1:$I$89,5,0)</f>
        <v>6.7984728957526396E-14</v>
      </c>
      <c r="FG151" s="14">
        <f t="shared" si="155"/>
        <v>1.0682447123141398E-12</v>
      </c>
      <c r="FH151" s="22">
        <f t="shared" si="130"/>
        <v>1.978932943548152E-12</v>
      </c>
      <c r="FI151" s="62">
        <f t="shared" si="131"/>
        <v>282.88054108144644</v>
      </c>
      <c r="FJ151" s="62">
        <f ca="1">AVERAGE(OFFSET($FI$3,0,0,'Données projet'!$E$16+1,1))-AVERAGE(OFFSET($H$3,0,0,'Données projet'!$E$16+1,1))</f>
        <v>341.70983624543067</v>
      </c>
      <c r="FK151" s="62">
        <f t="shared" si="156"/>
        <v>250.82562837973805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2.1497917774952239E-17</v>
      </c>
      <c r="FT151" s="24">
        <f t="shared" si="132"/>
        <v>2.1497917774952239E-17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-2.2737367544323206E-13</v>
      </c>
      <c r="GA151" s="18">
        <f>FZ151*VLOOKUP('Données projet'!$B$17,Paramètres!$A$1:$I$89,3,0)*VLOOKUP('Données projet'!$B$17,Paramètres!$A$1:$I$89,5,0)</f>
        <v>-1.064108801074326E-13</v>
      </c>
      <c r="GB151" s="14" t="e">
        <f t="shared" si="157"/>
        <v>#NUM!</v>
      </c>
      <c r="GC151" s="22" t="e">
        <f t="shared" si="133"/>
        <v>#NUM!</v>
      </c>
      <c r="GD151" s="62" t="e">
        <f t="shared" si="134"/>
        <v>#NUM!</v>
      </c>
      <c r="GE151" s="62">
        <f ca="1">AVERAGE(OFFSET($GD$3,0,0,'Données projet'!$E$17+1,1))-AVERAGE(OFFSET($H$3,0,0,'Données projet'!$E$17+1,1))</f>
        <v>368.69628434154333</v>
      </c>
      <c r="GF151" s="62">
        <f t="shared" si="158"/>
        <v>202.28197295839524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-1.1368683772161603E-13</v>
      </c>
      <c r="GV151" s="18">
        <f>GU151*VLOOKUP('Données projet'!$B$18,Paramètres!$A$1:$I$89,3,0)*VLOOKUP('Données projet'!$B$18,Paramètres!$A$1:$I$89,5,0)</f>
        <v>-9.9316821433603781E-14</v>
      </c>
      <c r="GW151" s="14" t="e">
        <f t="shared" si="159"/>
        <v>#NUM!</v>
      </c>
      <c r="GX151" s="22" t="e">
        <f t="shared" si="136"/>
        <v>#NUM!</v>
      </c>
      <c r="GY151" s="62" t="e">
        <f t="shared" si="137"/>
        <v>#NUM!</v>
      </c>
      <c r="GZ151" s="62">
        <f ca="1">AVERAGE(OFFSET($GY$3,0,0,'Données projet'!$E$18+1,1))-AVERAGE(OFFSET($H$3,0,0,'Données projet'!$E$18+1,1))</f>
        <v>378.51861272969165</v>
      </c>
      <c r="HA151" s="62">
        <f t="shared" si="160"/>
        <v>387.42368617035459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0</v>
      </c>
      <c r="HH151" s="23">
        <f>EXP(-LN(2)/25)*HH150+(1-EXP(-LN(2)/25))/(LN(2)/25)*Calculateur!HC151*Calculateur!HE151*VLOOKUP('Données projet'!$B$18,Paramètres!$A$1:$I$89,3,0)*0.475*44/12</f>
        <v>0</v>
      </c>
      <c r="HI151" s="23">
        <f>EXP(-LN(2)/2)*HI150+(1-EXP(-LN(2)/2))/(LN(2)/2)*HC151*HF151*VLOOKUP('Données projet'!$B$18,Paramètres!$A$1:$I$89,3,0)*0.475*44/12</f>
        <v>0</v>
      </c>
      <c r="HJ151" s="24">
        <f t="shared" si="138"/>
        <v>0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135.66666666666666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283.06187365807415</v>
      </c>
      <c r="S152" s="62">
        <f ca="1">AVERAGE(OFFSET($R$3,0,0,'Données projet'!$E$9+1,1))-AVERAGE(OFFSET($H$3,0,0,'Données projet'!$E$9+1,1))</f>
        <v>437.94016462147999</v>
      </c>
      <c r="T152" s="62">
        <f t="shared" si="142"/>
        <v>281.88254003380348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1.0044144866024871E-17</v>
      </c>
      <c r="AC152" s="24">
        <f t="shared" si="111"/>
        <v>1.0044144866024871E-17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1.0286385077051818E-13</v>
      </c>
      <c r="AK152" s="14">
        <f t="shared" si="143"/>
        <v>1.5402366592183556E-12</v>
      </c>
      <c r="AL152" s="22">
        <f t="shared" si="112"/>
        <v>2.8617333882306215E-12</v>
      </c>
      <c r="AM152" s="62">
        <f t="shared" si="113"/>
        <v>283.061873658075</v>
      </c>
      <c r="AN152" s="62">
        <f ca="1">AVERAGE(OFFSET($AM$3,0,0,'Données projet'!$E$10+1,1))-AVERAGE(OFFSET($H$3,0,0,'Données projet'!$E$10+1,1))</f>
        <v>434.56763649859136</v>
      </c>
      <c r="AO152" s="62">
        <f t="shared" si="144"/>
        <v>271.90302066766264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6.7984728957526396E-14</v>
      </c>
      <c r="BF152" s="14">
        <f t="shared" si="145"/>
        <v>1.0682447123141398E-12</v>
      </c>
      <c r="BG152" s="22">
        <f t="shared" si="115"/>
        <v>1.978932943548152E-12</v>
      </c>
      <c r="BH152" s="62">
        <f t="shared" si="116"/>
        <v>283.06187365807415</v>
      </c>
      <c r="BI152" s="62">
        <f ca="1">AVERAGE(OFFSET($BH$3,0,0,'Données projet'!$E$11+1,1))-AVERAGE(OFFSET($H$3,0,0,'Données projet'!$E$11+1,1))</f>
        <v>199.65420589615553</v>
      </c>
      <c r="BJ152" s="62">
        <f t="shared" si="146"/>
        <v>477.85821088970999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5.0511642321660313</v>
      </c>
      <c r="BQ152" s="23">
        <f>EXP(-LN(2)/25)*BQ151+(1-EXP(-LN(2)/25))/(LN(2)/25)*Calculateur!BL152*Calculateur!BN152*VLOOKUP('Données projet'!$B$11,Paramètres!$A$1:$I$89,3,0)*0.475*44/12</f>
        <v>1.6219758643582318</v>
      </c>
      <c r="BR152" s="23">
        <f>EXP(-LN(2)/2)*BR151+(1-EXP(-LN(2)/2))/(LN(2)/2)*BL152*BO152*VLOOKUP('Données projet'!$B$11,Paramètres!$A$1:$I$89,3,0)*0.475*44/12</f>
        <v>5.3441267432969132E-17</v>
      </c>
      <c r="BS152" s="24">
        <f t="shared" si="117"/>
        <v>6.6731400965242633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1.1368683772161603E-13</v>
      </c>
      <c r="BZ152" s="14">
        <f>BY152*VLOOKUP('Données projet'!$B$12,Paramètres!$A$1:$I$89,3,0)*VLOOKUP('Données projet'!$B$12,Paramètres!$A$1:$I$89,5,0)</f>
        <v>6.7984728957526396E-14</v>
      </c>
      <c r="CA152" s="14">
        <f t="shared" si="147"/>
        <v>1.0682447123141398E-12</v>
      </c>
      <c r="CB152" s="22">
        <f t="shared" si="118"/>
        <v>1.978932943548152E-12</v>
      </c>
      <c r="CC152" s="62">
        <f t="shared" si="119"/>
        <v>283.06187365807415</v>
      </c>
      <c r="CD152" s="62">
        <f ca="1">AVERAGE(OFFSET($CC$3,0,0,'Données projet'!$E$12+1,1))-AVERAGE(OFFSET($H$3,0,0,'Données projet'!$E$12+1,1))</f>
        <v>437.94016462147999</v>
      </c>
      <c r="CE152" s="62">
        <f t="shared" si="148"/>
        <v>281.88254003380348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1.0044144866024871E-17</v>
      </c>
      <c r="CN152" s="24">
        <f t="shared" si="120"/>
        <v>1.0044144866024871E-17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1.1368683772161603E-13</v>
      </c>
      <c r="CU152" s="18">
        <f>CT152*VLOOKUP('Données projet'!$B$13,Paramètres!$A$1:$I$89,3,0)*VLOOKUP('Données projet'!$B$13,Paramètres!$A$1:$I$89,5,0)</f>
        <v>1.2946657079737634E-13</v>
      </c>
      <c r="CV152" s="14">
        <f t="shared" si="149"/>
        <v>1.8873591890224769E-12</v>
      </c>
      <c r="CW152" s="22">
        <f t="shared" si="121"/>
        <v>3.5126381983529106E-12</v>
      </c>
      <c r="CX152" s="62">
        <f t="shared" si="122"/>
        <v>283.06187365807568</v>
      </c>
      <c r="CY152" s="62">
        <f ca="1">AVERAGE(OFFSET($CX$3,0,0,'Données projet'!$E$13+1,1))-AVERAGE(OFFSET($H$3,0,0,'Données projet'!$E$13+1,1))</f>
        <v>520.23742527061836</v>
      </c>
      <c r="CZ152" s="62">
        <f t="shared" si="150"/>
        <v>321.35925479331274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>
        <f>DO152*VLOOKUP('Données projet'!$B$14,Paramètres!$A$1:$I$89,3,0)*VLOOKUP('Données projet'!$B$14,Paramètres!$A$1:$I$89,5,0)</f>
        <v>0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547.89540791313675</v>
      </c>
      <c r="DU152" s="62">
        <f t="shared" si="152"/>
        <v>345.19555189302378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5.6843418860808015E-14</v>
      </c>
      <c r="EK152" s="18">
        <f>EJ152*VLOOKUP('Données projet'!$B$15,Paramètres!$A$1:$I$89,3,0)*VLOOKUP('Données projet'!$B$15,Paramètres!$A$1:$I$89,5,0)</f>
        <v>5.9412741393316544E-14</v>
      </c>
      <c r="EL152" s="14">
        <f t="shared" si="153"/>
        <v>9.483138037075782E-13</v>
      </c>
      <c r="EM152" s="22">
        <f t="shared" si="127"/>
        <v>1.7551237327173916E-12</v>
      </c>
      <c r="EN152" s="62">
        <f t="shared" si="128"/>
        <v>283.06187365807392</v>
      </c>
      <c r="EO152" s="62">
        <f ca="1">AVERAGE(OFFSET($EN$3,0,0,'Données projet'!$E$15+1,1))-AVERAGE(OFFSET($H$3,0,0,'Données projet'!$E$15+1,1))</f>
        <v>418.23737352070503</v>
      </c>
      <c r="EP152" s="62">
        <f t="shared" si="154"/>
        <v>496.10742685332968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1.1368683772161603E-13</v>
      </c>
      <c r="FF152" s="18">
        <f>FE152*VLOOKUP('Données projet'!$B$16,Paramètres!$A$1:$I$89,3,0)*VLOOKUP('Données projet'!$B$16,Paramètres!$A$1:$I$89,5,0)</f>
        <v>6.7984728957526396E-14</v>
      </c>
      <c r="FG152" s="14">
        <f t="shared" si="155"/>
        <v>1.0682447123141398E-12</v>
      </c>
      <c r="FH152" s="22">
        <f t="shared" si="130"/>
        <v>1.978932943548152E-12</v>
      </c>
      <c r="FI152" s="62">
        <f t="shared" si="131"/>
        <v>283.06187365807415</v>
      </c>
      <c r="FJ152" s="62">
        <f ca="1">AVERAGE(OFFSET($FI$3,0,0,'Données projet'!$E$16+1,1))-AVERAGE(OFFSET($H$3,0,0,'Données projet'!$E$16+1,1))</f>
        <v>341.70983624543067</v>
      </c>
      <c r="FK152" s="62">
        <f t="shared" si="156"/>
        <v>250.82562837973805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1.5201323440059544E-17</v>
      </c>
      <c r="FT152" s="24">
        <f t="shared" si="132"/>
        <v>1.5201323440059544E-17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-2.2737367544323206E-13</v>
      </c>
      <c r="GA152" s="18">
        <f>FZ152*VLOOKUP('Données projet'!$B$17,Paramètres!$A$1:$I$89,3,0)*VLOOKUP('Données projet'!$B$17,Paramètres!$A$1:$I$89,5,0)</f>
        <v>-1.064108801074326E-13</v>
      </c>
      <c r="GB152" s="14" t="e">
        <f t="shared" si="157"/>
        <v>#NUM!</v>
      </c>
      <c r="GC152" s="22" t="e">
        <f t="shared" si="133"/>
        <v>#NUM!</v>
      </c>
      <c r="GD152" s="62" t="e">
        <f t="shared" si="134"/>
        <v>#NUM!</v>
      </c>
      <c r="GE152" s="62">
        <f ca="1">AVERAGE(OFFSET($GD$3,0,0,'Données projet'!$E$17+1,1))-AVERAGE(OFFSET($H$3,0,0,'Données projet'!$E$17+1,1))</f>
        <v>368.69628434154333</v>
      </c>
      <c r="GF152" s="62">
        <f t="shared" si="158"/>
        <v>202.28197295839524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-1.1368683772161603E-13</v>
      </c>
      <c r="GV152" s="18">
        <f>GU152*VLOOKUP('Données projet'!$B$18,Paramètres!$A$1:$I$89,3,0)*VLOOKUP('Données projet'!$B$18,Paramètres!$A$1:$I$89,5,0)</f>
        <v>-9.9316821433603781E-14</v>
      </c>
      <c r="GW152" s="14" t="e">
        <f t="shared" si="159"/>
        <v>#NUM!</v>
      </c>
      <c r="GX152" s="22" t="e">
        <f t="shared" si="136"/>
        <v>#NUM!</v>
      </c>
      <c r="GY152" s="62" t="e">
        <f t="shared" si="137"/>
        <v>#NUM!</v>
      </c>
      <c r="GZ152" s="62">
        <f ca="1">AVERAGE(OFFSET($GY$3,0,0,'Données projet'!$E$18+1,1))-AVERAGE(OFFSET($H$3,0,0,'Données projet'!$E$18+1,1))</f>
        <v>378.51861272969165</v>
      </c>
      <c r="HA152" s="62">
        <f t="shared" si="160"/>
        <v>387.42368617035459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0</v>
      </c>
      <c r="HH152" s="23">
        <f>EXP(-LN(2)/25)*HH151+(1-EXP(-LN(2)/25))/(LN(2)/25)*Calculateur!HC152*Calculateur!HE152*VLOOKUP('Données projet'!$B$18,Paramètres!$A$1:$I$89,3,0)*0.475*44/12</f>
        <v>0</v>
      </c>
      <c r="HI152" s="23">
        <f>EXP(-LN(2)/2)*HI151+(1-EXP(-LN(2)/2))/(LN(2)/2)*HC152*HF152*VLOOKUP('Données projet'!$B$18,Paramètres!$A$1:$I$89,3,0)*0.475*44/12</f>
        <v>0</v>
      </c>
      <c r="HJ152" s="24">
        <f t="shared" si="138"/>
        <v>0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135.66666666666666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283.2400605198963</v>
      </c>
      <c r="S153" s="62">
        <f ca="1">AVERAGE(OFFSET($R$3,0,0,'Données projet'!$E$9+1,1))-AVERAGE(OFFSET($H$3,0,0,'Données projet'!$E$9+1,1))</f>
        <v>437.94016462147999</v>
      </c>
      <c r="T153" s="62">
        <f t="shared" si="142"/>
        <v>281.88254003380348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7.1022829459862333E-18</v>
      </c>
      <c r="AC153" s="24">
        <f t="shared" si="111"/>
        <v>7.1022829459862333E-18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1.0286385077051818E-13</v>
      </c>
      <c r="AK153" s="14">
        <f t="shared" si="143"/>
        <v>1.5402366592183556E-12</v>
      </c>
      <c r="AL153" s="22">
        <f t="shared" si="112"/>
        <v>2.8617333882306215E-12</v>
      </c>
      <c r="AM153" s="62">
        <f t="shared" si="113"/>
        <v>283.24006051989716</v>
      </c>
      <c r="AN153" s="62">
        <f ca="1">AVERAGE(OFFSET($AM$3,0,0,'Données projet'!$E$10+1,1))-AVERAGE(OFFSET($H$3,0,0,'Données projet'!$E$10+1,1))</f>
        <v>434.56763649859136</v>
      </c>
      <c r="AO153" s="62">
        <f t="shared" si="144"/>
        <v>271.90302066766264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6.7984728957526396E-14</v>
      </c>
      <c r="BF153" s="14">
        <f t="shared" si="145"/>
        <v>1.0682447123141398E-12</v>
      </c>
      <c r="BG153" s="22">
        <f t="shared" si="115"/>
        <v>1.978932943548152E-12</v>
      </c>
      <c r="BH153" s="62">
        <f t="shared" si="116"/>
        <v>283.2400605198963</v>
      </c>
      <c r="BI153" s="62">
        <f ca="1">AVERAGE(OFFSET($BH$3,0,0,'Données projet'!$E$11+1,1))-AVERAGE(OFFSET($H$3,0,0,'Données projet'!$E$11+1,1))</f>
        <v>199.65420589615553</v>
      </c>
      <c r="BJ153" s="62">
        <f t="shared" si="146"/>
        <v>477.85821088970999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4.9521139824792231</v>
      </c>
      <c r="BQ153" s="23">
        <f>EXP(-LN(2)/25)*BQ152+(1-EXP(-LN(2)/25))/(LN(2)/25)*Calculateur!BL153*Calculateur!BN153*VLOOKUP('Données projet'!$B$11,Paramètres!$A$1:$I$89,3,0)*0.475*44/12</f>
        <v>1.5776228490513524</v>
      </c>
      <c r="BR153" s="23">
        <f>EXP(-LN(2)/2)*BR152+(1-EXP(-LN(2)/2))/(LN(2)/2)*BL153*BO153*VLOOKUP('Données projet'!$B$11,Paramètres!$A$1:$I$89,3,0)*0.475*44/12</f>
        <v>3.7788682597056272E-17</v>
      </c>
      <c r="BS153" s="24">
        <f t="shared" si="117"/>
        <v>6.5297368315305757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1.1368683772161603E-13</v>
      </c>
      <c r="BZ153" s="14">
        <f>BY153*VLOOKUP('Données projet'!$B$12,Paramètres!$A$1:$I$89,3,0)*VLOOKUP('Données projet'!$B$12,Paramètres!$A$1:$I$89,5,0)</f>
        <v>6.7984728957526396E-14</v>
      </c>
      <c r="CA153" s="14">
        <f t="shared" si="147"/>
        <v>1.0682447123141398E-12</v>
      </c>
      <c r="CB153" s="22">
        <f t="shared" si="118"/>
        <v>1.978932943548152E-12</v>
      </c>
      <c r="CC153" s="62">
        <f t="shared" si="119"/>
        <v>283.2400605198963</v>
      </c>
      <c r="CD153" s="62">
        <f ca="1">AVERAGE(OFFSET($CC$3,0,0,'Données projet'!$E$12+1,1))-AVERAGE(OFFSET($H$3,0,0,'Données projet'!$E$12+1,1))</f>
        <v>437.94016462147999</v>
      </c>
      <c r="CE153" s="62">
        <f t="shared" si="148"/>
        <v>281.88254003380348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7.1022829459862333E-18</v>
      </c>
      <c r="CN153" s="24">
        <f t="shared" si="120"/>
        <v>7.1022829459862333E-18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1.1368683772161603E-13</v>
      </c>
      <c r="CU153" s="18">
        <f>CT153*VLOOKUP('Données projet'!$B$13,Paramètres!$A$1:$I$89,3,0)*VLOOKUP('Données projet'!$B$13,Paramètres!$A$1:$I$89,5,0)</f>
        <v>1.2946657079737634E-13</v>
      </c>
      <c r="CV153" s="14">
        <f t="shared" si="149"/>
        <v>1.8873591890224769E-12</v>
      </c>
      <c r="CW153" s="22">
        <f t="shared" si="121"/>
        <v>3.5126381983529106E-12</v>
      </c>
      <c r="CX153" s="62">
        <f t="shared" si="122"/>
        <v>283.24006051989784</v>
      </c>
      <c r="CY153" s="62">
        <f ca="1">AVERAGE(OFFSET($CX$3,0,0,'Données projet'!$E$13+1,1))-AVERAGE(OFFSET($H$3,0,0,'Données projet'!$E$13+1,1))</f>
        <v>520.23742527061836</v>
      </c>
      <c r="CZ153" s="62">
        <f t="shared" si="150"/>
        <v>321.35925479331274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>
        <f>DO153*VLOOKUP('Données projet'!$B$14,Paramètres!$A$1:$I$89,3,0)*VLOOKUP('Données projet'!$B$14,Paramètres!$A$1:$I$89,5,0)</f>
        <v>0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547.89540791313675</v>
      </c>
      <c r="DU153" s="62">
        <f t="shared" si="152"/>
        <v>345.19555189302378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5.6843418860808015E-14</v>
      </c>
      <c r="EK153" s="18">
        <f>EJ153*VLOOKUP('Données projet'!$B$15,Paramètres!$A$1:$I$89,3,0)*VLOOKUP('Données projet'!$B$15,Paramètres!$A$1:$I$89,5,0)</f>
        <v>5.9412741393316544E-14</v>
      </c>
      <c r="EL153" s="14">
        <f t="shared" si="153"/>
        <v>9.483138037075782E-13</v>
      </c>
      <c r="EM153" s="22">
        <f t="shared" si="127"/>
        <v>1.7551237327173916E-12</v>
      </c>
      <c r="EN153" s="62">
        <f t="shared" si="128"/>
        <v>283.24006051989608</v>
      </c>
      <c r="EO153" s="62">
        <f ca="1">AVERAGE(OFFSET($EN$3,0,0,'Données projet'!$E$15+1,1))-AVERAGE(OFFSET($H$3,0,0,'Données projet'!$E$15+1,1))</f>
        <v>418.23737352070503</v>
      </c>
      <c r="EP153" s="62">
        <f t="shared" si="154"/>
        <v>496.10742685332968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1.1368683772161603E-13</v>
      </c>
      <c r="FF153" s="18">
        <f>FE153*VLOOKUP('Données projet'!$B$16,Paramètres!$A$1:$I$89,3,0)*VLOOKUP('Données projet'!$B$16,Paramètres!$A$1:$I$89,5,0)</f>
        <v>6.7984728957526396E-14</v>
      </c>
      <c r="FG153" s="14">
        <f t="shared" si="155"/>
        <v>1.0682447123141398E-12</v>
      </c>
      <c r="FH153" s="22">
        <f t="shared" si="130"/>
        <v>1.978932943548152E-12</v>
      </c>
      <c r="FI153" s="62">
        <f t="shared" si="131"/>
        <v>283.2400605198963</v>
      </c>
      <c r="FJ153" s="62">
        <f ca="1">AVERAGE(OFFSET($FI$3,0,0,'Données projet'!$E$16+1,1))-AVERAGE(OFFSET($H$3,0,0,'Données projet'!$E$16+1,1))</f>
        <v>341.70983624543067</v>
      </c>
      <c r="FK153" s="62">
        <f t="shared" si="156"/>
        <v>250.82562837973805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1.074895888747612E-17</v>
      </c>
      <c r="FT153" s="24">
        <f t="shared" si="132"/>
        <v>1.074895888747612E-17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-2.2737367544323206E-13</v>
      </c>
      <c r="GA153" s="18">
        <f>FZ153*VLOOKUP('Données projet'!$B$17,Paramètres!$A$1:$I$89,3,0)*VLOOKUP('Données projet'!$B$17,Paramètres!$A$1:$I$89,5,0)</f>
        <v>-1.064108801074326E-13</v>
      </c>
      <c r="GB153" s="14" t="e">
        <f t="shared" si="157"/>
        <v>#NUM!</v>
      </c>
      <c r="GC153" s="22" t="e">
        <f t="shared" si="133"/>
        <v>#NUM!</v>
      </c>
      <c r="GD153" s="62" t="e">
        <f t="shared" si="134"/>
        <v>#NUM!</v>
      </c>
      <c r="GE153" s="62">
        <f ca="1">AVERAGE(OFFSET($GD$3,0,0,'Données projet'!$E$17+1,1))-AVERAGE(OFFSET($H$3,0,0,'Données projet'!$E$17+1,1))</f>
        <v>368.69628434154333</v>
      </c>
      <c r="GF153" s="62">
        <f t="shared" si="158"/>
        <v>202.28197295839524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-1.1368683772161603E-13</v>
      </c>
      <c r="GV153" s="18">
        <f>GU153*VLOOKUP('Données projet'!$B$18,Paramètres!$A$1:$I$89,3,0)*VLOOKUP('Données projet'!$B$18,Paramètres!$A$1:$I$89,5,0)</f>
        <v>-9.9316821433603781E-14</v>
      </c>
      <c r="GW153" s="14" t="e">
        <f t="shared" si="159"/>
        <v>#NUM!</v>
      </c>
      <c r="GX153" s="22" t="e">
        <f t="shared" si="136"/>
        <v>#NUM!</v>
      </c>
      <c r="GY153" s="62" t="e">
        <f t="shared" si="137"/>
        <v>#NUM!</v>
      </c>
      <c r="GZ153" s="62">
        <f ca="1">AVERAGE(OFFSET($GY$3,0,0,'Données projet'!$E$18+1,1))-AVERAGE(OFFSET($H$3,0,0,'Données projet'!$E$18+1,1))</f>
        <v>378.51861272969165</v>
      </c>
      <c r="HA153" s="62">
        <f t="shared" si="160"/>
        <v>387.42368617035459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0</v>
      </c>
      <c r="HH153" s="23">
        <f>EXP(-LN(2)/25)*HH152+(1-EXP(-LN(2)/25))/(LN(2)/25)*Calculateur!HC153*Calculateur!HE153*VLOOKUP('Données projet'!$B$18,Paramètres!$A$1:$I$89,3,0)*0.475*44/12</f>
        <v>0</v>
      </c>
      <c r="HI153" s="23">
        <f>EXP(-LN(2)/2)*HI152+(1-EXP(-LN(2)/2))/(LN(2)/2)*HC153*HF153*VLOOKUP('Données projet'!$B$18,Paramètres!$A$1:$I$89,3,0)*0.475*44/12</f>
        <v>0</v>
      </c>
      <c r="HJ153" s="24">
        <f t="shared" si="138"/>
        <v>0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135.66666666666666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283.41515623803195</v>
      </c>
      <c r="S154" s="62">
        <f ca="1">AVERAGE(OFFSET($R$3,0,0,'Données projet'!$E$9+1,1))-AVERAGE(OFFSET($H$3,0,0,'Données projet'!$E$9+1,1))</f>
        <v>437.94016462147999</v>
      </c>
      <c r="T154" s="62">
        <f t="shared" si="142"/>
        <v>281.88254003380348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5.0220724330124356E-18</v>
      </c>
      <c r="AC154" s="24">
        <f t="shared" ref="AC154:AC203" si="163">SUM(Z154:AB154)</f>
        <v>5.0220724330124356E-18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1.0286385077051818E-13</v>
      </c>
      <c r="AK154" s="14">
        <f t="shared" ref="AK154:AK203" si="164">EXP(-1.0587+0.8836*LN(AJ154)+0.284)</f>
        <v>1.5402366592183556E-12</v>
      </c>
      <c r="AL154" s="22">
        <f t="shared" ref="AL154:AL203" si="165">(AJ154+AK154)*0.475*44/12</f>
        <v>2.8617333882306215E-12</v>
      </c>
      <c r="AM154" s="62">
        <f t="shared" si="113"/>
        <v>283.41515623803281</v>
      </c>
      <c r="AN154" s="62">
        <f ca="1">AVERAGE(OFFSET($AM$3,0,0,'Données projet'!$E$10+1,1))-AVERAGE(OFFSET($H$3,0,0,'Données projet'!$E$10+1,1))</f>
        <v>434.56763649859136</v>
      </c>
      <c r="AO154" s="62">
        <f t="shared" si="144"/>
        <v>271.90302066766264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6.7984728957526396E-14</v>
      </c>
      <c r="BF154" s="14">
        <f t="shared" ref="BF154:BF203" si="167">EXP(-1.0587+0.8836*LN(BE154)+0.284)</f>
        <v>1.0682447123141398E-12</v>
      </c>
      <c r="BG154" s="22">
        <f t="shared" ref="BG154:BG203" si="168">(BE154+BF154)*0.475*44/12</f>
        <v>1.978932943548152E-12</v>
      </c>
      <c r="BH154" s="62">
        <f t="shared" si="116"/>
        <v>283.41515623803195</v>
      </c>
      <c r="BI154" s="62">
        <f ca="1">AVERAGE(OFFSET($BH$3,0,0,'Données projet'!$E$11+1,1))-AVERAGE(OFFSET($H$3,0,0,'Données projet'!$E$11+1,1))</f>
        <v>199.65420589615553</v>
      </c>
      <c r="BJ154" s="62">
        <f t="shared" si="146"/>
        <v>477.85821088970999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4.8550060477740864</v>
      </c>
      <c r="BQ154" s="23">
        <f>EXP(-LN(2)/25)*BQ153+(1-EXP(-LN(2)/25))/(LN(2)/25)*Calculateur!BL154*Calculateur!BN154*VLOOKUP('Données projet'!$B$11,Paramètres!$A$1:$I$89,3,0)*0.475*44/12</f>
        <v>1.5344826692804632</v>
      </c>
      <c r="BR154" s="23">
        <f>EXP(-LN(2)/2)*BR153+(1-EXP(-LN(2)/2))/(LN(2)/2)*BL154*BO154*VLOOKUP('Données projet'!$B$11,Paramètres!$A$1:$I$89,3,0)*0.475*44/12</f>
        <v>2.6720633716484566E-17</v>
      </c>
      <c r="BS154" s="24">
        <f t="shared" ref="BS154:BS203" si="169">SUM(BP154:BR154)</f>
        <v>6.3894887170545491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1.1368683772161603E-13</v>
      </c>
      <c r="BZ154" s="14">
        <f>BY154*VLOOKUP('Données projet'!$B$12,Paramètres!$A$1:$I$89,3,0)*VLOOKUP('Données projet'!$B$12,Paramètres!$A$1:$I$89,5,0)</f>
        <v>6.7984728957526396E-14</v>
      </c>
      <c r="CA154" s="14">
        <f t="shared" ref="CA154:CA203" si="170">EXP(-1.0587+0.8836*LN(BZ154)+0.284)</f>
        <v>1.0682447123141398E-12</v>
      </c>
      <c r="CB154" s="22">
        <f t="shared" ref="CB154:CB203" si="171">(BZ154+CA154)*0.475*44/12</f>
        <v>1.978932943548152E-12</v>
      </c>
      <c r="CC154" s="62">
        <f t="shared" si="119"/>
        <v>283.41515623803195</v>
      </c>
      <c r="CD154" s="62">
        <f ca="1">AVERAGE(OFFSET($CC$3,0,0,'Données projet'!$E$12+1,1))-AVERAGE(OFFSET($H$3,0,0,'Données projet'!$E$12+1,1))</f>
        <v>437.94016462147999</v>
      </c>
      <c r="CE154" s="62">
        <f t="shared" si="148"/>
        <v>281.88254003380348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5.0220724330124356E-18</v>
      </c>
      <c r="CN154" s="24">
        <f t="shared" ref="CN154:CN203" si="172">SUM(CK154:CM154)</f>
        <v>5.0220724330124356E-18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1.1368683772161603E-13</v>
      </c>
      <c r="CU154" s="18">
        <f>CT154*VLOOKUP('Données projet'!$B$13,Paramètres!$A$1:$I$89,3,0)*VLOOKUP('Données projet'!$B$13,Paramètres!$A$1:$I$89,5,0)</f>
        <v>1.2946657079737634E-13</v>
      </c>
      <c r="CV154" s="14">
        <f t="shared" ref="CV154:CV203" si="173">EXP(-1.0587+0.8836*LN(CU154)+0.284)</f>
        <v>1.8873591890224769E-12</v>
      </c>
      <c r="CW154" s="22">
        <f t="shared" ref="CW154:CW203" si="174">(CU154+CV154)*0.475*44/12</f>
        <v>3.5126381983529106E-12</v>
      </c>
      <c r="CX154" s="62">
        <f t="shared" si="122"/>
        <v>283.41515623803349</v>
      </c>
      <c r="CY154" s="62">
        <f ca="1">AVERAGE(OFFSET($CX$3,0,0,'Données projet'!$E$13+1,1))-AVERAGE(OFFSET($H$3,0,0,'Données projet'!$E$13+1,1))</f>
        <v>520.23742527061836</v>
      </c>
      <c r="CZ154" s="62">
        <f t="shared" si="150"/>
        <v>321.35925479331274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>
        <f>DO154*VLOOKUP('Données projet'!$B$14,Paramètres!$A$1:$I$89,3,0)*VLOOKUP('Données projet'!$B$14,Paramètres!$A$1:$I$89,5,0)</f>
        <v>0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547.89540791313675</v>
      </c>
      <c r="DU154" s="62">
        <f t="shared" si="152"/>
        <v>345.19555189302378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5.6843418860808015E-14</v>
      </c>
      <c r="EK154" s="18">
        <f>EJ154*VLOOKUP('Données projet'!$B$15,Paramètres!$A$1:$I$89,3,0)*VLOOKUP('Données projet'!$B$15,Paramètres!$A$1:$I$89,5,0)</f>
        <v>5.9412741393316544E-14</v>
      </c>
      <c r="EL154" s="14">
        <f t="shared" ref="EL154:EL203" si="179">EXP(-1.0587+0.8836*LN(EK154)+0.284)</f>
        <v>9.483138037075782E-13</v>
      </c>
      <c r="EM154" s="22">
        <f t="shared" ref="EM154:EM203" si="180">(EK154+EL154)*0.475*44/12</f>
        <v>1.7551237327173916E-12</v>
      </c>
      <c r="EN154" s="62">
        <f t="shared" si="128"/>
        <v>283.41515623803173</v>
      </c>
      <c r="EO154" s="62">
        <f ca="1">AVERAGE(OFFSET($EN$3,0,0,'Données projet'!$E$15+1,1))-AVERAGE(OFFSET($H$3,0,0,'Données projet'!$E$15+1,1))</f>
        <v>418.23737352070503</v>
      </c>
      <c r="EP154" s="62">
        <f t="shared" si="154"/>
        <v>496.10742685332968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1.1368683772161603E-13</v>
      </c>
      <c r="FF154" s="18">
        <f>FE154*VLOOKUP('Données projet'!$B$16,Paramètres!$A$1:$I$89,3,0)*VLOOKUP('Données projet'!$B$16,Paramètres!$A$1:$I$89,5,0)</f>
        <v>6.7984728957526396E-14</v>
      </c>
      <c r="FG154" s="14">
        <f t="shared" ref="FG154:FG203" si="182">EXP(-1.0587+0.8836*LN(FF154)+0.284)</f>
        <v>1.0682447123141398E-12</v>
      </c>
      <c r="FH154" s="22">
        <f t="shared" ref="FH154:FH203" si="183">(FF154+FG154)*0.475*44/12</f>
        <v>1.978932943548152E-12</v>
      </c>
      <c r="FI154" s="62">
        <f t="shared" si="131"/>
        <v>283.41515623803195</v>
      </c>
      <c r="FJ154" s="62">
        <f ca="1">AVERAGE(OFFSET($FI$3,0,0,'Données projet'!$E$16+1,1))-AVERAGE(OFFSET($H$3,0,0,'Données projet'!$E$16+1,1))</f>
        <v>341.70983624543067</v>
      </c>
      <c r="FK154" s="62">
        <f t="shared" si="156"/>
        <v>250.82562837973805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7.6006617200297719E-18</v>
      </c>
      <c r="FT154" s="24">
        <f t="shared" ref="FT154:FT203" si="184">SUM(FQ154:FS154)</f>
        <v>7.6006617200297719E-18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-2.2737367544323206E-13</v>
      </c>
      <c r="GA154" s="18">
        <f>FZ154*VLOOKUP('Données projet'!$B$17,Paramètres!$A$1:$I$89,3,0)*VLOOKUP('Données projet'!$B$17,Paramètres!$A$1:$I$89,5,0)</f>
        <v>-1.064108801074326E-13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2" t="e">
        <f t="shared" si="134"/>
        <v>#NUM!</v>
      </c>
      <c r="GE154" s="62">
        <f ca="1">AVERAGE(OFFSET($GD$3,0,0,'Données projet'!$E$17+1,1))-AVERAGE(OFFSET($H$3,0,0,'Données projet'!$E$17+1,1))</f>
        <v>368.69628434154333</v>
      </c>
      <c r="GF154" s="62">
        <f t="shared" si="158"/>
        <v>202.28197295839524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-1.1368683772161603E-13</v>
      </c>
      <c r="GV154" s="18">
        <f>GU154*VLOOKUP('Données projet'!$B$18,Paramètres!$A$1:$I$89,3,0)*VLOOKUP('Données projet'!$B$18,Paramètres!$A$1:$I$89,5,0)</f>
        <v>-9.9316821433603781E-14</v>
      </c>
      <c r="GW154" s="14" t="e">
        <f t="shared" ref="GW154:GW203" si="188">EXP(-1.0587+0.8836*LN(GV154)+0.284)</f>
        <v>#NUM!</v>
      </c>
      <c r="GX154" s="22" t="e">
        <f t="shared" ref="GX154:GX203" si="189">(GV154+GW154)*0.475*44/12</f>
        <v>#NUM!</v>
      </c>
      <c r="GY154" s="62" t="e">
        <f t="shared" si="137"/>
        <v>#NUM!</v>
      </c>
      <c r="GZ154" s="62">
        <f ca="1">AVERAGE(OFFSET($GY$3,0,0,'Données projet'!$E$18+1,1))-AVERAGE(OFFSET($H$3,0,0,'Données projet'!$E$18+1,1))</f>
        <v>378.51861272969165</v>
      </c>
      <c r="HA154" s="62">
        <f t="shared" si="160"/>
        <v>387.42368617035459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0</v>
      </c>
      <c r="HH154" s="23">
        <f>EXP(-LN(2)/25)*HH153+(1-EXP(-LN(2)/25))/(LN(2)/25)*Calculateur!HC154*Calculateur!HE154*VLOOKUP('Données projet'!$B$18,Paramètres!$A$1:$I$89,3,0)*0.475*44/12</f>
        <v>0</v>
      </c>
      <c r="HI154" s="23">
        <f>EXP(-LN(2)/2)*HI153+(1-EXP(-LN(2)/2))/(LN(2)/2)*HC154*HF154*VLOOKUP('Données projet'!$B$18,Paramètres!$A$1:$I$89,3,0)*0.475*44/12</f>
        <v>0</v>
      </c>
      <c r="HJ154" s="24">
        <f t="shared" ref="HJ154:HJ203" si="190">SUM(HG154:HI154)</f>
        <v>0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135.66666666666666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283.58721443691337</v>
      </c>
      <c r="S155" s="62">
        <f ca="1">AVERAGE(OFFSET($R$3,0,0,'Données projet'!$E$9+1,1))-AVERAGE(OFFSET($H$3,0,0,'Données projet'!$E$9+1,1))</f>
        <v>437.94016462147999</v>
      </c>
      <c r="T155" s="62">
        <f t="shared" si="142"/>
        <v>281.88254003380348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3.5511414729931166E-18</v>
      </c>
      <c r="AC155" s="24">
        <f t="shared" si="163"/>
        <v>3.5511414729931166E-18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1.0286385077051818E-13</v>
      </c>
      <c r="AK155" s="14">
        <f t="shared" si="164"/>
        <v>1.5402366592183556E-12</v>
      </c>
      <c r="AL155" s="22">
        <f t="shared" si="165"/>
        <v>2.8617333882306215E-12</v>
      </c>
      <c r="AM155" s="62">
        <f t="shared" si="113"/>
        <v>283.58721443691422</v>
      </c>
      <c r="AN155" s="62">
        <f ca="1">AVERAGE(OFFSET($AM$3,0,0,'Données projet'!$E$10+1,1))-AVERAGE(OFFSET($H$3,0,0,'Données projet'!$E$10+1,1))</f>
        <v>434.56763649859136</v>
      </c>
      <c r="AO155" s="62">
        <f t="shared" si="144"/>
        <v>271.90302066766264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6.7984728957526396E-14</v>
      </c>
      <c r="BF155" s="14">
        <f t="shared" si="167"/>
        <v>1.0682447123141398E-12</v>
      </c>
      <c r="BG155" s="22">
        <f t="shared" si="168"/>
        <v>1.978932943548152E-12</v>
      </c>
      <c r="BH155" s="62">
        <f t="shared" si="116"/>
        <v>283.58721443691337</v>
      </c>
      <c r="BI155" s="62">
        <f ca="1">AVERAGE(OFFSET($BH$3,0,0,'Données projet'!$E$11+1,1))-AVERAGE(OFFSET($H$3,0,0,'Données projet'!$E$11+1,1))</f>
        <v>199.65420589615553</v>
      </c>
      <c r="BJ155" s="62">
        <f t="shared" si="146"/>
        <v>477.85821088970999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4.759802340438525</v>
      </c>
      <c r="BQ155" s="23">
        <f>EXP(-LN(2)/25)*BQ154+(1-EXP(-LN(2)/25))/(LN(2)/25)*Calculateur!BL155*Calculateur!BN155*VLOOKUP('Données projet'!$B$11,Paramètres!$A$1:$I$89,3,0)*0.475*44/12</f>
        <v>1.4925221599940524</v>
      </c>
      <c r="BR155" s="23">
        <f>EXP(-LN(2)/2)*BR154+(1-EXP(-LN(2)/2))/(LN(2)/2)*BL155*BO155*VLOOKUP('Données projet'!$B$11,Paramètres!$A$1:$I$89,3,0)*0.475*44/12</f>
        <v>1.8894341298528136E-17</v>
      </c>
      <c r="BS155" s="24">
        <f t="shared" si="169"/>
        <v>6.2523245004325769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1.1368683772161603E-13</v>
      </c>
      <c r="BZ155" s="14">
        <f>BY155*VLOOKUP('Données projet'!$B$12,Paramètres!$A$1:$I$89,3,0)*VLOOKUP('Données projet'!$B$12,Paramètres!$A$1:$I$89,5,0)</f>
        <v>6.7984728957526396E-14</v>
      </c>
      <c r="CA155" s="14">
        <f t="shared" si="170"/>
        <v>1.0682447123141398E-12</v>
      </c>
      <c r="CB155" s="22">
        <f t="shared" si="171"/>
        <v>1.978932943548152E-12</v>
      </c>
      <c r="CC155" s="62">
        <f t="shared" si="119"/>
        <v>283.58721443691337</v>
      </c>
      <c r="CD155" s="62">
        <f ca="1">AVERAGE(OFFSET($CC$3,0,0,'Données projet'!$E$12+1,1))-AVERAGE(OFFSET($H$3,0,0,'Données projet'!$E$12+1,1))</f>
        <v>437.94016462147999</v>
      </c>
      <c r="CE155" s="62">
        <f t="shared" si="148"/>
        <v>281.88254003380348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3.5511414729931166E-18</v>
      </c>
      <c r="CN155" s="24">
        <f t="shared" si="172"/>
        <v>3.5511414729931166E-18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1.1368683772161603E-13</v>
      </c>
      <c r="CU155" s="18">
        <f>CT155*VLOOKUP('Données projet'!$B$13,Paramètres!$A$1:$I$89,3,0)*VLOOKUP('Données projet'!$B$13,Paramètres!$A$1:$I$89,5,0)</f>
        <v>1.2946657079737634E-13</v>
      </c>
      <c r="CV155" s="14">
        <f t="shared" si="173"/>
        <v>1.8873591890224769E-12</v>
      </c>
      <c r="CW155" s="22">
        <f t="shared" si="174"/>
        <v>3.5126381983529106E-12</v>
      </c>
      <c r="CX155" s="62">
        <f t="shared" si="122"/>
        <v>283.58721443691491</v>
      </c>
      <c r="CY155" s="62">
        <f ca="1">AVERAGE(OFFSET($CX$3,0,0,'Données projet'!$E$13+1,1))-AVERAGE(OFFSET($H$3,0,0,'Données projet'!$E$13+1,1))</f>
        <v>520.23742527061836</v>
      </c>
      <c r="CZ155" s="62">
        <f t="shared" si="150"/>
        <v>321.35925479331274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>
        <f>DO155*VLOOKUP('Données projet'!$B$14,Paramètres!$A$1:$I$89,3,0)*VLOOKUP('Données projet'!$B$14,Paramètres!$A$1:$I$89,5,0)</f>
        <v>0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547.89540791313675</v>
      </c>
      <c r="DU155" s="62">
        <f t="shared" si="152"/>
        <v>345.19555189302378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5.6843418860808015E-14</v>
      </c>
      <c r="EK155" s="18">
        <f>EJ155*VLOOKUP('Données projet'!$B$15,Paramètres!$A$1:$I$89,3,0)*VLOOKUP('Données projet'!$B$15,Paramètres!$A$1:$I$89,5,0)</f>
        <v>5.9412741393316544E-14</v>
      </c>
      <c r="EL155" s="14">
        <f t="shared" si="179"/>
        <v>9.483138037075782E-13</v>
      </c>
      <c r="EM155" s="22">
        <f t="shared" si="180"/>
        <v>1.7551237327173916E-12</v>
      </c>
      <c r="EN155" s="62">
        <f t="shared" si="128"/>
        <v>283.58721443691314</v>
      </c>
      <c r="EO155" s="62">
        <f ca="1">AVERAGE(OFFSET($EN$3,0,0,'Données projet'!$E$15+1,1))-AVERAGE(OFFSET($H$3,0,0,'Données projet'!$E$15+1,1))</f>
        <v>418.23737352070503</v>
      </c>
      <c r="EP155" s="62">
        <f t="shared" si="154"/>
        <v>496.10742685332968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1.1368683772161603E-13</v>
      </c>
      <c r="FF155" s="18">
        <f>FE155*VLOOKUP('Données projet'!$B$16,Paramètres!$A$1:$I$89,3,0)*VLOOKUP('Données projet'!$B$16,Paramètres!$A$1:$I$89,5,0)</f>
        <v>6.7984728957526396E-14</v>
      </c>
      <c r="FG155" s="14">
        <f t="shared" si="182"/>
        <v>1.0682447123141398E-12</v>
      </c>
      <c r="FH155" s="22">
        <f t="shared" si="183"/>
        <v>1.978932943548152E-12</v>
      </c>
      <c r="FI155" s="62">
        <f t="shared" si="131"/>
        <v>283.58721443691337</v>
      </c>
      <c r="FJ155" s="62">
        <f ca="1">AVERAGE(OFFSET($FI$3,0,0,'Données projet'!$E$16+1,1))-AVERAGE(OFFSET($H$3,0,0,'Données projet'!$E$16+1,1))</f>
        <v>341.70983624543067</v>
      </c>
      <c r="FK155" s="62">
        <f t="shared" si="156"/>
        <v>250.82562837973805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5.3744794437380598E-18</v>
      </c>
      <c r="FT155" s="24">
        <f t="shared" si="184"/>
        <v>5.3744794437380598E-18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-2.2737367544323206E-13</v>
      </c>
      <c r="GA155" s="18">
        <f>FZ155*VLOOKUP('Données projet'!$B$17,Paramètres!$A$1:$I$89,3,0)*VLOOKUP('Données projet'!$B$17,Paramètres!$A$1:$I$89,5,0)</f>
        <v>-1.064108801074326E-13</v>
      </c>
      <c r="GB155" s="14" t="e">
        <f t="shared" si="185"/>
        <v>#NUM!</v>
      </c>
      <c r="GC155" s="22" t="e">
        <f t="shared" si="186"/>
        <v>#NUM!</v>
      </c>
      <c r="GD155" s="62" t="e">
        <f t="shared" si="134"/>
        <v>#NUM!</v>
      </c>
      <c r="GE155" s="62">
        <f ca="1">AVERAGE(OFFSET($GD$3,0,0,'Données projet'!$E$17+1,1))-AVERAGE(OFFSET($H$3,0,0,'Données projet'!$E$17+1,1))</f>
        <v>368.69628434154333</v>
      </c>
      <c r="GF155" s="62">
        <f t="shared" si="158"/>
        <v>202.28197295839524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-1.1368683772161603E-13</v>
      </c>
      <c r="GV155" s="18">
        <f>GU155*VLOOKUP('Données projet'!$B$18,Paramètres!$A$1:$I$89,3,0)*VLOOKUP('Données projet'!$B$18,Paramètres!$A$1:$I$89,5,0)</f>
        <v>-9.9316821433603781E-14</v>
      </c>
      <c r="GW155" s="14" t="e">
        <f t="shared" si="188"/>
        <v>#NUM!</v>
      </c>
      <c r="GX155" s="22" t="e">
        <f t="shared" si="189"/>
        <v>#NUM!</v>
      </c>
      <c r="GY155" s="62" t="e">
        <f t="shared" si="137"/>
        <v>#NUM!</v>
      </c>
      <c r="GZ155" s="62">
        <f ca="1">AVERAGE(OFFSET($GY$3,0,0,'Données projet'!$E$18+1,1))-AVERAGE(OFFSET($H$3,0,0,'Données projet'!$E$18+1,1))</f>
        <v>378.51861272969165</v>
      </c>
      <c r="HA155" s="62">
        <f t="shared" si="160"/>
        <v>387.42368617035459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0</v>
      </c>
      <c r="HH155" s="23">
        <f>EXP(-LN(2)/25)*HH154+(1-EXP(-LN(2)/25))/(LN(2)/25)*Calculateur!HC155*Calculateur!HE155*VLOOKUP('Données projet'!$B$18,Paramètres!$A$1:$I$89,3,0)*0.475*44/12</f>
        <v>0</v>
      </c>
      <c r="HI155" s="23">
        <f>EXP(-LN(2)/2)*HI154+(1-EXP(-LN(2)/2))/(LN(2)/2)*HC155*HF155*VLOOKUP('Données projet'!$B$18,Paramètres!$A$1:$I$89,3,0)*0.475*44/12</f>
        <v>0</v>
      </c>
      <c r="HJ155" s="24">
        <f t="shared" si="190"/>
        <v>0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135.66666666666666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283.75628781070861</v>
      </c>
      <c r="S156" s="62">
        <f ca="1">AVERAGE(OFFSET($R$3,0,0,'Données projet'!$E$9+1,1))-AVERAGE(OFFSET($H$3,0,0,'Données projet'!$E$9+1,1))</f>
        <v>437.94016462147999</v>
      </c>
      <c r="T156" s="62">
        <f t="shared" si="142"/>
        <v>281.88254003380348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2.5110362165062178E-18</v>
      </c>
      <c r="AC156" s="24">
        <f t="shared" si="163"/>
        <v>2.5110362165062178E-18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1.0286385077051818E-13</v>
      </c>
      <c r="AK156" s="14">
        <f t="shared" si="164"/>
        <v>1.5402366592183556E-12</v>
      </c>
      <c r="AL156" s="22">
        <f t="shared" si="165"/>
        <v>2.8617333882306215E-12</v>
      </c>
      <c r="AM156" s="62">
        <f t="shared" si="113"/>
        <v>283.75628781070947</v>
      </c>
      <c r="AN156" s="62">
        <f ca="1">AVERAGE(OFFSET($AM$3,0,0,'Données projet'!$E$10+1,1))-AVERAGE(OFFSET($H$3,0,0,'Données projet'!$E$10+1,1))</f>
        <v>434.56763649859136</v>
      </c>
      <c r="AO156" s="62">
        <f t="shared" si="144"/>
        <v>271.90302066766264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6.7984728957526396E-14</v>
      </c>
      <c r="BF156" s="14">
        <f t="shared" si="167"/>
        <v>1.0682447123141398E-12</v>
      </c>
      <c r="BG156" s="22">
        <f t="shared" si="168"/>
        <v>1.978932943548152E-12</v>
      </c>
      <c r="BH156" s="62">
        <f t="shared" si="116"/>
        <v>283.75628781070861</v>
      </c>
      <c r="BI156" s="62">
        <f ca="1">AVERAGE(OFFSET($BH$3,0,0,'Données projet'!$E$11+1,1))-AVERAGE(OFFSET($H$3,0,0,'Données projet'!$E$11+1,1))</f>
        <v>199.65420589615553</v>
      </c>
      <c r="BJ156" s="62">
        <f t="shared" si="146"/>
        <v>477.85821088970999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4.6664655197352864</v>
      </c>
      <c r="BQ156" s="23">
        <f>EXP(-LN(2)/25)*BQ155+(1-EXP(-LN(2)/25))/(LN(2)/25)*Calculateur!BL156*Calculateur!BN156*VLOOKUP('Données projet'!$B$11,Paramètres!$A$1:$I$89,3,0)*0.475*44/12</f>
        <v>1.4517090630406857</v>
      </c>
      <c r="BR156" s="23">
        <f>EXP(-LN(2)/2)*BR155+(1-EXP(-LN(2)/2))/(LN(2)/2)*BL156*BO156*VLOOKUP('Données projet'!$B$11,Paramètres!$A$1:$I$89,3,0)*0.475*44/12</f>
        <v>1.3360316858242283E-17</v>
      </c>
      <c r="BS156" s="24">
        <f t="shared" si="169"/>
        <v>6.1181745827759721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1.1368683772161603E-13</v>
      </c>
      <c r="BZ156" s="14">
        <f>BY156*VLOOKUP('Données projet'!$B$12,Paramètres!$A$1:$I$89,3,0)*VLOOKUP('Données projet'!$B$12,Paramètres!$A$1:$I$89,5,0)</f>
        <v>6.7984728957526396E-14</v>
      </c>
      <c r="CA156" s="14">
        <f t="shared" si="170"/>
        <v>1.0682447123141398E-12</v>
      </c>
      <c r="CB156" s="22">
        <f t="shared" si="171"/>
        <v>1.978932943548152E-12</v>
      </c>
      <c r="CC156" s="62">
        <f t="shared" si="119"/>
        <v>283.75628781070861</v>
      </c>
      <c r="CD156" s="62">
        <f ca="1">AVERAGE(OFFSET($CC$3,0,0,'Données projet'!$E$12+1,1))-AVERAGE(OFFSET($H$3,0,0,'Données projet'!$E$12+1,1))</f>
        <v>437.94016462147999</v>
      </c>
      <c r="CE156" s="62">
        <f t="shared" si="148"/>
        <v>281.88254003380348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2.5110362165062178E-18</v>
      </c>
      <c r="CN156" s="24">
        <f t="shared" si="172"/>
        <v>2.5110362165062178E-18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1.1368683772161603E-13</v>
      </c>
      <c r="CU156" s="18">
        <f>CT156*VLOOKUP('Données projet'!$B$13,Paramètres!$A$1:$I$89,3,0)*VLOOKUP('Données projet'!$B$13,Paramètres!$A$1:$I$89,5,0)</f>
        <v>1.2946657079737634E-13</v>
      </c>
      <c r="CV156" s="14">
        <f t="shared" si="173"/>
        <v>1.8873591890224769E-12</v>
      </c>
      <c r="CW156" s="22">
        <f t="shared" si="174"/>
        <v>3.5126381983529106E-12</v>
      </c>
      <c r="CX156" s="62">
        <f t="shared" si="122"/>
        <v>283.75628781071015</v>
      </c>
      <c r="CY156" s="62">
        <f ca="1">AVERAGE(OFFSET($CX$3,0,0,'Données projet'!$E$13+1,1))-AVERAGE(OFFSET($H$3,0,0,'Données projet'!$E$13+1,1))</f>
        <v>520.23742527061836</v>
      </c>
      <c r="CZ156" s="62">
        <f t="shared" si="150"/>
        <v>321.35925479331274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>
        <f>DO156*VLOOKUP('Données projet'!$B$14,Paramètres!$A$1:$I$89,3,0)*VLOOKUP('Données projet'!$B$14,Paramètres!$A$1:$I$89,5,0)</f>
        <v>0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547.89540791313675</v>
      </c>
      <c r="DU156" s="62">
        <f t="shared" si="152"/>
        <v>345.19555189302378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5.6843418860808015E-14</v>
      </c>
      <c r="EK156" s="18">
        <f>EJ156*VLOOKUP('Données projet'!$B$15,Paramètres!$A$1:$I$89,3,0)*VLOOKUP('Données projet'!$B$15,Paramètres!$A$1:$I$89,5,0)</f>
        <v>5.9412741393316544E-14</v>
      </c>
      <c r="EL156" s="14">
        <f t="shared" si="179"/>
        <v>9.483138037075782E-13</v>
      </c>
      <c r="EM156" s="22">
        <f t="shared" si="180"/>
        <v>1.7551237327173916E-12</v>
      </c>
      <c r="EN156" s="62">
        <f t="shared" si="128"/>
        <v>283.75628781070839</v>
      </c>
      <c r="EO156" s="62">
        <f ca="1">AVERAGE(OFFSET($EN$3,0,0,'Données projet'!$E$15+1,1))-AVERAGE(OFFSET($H$3,0,0,'Données projet'!$E$15+1,1))</f>
        <v>418.23737352070503</v>
      </c>
      <c r="EP156" s="62">
        <f t="shared" si="154"/>
        <v>496.10742685332968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1.1368683772161603E-13</v>
      </c>
      <c r="FF156" s="18">
        <f>FE156*VLOOKUP('Données projet'!$B$16,Paramètres!$A$1:$I$89,3,0)*VLOOKUP('Données projet'!$B$16,Paramètres!$A$1:$I$89,5,0)</f>
        <v>6.7984728957526396E-14</v>
      </c>
      <c r="FG156" s="14">
        <f t="shared" si="182"/>
        <v>1.0682447123141398E-12</v>
      </c>
      <c r="FH156" s="22">
        <f t="shared" si="183"/>
        <v>1.978932943548152E-12</v>
      </c>
      <c r="FI156" s="62">
        <f t="shared" si="131"/>
        <v>283.75628781070861</v>
      </c>
      <c r="FJ156" s="62">
        <f ca="1">AVERAGE(OFFSET($FI$3,0,0,'Données projet'!$E$16+1,1))-AVERAGE(OFFSET($H$3,0,0,'Données projet'!$E$16+1,1))</f>
        <v>341.70983624543067</v>
      </c>
      <c r="FK156" s="62">
        <f t="shared" si="156"/>
        <v>250.82562837973805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3.8003308600148859E-18</v>
      </c>
      <c r="FT156" s="24">
        <f t="shared" si="184"/>
        <v>3.8003308600148859E-18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-2.2737367544323206E-13</v>
      </c>
      <c r="GA156" s="18">
        <f>FZ156*VLOOKUP('Données projet'!$B$17,Paramètres!$A$1:$I$89,3,0)*VLOOKUP('Données projet'!$B$17,Paramètres!$A$1:$I$89,5,0)</f>
        <v>-1.064108801074326E-13</v>
      </c>
      <c r="GB156" s="14" t="e">
        <f t="shared" si="185"/>
        <v>#NUM!</v>
      </c>
      <c r="GC156" s="22" t="e">
        <f t="shared" si="186"/>
        <v>#NUM!</v>
      </c>
      <c r="GD156" s="62" t="e">
        <f t="shared" si="134"/>
        <v>#NUM!</v>
      </c>
      <c r="GE156" s="62">
        <f ca="1">AVERAGE(OFFSET($GD$3,0,0,'Données projet'!$E$17+1,1))-AVERAGE(OFFSET($H$3,0,0,'Données projet'!$E$17+1,1))</f>
        <v>368.69628434154333</v>
      </c>
      <c r="GF156" s="62">
        <f t="shared" si="158"/>
        <v>202.28197295839524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-1.1368683772161603E-13</v>
      </c>
      <c r="GV156" s="18">
        <f>GU156*VLOOKUP('Données projet'!$B$18,Paramètres!$A$1:$I$89,3,0)*VLOOKUP('Données projet'!$B$18,Paramètres!$A$1:$I$89,5,0)</f>
        <v>-9.9316821433603781E-14</v>
      </c>
      <c r="GW156" s="14" t="e">
        <f t="shared" si="188"/>
        <v>#NUM!</v>
      </c>
      <c r="GX156" s="22" t="e">
        <f t="shared" si="189"/>
        <v>#NUM!</v>
      </c>
      <c r="GY156" s="62" t="e">
        <f t="shared" si="137"/>
        <v>#NUM!</v>
      </c>
      <c r="GZ156" s="62">
        <f ca="1">AVERAGE(OFFSET($GY$3,0,0,'Données projet'!$E$18+1,1))-AVERAGE(OFFSET($H$3,0,0,'Données projet'!$E$18+1,1))</f>
        <v>378.51861272969165</v>
      </c>
      <c r="HA156" s="62">
        <f t="shared" si="160"/>
        <v>387.42368617035459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0</v>
      </c>
      <c r="HH156" s="23">
        <f>EXP(-LN(2)/25)*HH155+(1-EXP(-LN(2)/25))/(LN(2)/25)*Calculateur!HC156*Calculateur!HE156*VLOOKUP('Données projet'!$B$18,Paramètres!$A$1:$I$89,3,0)*0.475*44/12</f>
        <v>0</v>
      </c>
      <c r="HI156" s="23">
        <f>EXP(-LN(2)/2)*HI155+(1-EXP(-LN(2)/2))/(LN(2)/2)*HC156*HF156*VLOOKUP('Données projet'!$B$18,Paramètres!$A$1:$I$89,3,0)*0.475*44/12</f>
        <v>0</v>
      </c>
      <c r="HJ156" s="24">
        <f t="shared" si="190"/>
        <v>0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135.66666666666666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283.92242813946007</v>
      </c>
      <c r="S157" s="62">
        <f ca="1">AVERAGE(OFFSET($R$3,0,0,'Données projet'!$E$9+1,1))-AVERAGE(OFFSET($H$3,0,0,'Données projet'!$E$9+1,1))</f>
        <v>437.94016462147999</v>
      </c>
      <c r="T157" s="62">
        <f t="shared" si="142"/>
        <v>281.88254003380348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1.7755707364965583E-18</v>
      </c>
      <c r="AC157" s="24">
        <f t="shared" si="163"/>
        <v>1.7755707364965583E-18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1.0286385077051818E-13</v>
      </c>
      <c r="AK157" s="14">
        <f t="shared" si="164"/>
        <v>1.5402366592183556E-12</v>
      </c>
      <c r="AL157" s="22">
        <f t="shared" si="165"/>
        <v>2.8617333882306215E-12</v>
      </c>
      <c r="AM157" s="62">
        <f t="shared" si="113"/>
        <v>283.92242813946092</v>
      </c>
      <c r="AN157" s="62">
        <f ca="1">AVERAGE(OFFSET($AM$3,0,0,'Données projet'!$E$10+1,1))-AVERAGE(OFFSET($H$3,0,0,'Données projet'!$E$10+1,1))</f>
        <v>434.56763649859136</v>
      </c>
      <c r="AO157" s="62">
        <f t="shared" si="144"/>
        <v>271.90302066766264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6.7984728957526396E-14</v>
      </c>
      <c r="BF157" s="14">
        <f t="shared" si="167"/>
        <v>1.0682447123141398E-12</v>
      </c>
      <c r="BG157" s="22">
        <f t="shared" si="168"/>
        <v>1.978932943548152E-12</v>
      </c>
      <c r="BH157" s="62">
        <f t="shared" si="116"/>
        <v>283.92242813946007</v>
      </c>
      <c r="BI157" s="62">
        <f ca="1">AVERAGE(OFFSET($BH$3,0,0,'Données projet'!$E$11+1,1))-AVERAGE(OFFSET($H$3,0,0,'Données projet'!$E$11+1,1))</f>
        <v>199.65420589615553</v>
      </c>
      <c r="BJ157" s="62">
        <f t="shared" si="146"/>
        <v>477.85821088970999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4.5749589771561991</v>
      </c>
      <c r="BQ157" s="23">
        <f>EXP(-LN(2)/25)*BQ156+(1-EXP(-LN(2)/25))/(LN(2)/25)*Calculateur!BL157*Calculateur!BN157*VLOOKUP('Données projet'!$B$11,Paramètres!$A$1:$I$89,3,0)*0.475*44/12</f>
        <v>1.4120120023697764</v>
      </c>
      <c r="BR157" s="23">
        <f>EXP(-LN(2)/2)*BR156+(1-EXP(-LN(2)/2))/(LN(2)/2)*BL157*BO157*VLOOKUP('Données projet'!$B$11,Paramètres!$A$1:$I$89,3,0)*0.475*44/12</f>
        <v>9.447170649264068E-18</v>
      </c>
      <c r="BS157" s="24">
        <f t="shared" si="169"/>
        <v>5.9869709795259753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1.1368683772161603E-13</v>
      </c>
      <c r="BZ157" s="14">
        <f>BY157*VLOOKUP('Données projet'!$B$12,Paramètres!$A$1:$I$89,3,0)*VLOOKUP('Données projet'!$B$12,Paramètres!$A$1:$I$89,5,0)</f>
        <v>6.7984728957526396E-14</v>
      </c>
      <c r="CA157" s="14">
        <f t="shared" si="170"/>
        <v>1.0682447123141398E-12</v>
      </c>
      <c r="CB157" s="22">
        <f t="shared" si="171"/>
        <v>1.978932943548152E-12</v>
      </c>
      <c r="CC157" s="62">
        <f t="shared" si="119"/>
        <v>283.92242813946007</v>
      </c>
      <c r="CD157" s="62">
        <f ca="1">AVERAGE(OFFSET($CC$3,0,0,'Données projet'!$E$12+1,1))-AVERAGE(OFFSET($H$3,0,0,'Données projet'!$E$12+1,1))</f>
        <v>437.94016462147999</v>
      </c>
      <c r="CE157" s="62">
        <f t="shared" si="148"/>
        <v>281.88254003380348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1.7755707364965583E-18</v>
      </c>
      <c r="CN157" s="24">
        <f t="shared" si="172"/>
        <v>1.7755707364965583E-18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1.1368683772161603E-13</v>
      </c>
      <c r="CU157" s="18">
        <f>CT157*VLOOKUP('Données projet'!$B$13,Paramètres!$A$1:$I$89,3,0)*VLOOKUP('Données projet'!$B$13,Paramètres!$A$1:$I$89,5,0)</f>
        <v>1.2946657079737634E-13</v>
      </c>
      <c r="CV157" s="14">
        <f t="shared" si="173"/>
        <v>1.8873591890224769E-12</v>
      </c>
      <c r="CW157" s="22">
        <f t="shared" si="174"/>
        <v>3.5126381983529106E-12</v>
      </c>
      <c r="CX157" s="62">
        <f t="shared" si="122"/>
        <v>283.9224281394616</v>
      </c>
      <c r="CY157" s="62">
        <f ca="1">AVERAGE(OFFSET($CX$3,0,0,'Données projet'!$E$13+1,1))-AVERAGE(OFFSET($H$3,0,0,'Données projet'!$E$13+1,1))</f>
        <v>520.23742527061836</v>
      </c>
      <c r="CZ157" s="62">
        <f t="shared" si="150"/>
        <v>321.35925479331274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>
        <f>DO157*VLOOKUP('Données projet'!$B$14,Paramètres!$A$1:$I$89,3,0)*VLOOKUP('Données projet'!$B$14,Paramètres!$A$1:$I$89,5,0)</f>
        <v>0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547.89540791313675</v>
      </c>
      <c r="DU157" s="62">
        <f t="shared" si="152"/>
        <v>345.19555189302378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5.6843418860808015E-14</v>
      </c>
      <c r="EK157" s="18">
        <f>EJ157*VLOOKUP('Données projet'!$B$15,Paramètres!$A$1:$I$89,3,0)*VLOOKUP('Données projet'!$B$15,Paramètres!$A$1:$I$89,5,0)</f>
        <v>5.9412741393316544E-14</v>
      </c>
      <c r="EL157" s="14">
        <f t="shared" si="179"/>
        <v>9.483138037075782E-13</v>
      </c>
      <c r="EM157" s="22">
        <f t="shared" si="180"/>
        <v>1.7551237327173916E-12</v>
      </c>
      <c r="EN157" s="62">
        <f t="shared" si="128"/>
        <v>283.92242813945984</v>
      </c>
      <c r="EO157" s="62">
        <f ca="1">AVERAGE(OFFSET($EN$3,0,0,'Données projet'!$E$15+1,1))-AVERAGE(OFFSET($H$3,0,0,'Données projet'!$E$15+1,1))</f>
        <v>418.23737352070503</v>
      </c>
      <c r="EP157" s="62">
        <f t="shared" si="154"/>
        <v>496.10742685332968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1.1368683772161603E-13</v>
      </c>
      <c r="FF157" s="18">
        <f>FE157*VLOOKUP('Données projet'!$B$16,Paramètres!$A$1:$I$89,3,0)*VLOOKUP('Données projet'!$B$16,Paramètres!$A$1:$I$89,5,0)</f>
        <v>6.7984728957526396E-14</v>
      </c>
      <c r="FG157" s="14">
        <f t="shared" si="182"/>
        <v>1.0682447123141398E-12</v>
      </c>
      <c r="FH157" s="22">
        <f t="shared" si="183"/>
        <v>1.978932943548152E-12</v>
      </c>
      <c r="FI157" s="62">
        <f t="shared" si="131"/>
        <v>283.92242813946007</v>
      </c>
      <c r="FJ157" s="62">
        <f ca="1">AVERAGE(OFFSET($FI$3,0,0,'Données projet'!$E$16+1,1))-AVERAGE(OFFSET($H$3,0,0,'Données projet'!$E$16+1,1))</f>
        <v>341.70983624543067</v>
      </c>
      <c r="FK157" s="62">
        <f t="shared" si="156"/>
        <v>250.82562837973805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2.6872397218690299E-18</v>
      </c>
      <c r="FT157" s="24">
        <f t="shared" si="184"/>
        <v>2.6872397218690299E-18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-2.2737367544323206E-13</v>
      </c>
      <c r="GA157" s="18">
        <f>FZ157*VLOOKUP('Données projet'!$B$17,Paramètres!$A$1:$I$89,3,0)*VLOOKUP('Données projet'!$B$17,Paramètres!$A$1:$I$89,5,0)</f>
        <v>-1.064108801074326E-13</v>
      </c>
      <c r="GB157" s="14" t="e">
        <f t="shared" si="185"/>
        <v>#NUM!</v>
      </c>
      <c r="GC157" s="22" t="e">
        <f t="shared" si="186"/>
        <v>#NUM!</v>
      </c>
      <c r="GD157" s="62" t="e">
        <f t="shared" si="134"/>
        <v>#NUM!</v>
      </c>
      <c r="GE157" s="62">
        <f ca="1">AVERAGE(OFFSET($GD$3,0,0,'Données projet'!$E$17+1,1))-AVERAGE(OFFSET($H$3,0,0,'Données projet'!$E$17+1,1))</f>
        <v>368.69628434154333</v>
      </c>
      <c r="GF157" s="62">
        <f t="shared" si="158"/>
        <v>202.28197295839524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-1.1368683772161603E-13</v>
      </c>
      <c r="GV157" s="18">
        <f>GU157*VLOOKUP('Données projet'!$B$18,Paramètres!$A$1:$I$89,3,0)*VLOOKUP('Données projet'!$B$18,Paramètres!$A$1:$I$89,5,0)</f>
        <v>-9.9316821433603781E-14</v>
      </c>
      <c r="GW157" s="14" t="e">
        <f t="shared" si="188"/>
        <v>#NUM!</v>
      </c>
      <c r="GX157" s="22" t="e">
        <f t="shared" si="189"/>
        <v>#NUM!</v>
      </c>
      <c r="GY157" s="62" t="e">
        <f t="shared" si="137"/>
        <v>#NUM!</v>
      </c>
      <c r="GZ157" s="62">
        <f ca="1">AVERAGE(OFFSET($GY$3,0,0,'Données projet'!$E$18+1,1))-AVERAGE(OFFSET($H$3,0,0,'Données projet'!$E$18+1,1))</f>
        <v>378.51861272969165</v>
      </c>
      <c r="HA157" s="62">
        <f t="shared" si="160"/>
        <v>387.42368617035459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0</v>
      </c>
      <c r="HH157" s="23">
        <f>EXP(-LN(2)/25)*HH156+(1-EXP(-LN(2)/25))/(LN(2)/25)*Calculateur!HC157*Calculateur!HE157*VLOOKUP('Données projet'!$B$18,Paramètres!$A$1:$I$89,3,0)*0.475*44/12</f>
        <v>0</v>
      </c>
      <c r="HI157" s="23">
        <f>EXP(-LN(2)/2)*HI156+(1-EXP(-LN(2)/2))/(LN(2)/2)*HC157*HF157*VLOOKUP('Données projet'!$B$18,Paramètres!$A$1:$I$89,3,0)*0.475*44/12</f>
        <v>0</v>
      </c>
      <c r="HJ157" s="24">
        <f t="shared" si="190"/>
        <v>0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135.66666666666666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284.08568630494176</v>
      </c>
      <c r="S158" s="62">
        <f ca="1">AVERAGE(OFFSET($R$3,0,0,'Données projet'!$E$9+1,1))-AVERAGE(OFFSET($H$3,0,0,'Données projet'!$E$9+1,1))</f>
        <v>437.94016462147999</v>
      </c>
      <c r="T158" s="62">
        <f t="shared" si="142"/>
        <v>281.88254003380348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1.2555181082531089E-18</v>
      </c>
      <c r="AC158" s="24">
        <f t="shared" si="163"/>
        <v>1.2555181082531089E-18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1.0286385077051818E-13</v>
      </c>
      <c r="AK158" s="14">
        <f t="shared" si="164"/>
        <v>1.5402366592183556E-12</v>
      </c>
      <c r="AL158" s="22">
        <f t="shared" si="165"/>
        <v>2.8617333882306215E-12</v>
      </c>
      <c r="AM158" s="62">
        <f t="shared" si="113"/>
        <v>284.08568630494261</v>
      </c>
      <c r="AN158" s="62">
        <f ca="1">AVERAGE(OFFSET($AM$3,0,0,'Données projet'!$E$10+1,1))-AVERAGE(OFFSET($H$3,0,0,'Données projet'!$E$10+1,1))</f>
        <v>434.56763649859136</v>
      </c>
      <c r="AO158" s="62">
        <f t="shared" si="144"/>
        <v>271.90302066766264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6.7984728957526396E-14</v>
      </c>
      <c r="BF158" s="14">
        <f t="shared" si="167"/>
        <v>1.0682447123141398E-12</v>
      </c>
      <c r="BG158" s="22">
        <f t="shared" si="168"/>
        <v>1.978932943548152E-12</v>
      </c>
      <c r="BH158" s="62">
        <f t="shared" si="116"/>
        <v>284.08568630494176</v>
      </c>
      <c r="BI158" s="62">
        <f ca="1">AVERAGE(OFFSET($BH$3,0,0,'Données projet'!$E$11+1,1))-AVERAGE(OFFSET($H$3,0,0,'Données projet'!$E$11+1,1))</f>
        <v>199.65420589615553</v>
      </c>
      <c r="BJ158" s="62">
        <f t="shared" si="146"/>
        <v>477.85821088970999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4.4852468220636084</v>
      </c>
      <c r="BQ158" s="23">
        <f>EXP(-LN(2)/25)*BQ157+(1-EXP(-LN(2)/25))/(LN(2)/25)*Calculateur!BL158*Calculateur!BN158*VLOOKUP('Données projet'!$B$11,Paramètres!$A$1:$I$89,3,0)*0.475*44/12</f>
        <v>1.373400459910491</v>
      </c>
      <c r="BR158" s="23">
        <f>EXP(-LN(2)/2)*BR157+(1-EXP(-LN(2)/2))/(LN(2)/2)*BL158*BO158*VLOOKUP('Données projet'!$B$11,Paramètres!$A$1:$I$89,3,0)*0.475*44/12</f>
        <v>6.6801584291211415E-18</v>
      </c>
      <c r="BS158" s="24">
        <f t="shared" si="169"/>
        <v>5.8586472819740996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1.1368683772161603E-13</v>
      </c>
      <c r="BZ158" s="14">
        <f>BY158*VLOOKUP('Données projet'!$B$12,Paramètres!$A$1:$I$89,3,0)*VLOOKUP('Données projet'!$B$12,Paramètres!$A$1:$I$89,5,0)</f>
        <v>6.7984728957526396E-14</v>
      </c>
      <c r="CA158" s="14">
        <f t="shared" si="170"/>
        <v>1.0682447123141398E-12</v>
      </c>
      <c r="CB158" s="22">
        <f t="shared" si="171"/>
        <v>1.978932943548152E-12</v>
      </c>
      <c r="CC158" s="62">
        <f t="shared" si="119"/>
        <v>284.08568630494176</v>
      </c>
      <c r="CD158" s="62">
        <f ca="1">AVERAGE(OFFSET($CC$3,0,0,'Données projet'!$E$12+1,1))-AVERAGE(OFFSET($H$3,0,0,'Données projet'!$E$12+1,1))</f>
        <v>437.94016462147999</v>
      </c>
      <c r="CE158" s="62">
        <f t="shared" si="148"/>
        <v>281.88254003380348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1.2555181082531089E-18</v>
      </c>
      <c r="CN158" s="24">
        <f t="shared" si="172"/>
        <v>1.2555181082531089E-18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1.1368683772161603E-13</v>
      </c>
      <c r="CU158" s="18">
        <f>CT158*VLOOKUP('Données projet'!$B$13,Paramètres!$A$1:$I$89,3,0)*VLOOKUP('Données projet'!$B$13,Paramètres!$A$1:$I$89,5,0)</f>
        <v>1.2946657079737634E-13</v>
      </c>
      <c r="CV158" s="14">
        <f t="shared" si="173"/>
        <v>1.8873591890224769E-12</v>
      </c>
      <c r="CW158" s="22">
        <f t="shared" si="174"/>
        <v>3.5126381983529106E-12</v>
      </c>
      <c r="CX158" s="62">
        <f t="shared" si="122"/>
        <v>284.08568630494329</v>
      </c>
      <c r="CY158" s="62">
        <f ca="1">AVERAGE(OFFSET($CX$3,0,0,'Données projet'!$E$13+1,1))-AVERAGE(OFFSET($H$3,0,0,'Données projet'!$E$13+1,1))</f>
        <v>520.23742527061836</v>
      </c>
      <c r="CZ158" s="62">
        <f t="shared" si="150"/>
        <v>321.35925479331274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>
        <f>DO158*VLOOKUP('Données projet'!$B$14,Paramètres!$A$1:$I$89,3,0)*VLOOKUP('Données projet'!$B$14,Paramètres!$A$1:$I$89,5,0)</f>
        <v>0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547.89540791313675</v>
      </c>
      <c r="DU158" s="62">
        <f t="shared" si="152"/>
        <v>345.19555189302378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5.6843418860808015E-14</v>
      </c>
      <c r="EK158" s="18">
        <f>EJ158*VLOOKUP('Données projet'!$B$15,Paramètres!$A$1:$I$89,3,0)*VLOOKUP('Données projet'!$B$15,Paramètres!$A$1:$I$89,5,0)</f>
        <v>5.9412741393316544E-14</v>
      </c>
      <c r="EL158" s="14">
        <f t="shared" si="179"/>
        <v>9.483138037075782E-13</v>
      </c>
      <c r="EM158" s="22">
        <f t="shared" si="180"/>
        <v>1.7551237327173916E-12</v>
      </c>
      <c r="EN158" s="62">
        <f t="shared" si="128"/>
        <v>284.08568630494153</v>
      </c>
      <c r="EO158" s="62">
        <f ca="1">AVERAGE(OFFSET($EN$3,0,0,'Données projet'!$E$15+1,1))-AVERAGE(OFFSET($H$3,0,0,'Données projet'!$E$15+1,1))</f>
        <v>418.23737352070503</v>
      </c>
      <c r="EP158" s="62">
        <f t="shared" si="154"/>
        <v>496.10742685332968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1.1368683772161603E-13</v>
      </c>
      <c r="FF158" s="18">
        <f>FE158*VLOOKUP('Données projet'!$B$16,Paramètres!$A$1:$I$89,3,0)*VLOOKUP('Données projet'!$B$16,Paramètres!$A$1:$I$89,5,0)</f>
        <v>6.7984728957526396E-14</v>
      </c>
      <c r="FG158" s="14">
        <f t="shared" si="182"/>
        <v>1.0682447123141398E-12</v>
      </c>
      <c r="FH158" s="22">
        <f t="shared" si="183"/>
        <v>1.978932943548152E-12</v>
      </c>
      <c r="FI158" s="62">
        <f t="shared" si="131"/>
        <v>284.08568630494176</v>
      </c>
      <c r="FJ158" s="62">
        <f ca="1">AVERAGE(OFFSET($FI$3,0,0,'Données projet'!$E$16+1,1))-AVERAGE(OFFSET($H$3,0,0,'Données projet'!$E$16+1,1))</f>
        <v>341.70983624543067</v>
      </c>
      <c r="FK158" s="62">
        <f t="shared" si="156"/>
        <v>250.82562837973805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1.900165430007443E-18</v>
      </c>
      <c r="FT158" s="24">
        <f t="shared" si="184"/>
        <v>1.900165430007443E-18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-2.2737367544323206E-13</v>
      </c>
      <c r="GA158" s="18">
        <f>FZ158*VLOOKUP('Données projet'!$B$17,Paramètres!$A$1:$I$89,3,0)*VLOOKUP('Données projet'!$B$17,Paramètres!$A$1:$I$89,5,0)</f>
        <v>-1.064108801074326E-13</v>
      </c>
      <c r="GB158" s="14" t="e">
        <f t="shared" si="185"/>
        <v>#NUM!</v>
      </c>
      <c r="GC158" s="22" t="e">
        <f t="shared" si="186"/>
        <v>#NUM!</v>
      </c>
      <c r="GD158" s="62" t="e">
        <f t="shared" si="134"/>
        <v>#NUM!</v>
      </c>
      <c r="GE158" s="62">
        <f ca="1">AVERAGE(OFFSET($GD$3,0,0,'Données projet'!$E$17+1,1))-AVERAGE(OFFSET($H$3,0,0,'Données projet'!$E$17+1,1))</f>
        <v>368.69628434154333</v>
      </c>
      <c r="GF158" s="62">
        <f t="shared" si="158"/>
        <v>202.28197295839524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-1.1368683772161603E-13</v>
      </c>
      <c r="GV158" s="18">
        <f>GU158*VLOOKUP('Données projet'!$B$18,Paramètres!$A$1:$I$89,3,0)*VLOOKUP('Données projet'!$B$18,Paramètres!$A$1:$I$89,5,0)</f>
        <v>-9.9316821433603781E-14</v>
      </c>
      <c r="GW158" s="14" t="e">
        <f t="shared" si="188"/>
        <v>#NUM!</v>
      </c>
      <c r="GX158" s="22" t="e">
        <f t="shared" si="189"/>
        <v>#NUM!</v>
      </c>
      <c r="GY158" s="62" t="e">
        <f t="shared" si="137"/>
        <v>#NUM!</v>
      </c>
      <c r="GZ158" s="62">
        <f ca="1">AVERAGE(OFFSET($GY$3,0,0,'Données projet'!$E$18+1,1))-AVERAGE(OFFSET($H$3,0,0,'Données projet'!$E$18+1,1))</f>
        <v>378.51861272969165</v>
      </c>
      <c r="HA158" s="62">
        <f t="shared" si="160"/>
        <v>387.42368617035459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0</v>
      </c>
      <c r="HH158" s="23">
        <f>EXP(-LN(2)/25)*HH157+(1-EXP(-LN(2)/25))/(LN(2)/25)*Calculateur!HC158*Calculateur!HE158*VLOOKUP('Données projet'!$B$18,Paramètres!$A$1:$I$89,3,0)*0.475*44/12</f>
        <v>0</v>
      </c>
      <c r="HI158" s="23">
        <f>EXP(-LN(2)/2)*HI157+(1-EXP(-LN(2)/2))/(LN(2)/2)*HC158*HF158*VLOOKUP('Données projet'!$B$18,Paramètres!$A$1:$I$89,3,0)*0.475*44/12</f>
        <v>0</v>
      </c>
      <c r="HJ158" s="24">
        <f t="shared" si="190"/>
        <v>0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135.66666666666666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284.24611230624294</v>
      </c>
      <c r="S159" s="62">
        <f ca="1">AVERAGE(OFFSET($R$3,0,0,'Données projet'!$E$9+1,1))-AVERAGE(OFFSET($H$3,0,0,'Données projet'!$E$9+1,1))</f>
        <v>437.94016462147999</v>
      </c>
      <c r="T159" s="62">
        <f t="shared" si="142"/>
        <v>281.88254003380348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8.8778536824827916E-19</v>
      </c>
      <c r="AC159" s="24">
        <f t="shared" si="163"/>
        <v>8.8778536824827916E-19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1.0286385077051818E-13</v>
      </c>
      <c r="AK159" s="14">
        <f t="shared" si="164"/>
        <v>1.5402366592183556E-12</v>
      </c>
      <c r="AL159" s="22">
        <f t="shared" si="165"/>
        <v>2.8617333882306215E-12</v>
      </c>
      <c r="AM159" s="62">
        <f t="shared" si="113"/>
        <v>284.24611230624379</v>
      </c>
      <c r="AN159" s="62">
        <f ca="1">AVERAGE(OFFSET($AM$3,0,0,'Données projet'!$E$10+1,1))-AVERAGE(OFFSET($H$3,0,0,'Données projet'!$E$10+1,1))</f>
        <v>434.56763649859136</v>
      </c>
      <c r="AO159" s="62">
        <f t="shared" si="144"/>
        <v>271.90302066766264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6.7984728957526396E-14</v>
      </c>
      <c r="BF159" s="14">
        <f t="shared" si="167"/>
        <v>1.0682447123141398E-12</v>
      </c>
      <c r="BG159" s="22">
        <f t="shared" si="168"/>
        <v>1.978932943548152E-12</v>
      </c>
      <c r="BH159" s="62">
        <f t="shared" si="116"/>
        <v>284.24611230624294</v>
      </c>
      <c r="BI159" s="62">
        <f ca="1">AVERAGE(OFFSET($BH$3,0,0,'Données projet'!$E$11+1,1))-AVERAGE(OFFSET($H$3,0,0,'Données projet'!$E$11+1,1))</f>
        <v>199.65420589615553</v>
      </c>
      <c r="BJ159" s="62">
        <f t="shared" si="146"/>
        <v>477.85821088970999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4.3972938676133717</v>
      </c>
      <c r="BQ159" s="23">
        <f>EXP(-LN(2)/25)*BQ158+(1-EXP(-LN(2)/25))/(LN(2)/25)*Calculateur!BL159*Calculateur!BN159*VLOOKUP('Données projet'!$B$11,Paramètres!$A$1:$I$89,3,0)*0.475*44/12</f>
        <v>1.3358447521102474</v>
      </c>
      <c r="BR159" s="23">
        <f>EXP(-LN(2)/2)*BR158+(1-EXP(-LN(2)/2))/(LN(2)/2)*BL159*BO159*VLOOKUP('Données projet'!$B$11,Paramètres!$A$1:$I$89,3,0)*0.475*44/12</f>
        <v>4.723585324632034E-18</v>
      </c>
      <c r="BS159" s="24">
        <f t="shared" si="169"/>
        <v>5.7331386197236194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1.1368683772161603E-13</v>
      </c>
      <c r="BZ159" s="14">
        <f>BY159*VLOOKUP('Données projet'!$B$12,Paramètres!$A$1:$I$89,3,0)*VLOOKUP('Données projet'!$B$12,Paramètres!$A$1:$I$89,5,0)</f>
        <v>6.7984728957526396E-14</v>
      </c>
      <c r="CA159" s="14">
        <f t="shared" si="170"/>
        <v>1.0682447123141398E-12</v>
      </c>
      <c r="CB159" s="22">
        <f t="shared" si="171"/>
        <v>1.978932943548152E-12</v>
      </c>
      <c r="CC159" s="62">
        <f t="shared" si="119"/>
        <v>284.24611230624294</v>
      </c>
      <c r="CD159" s="62">
        <f ca="1">AVERAGE(OFFSET($CC$3,0,0,'Données projet'!$E$12+1,1))-AVERAGE(OFFSET($H$3,0,0,'Données projet'!$E$12+1,1))</f>
        <v>437.94016462147999</v>
      </c>
      <c r="CE159" s="62">
        <f t="shared" si="148"/>
        <v>281.88254003380348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8.8778536824827916E-19</v>
      </c>
      <c r="CN159" s="24">
        <f t="shared" si="172"/>
        <v>8.8778536824827916E-19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1.1368683772161603E-13</v>
      </c>
      <c r="CU159" s="18">
        <f>CT159*VLOOKUP('Données projet'!$B$13,Paramètres!$A$1:$I$89,3,0)*VLOOKUP('Données projet'!$B$13,Paramètres!$A$1:$I$89,5,0)</f>
        <v>1.2946657079737634E-13</v>
      </c>
      <c r="CV159" s="14">
        <f t="shared" si="173"/>
        <v>1.8873591890224769E-12</v>
      </c>
      <c r="CW159" s="22">
        <f t="shared" si="174"/>
        <v>3.5126381983529106E-12</v>
      </c>
      <c r="CX159" s="62">
        <f t="shared" si="122"/>
        <v>284.24611230624447</v>
      </c>
      <c r="CY159" s="62">
        <f ca="1">AVERAGE(OFFSET($CX$3,0,0,'Données projet'!$E$13+1,1))-AVERAGE(OFFSET($H$3,0,0,'Données projet'!$E$13+1,1))</f>
        <v>520.23742527061836</v>
      </c>
      <c r="CZ159" s="62">
        <f t="shared" si="150"/>
        <v>321.35925479331274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>
        <f>DO159*VLOOKUP('Données projet'!$B$14,Paramètres!$A$1:$I$89,3,0)*VLOOKUP('Données projet'!$B$14,Paramètres!$A$1:$I$89,5,0)</f>
        <v>0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547.89540791313675</v>
      </c>
      <c r="DU159" s="62">
        <f t="shared" si="152"/>
        <v>345.19555189302378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5.6843418860808015E-14</v>
      </c>
      <c r="EK159" s="18">
        <f>EJ159*VLOOKUP('Données projet'!$B$15,Paramètres!$A$1:$I$89,3,0)*VLOOKUP('Données projet'!$B$15,Paramètres!$A$1:$I$89,5,0)</f>
        <v>5.9412741393316544E-14</v>
      </c>
      <c r="EL159" s="14">
        <f t="shared" si="179"/>
        <v>9.483138037075782E-13</v>
      </c>
      <c r="EM159" s="22">
        <f t="shared" si="180"/>
        <v>1.7551237327173916E-12</v>
      </c>
      <c r="EN159" s="62">
        <f t="shared" si="128"/>
        <v>284.24611230624271</v>
      </c>
      <c r="EO159" s="62">
        <f ca="1">AVERAGE(OFFSET($EN$3,0,0,'Données projet'!$E$15+1,1))-AVERAGE(OFFSET($H$3,0,0,'Données projet'!$E$15+1,1))</f>
        <v>418.23737352070503</v>
      </c>
      <c r="EP159" s="62">
        <f t="shared" si="154"/>
        <v>496.10742685332968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1.1368683772161603E-13</v>
      </c>
      <c r="FF159" s="18">
        <f>FE159*VLOOKUP('Données projet'!$B$16,Paramètres!$A$1:$I$89,3,0)*VLOOKUP('Données projet'!$B$16,Paramètres!$A$1:$I$89,5,0)</f>
        <v>6.7984728957526396E-14</v>
      </c>
      <c r="FG159" s="14">
        <f t="shared" si="182"/>
        <v>1.0682447123141398E-12</v>
      </c>
      <c r="FH159" s="22">
        <f t="shared" si="183"/>
        <v>1.978932943548152E-12</v>
      </c>
      <c r="FI159" s="62">
        <f t="shared" si="131"/>
        <v>284.24611230624294</v>
      </c>
      <c r="FJ159" s="62">
        <f ca="1">AVERAGE(OFFSET($FI$3,0,0,'Données projet'!$E$16+1,1))-AVERAGE(OFFSET($H$3,0,0,'Données projet'!$E$16+1,1))</f>
        <v>341.70983624543067</v>
      </c>
      <c r="FK159" s="62">
        <f t="shared" si="156"/>
        <v>250.82562837973805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1.343619860934515E-18</v>
      </c>
      <c r="FT159" s="24">
        <f t="shared" si="184"/>
        <v>1.343619860934515E-18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-2.2737367544323206E-13</v>
      </c>
      <c r="GA159" s="18">
        <f>FZ159*VLOOKUP('Données projet'!$B$17,Paramètres!$A$1:$I$89,3,0)*VLOOKUP('Données projet'!$B$17,Paramètres!$A$1:$I$89,5,0)</f>
        <v>-1.064108801074326E-13</v>
      </c>
      <c r="GB159" s="14" t="e">
        <f t="shared" si="185"/>
        <v>#NUM!</v>
      </c>
      <c r="GC159" s="22" t="e">
        <f t="shared" si="186"/>
        <v>#NUM!</v>
      </c>
      <c r="GD159" s="62" t="e">
        <f t="shared" si="134"/>
        <v>#NUM!</v>
      </c>
      <c r="GE159" s="62">
        <f ca="1">AVERAGE(OFFSET($GD$3,0,0,'Données projet'!$E$17+1,1))-AVERAGE(OFFSET($H$3,0,0,'Données projet'!$E$17+1,1))</f>
        <v>368.69628434154333</v>
      </c>
      <c r="GF159" s="62">
        <f t="shared" si="158"/>
        <v>202.28197295839524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-1.1368683772161603E-13</v>
      </c>
      <c r="GV159" s="18">
        <f>GU159*VLOOKUP('Données projet'!$B$18,Paramètres!$A$1:$I$89,3,0)*VLOOKUP('Données projet'!$B$18,Paramètres!$A$1:$I$89,5,0)</f>
        <v>-9.9316821433603781E-14</v>
      </c>
      <c r="GW159" s="14" t="e">
        <f t="shared" si="188"/>
        <v>#NUM!</v>
      </c>
      <c r="GX159" s="22" t="e">
        <f t="shared" si="189"/>
        <v>#NUM!</v>
      </c>
      <c r="GY159" s="62" t="e">
        <f t="shared" si="137"/>
        <v>#NUM!</v>
      </c>
      <c r="GZ159" s="62">
        <f ca="1">AVERAGE(OFFSET($GY$3,0,0,'Données projet'!$E$18+1,1))-AVERAGE(OFFSET($H$3,0,0,'Données projet'!$E$18+1,1))</f>
        <v>378.51861272969165</v>
      </c>
      <c r="HA159" s="62">
        <f t="shared" si="160"/>
        <v>387.42368617035459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0</v>
      </c>
      <c r="HH159" s="23">
        <f>EXP(-LN(2)/25)*HH158+(1-EXP(-LN(2)/25))/(LN(2)/25)*Calculateur!HC159*Calculateur!HE159*VLOOKUP('Données projet'!$B$18,Paramètres!$A$1:$I$89,3,0)*0.475*44/12</f>
        <v>0</v>
      </c>
      <c r="HI159" s="23">
        <f>EXP(-LN(2)/2)*HI158+(1-EXP(-LN(2)/2))/(LN(2)/2)*HC159*HF159*VLOOKUP('Données projet'!$B$18,Paramètres!$A$1:$I$89,3,0)*0.475*44/12</f>
        <v>0</v>
      </c>
      <c r="HJ159" s="24">
        <f t="shared" si="190"/>
        <v>0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135.66666666666666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284.40375527508024</v>
      </c>
      <c r="S160" s="62">
        <f ca="1">AVERAGE(OFFSET($R$3,0,0,'Données projet'!$E$9+1,1))-AVERAGE(OFFSET($H$3,0,0,'Données projet'!$E$9+1,1))</f>
        <v>437.94016462147999</v>
      </c>
      <c r="T160" s="62">
        <f t="shared" si="142"/>
        <v>281.88254003380348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6.2775905412655445E-19</v>
      </c>
      <c r="AC160" s="24">
        <f t="shared" si="163"/>
        <v>6.2775905412655445E-19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1.0286385077051818E-13</v>
      </c>
      <c r="AK160" s="14">
        <f t="shared" si="164"/>
        <v>1.5402366592183556E-12</v>
      </c>
      <c r="AL160" s="22">
        <f t="shared" si="165"/>
        <v>2.8617333882306215E-12</v>
      </c>
      <c r="AM160" s="62">
        <f t="shared" si="113"/>
        <v>284.4037552750811</v>
      </c>
      <c r="AN160" s="62">
        <f ca="1">AVERAGE(OFFSET($AM$3,0,0,'Données projet'!$E$10+1,1))-AVERAGE(OFFSET($H$3,0,0,'Données projet'!$E$10+1,1))</f>
        <v>434.56763649859136</v>
      </c>
      <c r="AO160" s="62">
        <f t="shared" si="144"/>
        <v>271.90302066766264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6.7984728957526396E-14</v>
      </c>
      <c r="BF160" s="14">
        <f t="shared" si="167"/>
        <v>1.0682447123141398E-12</v>
      </c>
      <c r="BG160" s="22">
        <f t="shared" si="168"/>
        <v>1.978932943548152E-12</v>
      </c>
      <c r="BH160" s="62">
        <f t="shared" si="116"/>
        <v>284.40375527508024</v>
      </c>
      <c r="BI160" s="62">
        <f ca="1">AVERAGE(OFFSET($BH$3,0,0,'Données projet'!$E$11+1,1))-AVERAGE(OFFSET($H$3,0,0,'Données projet'!$E$11+1,1))</f>
        <v>199.65420589615553</v>
      </c>
      <c r="BJ160" s="62">
        <f t="shared" si="146"/>
        <v>477.85821088970999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4.3110656169538988</v>
      </c>
      <c r="BQ160" s="23">
        <f>EXP(-LN(2)/25)*BQ159+(1-EXP(-LN(2)/25))/(LN(2)/25)*Calculateur!BL160*Calculateur!BN160*VLOOKUP('Données projet'!$B$11,Paramètres!$A$1:$I$89,3,0)*0.475*44/12</f>
        <v>1.2993160071147702</v>
      </c>
      <c r="BR160" s="23">
        <f>EXP(-LN(2)/2)*BR159+(1-EXP(-LN(2)/2))/(LN(2)/2)*BL160*BO160*VLOOKUP('Données projet'!$B$11,Paramètres!$A$1:$I$89,3,0)*0.475*44/12</f>
        <v>3.3400792145605707E-18</v>
      </c>
      <c r="BS160" s="24">
        <f t="shared" si="169"/>
        <v>5.610381624068669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1.1368683772161603E-13</v>
      </c>
      <c r="BZ160" s="14">
        <f>BY160*VLOOKUP('Données projet'!$B$12,Paramètres!$A$1:$I$89,3,0)*VLOOKUP('Données projet'!$B$12,Paramètres!$A$1:$I$89,5,0)</f>
        <v>6.7984728957526396E-14</v>
      </c>
      <c r="CA160" s="14">
        <f t="shared" si="170"/>
        <v>1.0682447123141398E-12</v>
      </c>
      <c r="CB160" s="22">
        <f t="shared" si="171"/>
        <v>1.978932943548152E-12</v>
      </c>
      <c r="CC160" s="62">
        <f t="shared" si="119"/>
        <v>284.40375527508024</v>
      </c>
      <c r="CD160" s="62">
        <f ca="1">AVERAGE(OFFSET($CC$3,0,0,'Données projet'!$E$12+1,1))-AVERAGE(OFFSET($H$3,0,0,'Données projet'!$E$12+1,1))</f>
        <v>437.94016462147999</v>
      </c>
      <c r="CE160" s="62">
        <f t="shared" si="148"/>
        <v>281.88254003380348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6.2775905412655445E-19</v>
      </c>
      <c r="CN160" s="24">
        <f t="shared" si="172"/>
        <v>6.2775905412655445E-19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1.1368683772161603E-13</v>
      </c>
      <c r="CU160" s="18">
        <f>CT160*VLOOKUP('Données projet'!$B$13,Paramètres!$A$1:$I$89,3,0)*VLOOKUP('Données projet'!$B$13,Paramètres!$A$1:$I$89,5,0)</f>
        <v>1.2946657079737634E-13</v>
      </c>
      <c r="CV160" s="14">
        <f t="shared" si="173"/>
        <v>1.8873591890224769E-12</v>
      </c>
      <c r="CW160" s="22">
        <f t="shared" si="174"/>
        <v>3.5126381983529106E-12</v>
      </c>
      <c r="CX160" s="62">
        <f t="shared" si="122"/>
        <v>284.40375527508178</v>
      </c>
      <c r="CY160" s="62">
        <f ca="1">AVERAGE(OFFSET($CX$3,0,0,'Données projet'!$E$13+1,1))-AVERAGE(OFFSET($H$3,0,0,'Données projet'!$E$13+1,1))</f>
        <v>520.23742527061836</v>
      </c>
      <c r="CZ160" s="62">
        <f t="shared" si="150"/>
        <v>321.35925479331274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>
        <f>DO160*VLOOKUP('Données projet'!$B$14,Paramètres!$A$1:$I$89,3,0)*VLOOKUP('Données projet'!$B$14,Paramètres!$A$1:$I$89,5,0)</f>
        <v>0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547.89540791313675</v>
      </c>
      <c r="DU160" s="62">
        <f t="shared" si="152"/>
        <v>345.19555189302378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5.6843418860808015E-14</v>
      </c>
      <c r="EK160" s="18">
        <f>EJ160*VLOOKUP('Données projet'!$B$15,Paramètres!$A$1:$I$89,3,0)*VLOOKUP('Données projet'!$B$15,Paramètres!$A$1:$I$89,5,0)</f>
        <v>5.9412741393316544E-14</v>
      </c>
      <c r="EL160" s="14">
        <f t="shared" si="179"/>
        <v>9.483138037075782E-13</v>
      </c>
      <c r="EM160" s="22">
        <f t="shared" si="180"/>
        <v>1.7551237327173916E-12</v>
      </c>
      <c r="EN160" s="62">
        <f t="shared" si="128"/>
        <v>284.40375527508002</v>
      </c>
      <c r="EO160" s="62">
        <f ca="1">AVERAGE(OFFSET($EN$3,0,0,'Données projet'!$E$15+1,1))-AVERAGE(OFFSET($H$3,0,0,'Données projet'!$E$15+1,1))</f>
        <v>418.23737352070503</v>
      </c>
      <c r="EP160" s="62">
        <f t="shared" si="154"/>
        <v>496.10742685332968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1.1368683772161603E-13</v>
      </c>
      <c r="FF160" s="18">
        <f>FE160*VLOOKUP('Données projet'!$B$16,Paramètres!$A$1:$I$89,3,0)*VLOOKUP('Données projet'!$B$16,Paramètres!$A$1:$I$89,5,0)</f>
        <v>6.7984728957526396E-14</v>
      </c>
      <c r="FG160" s="14">
        <f t="shared" si="182"/>
        <v>1.0682447123141398E-12</v>
      </c>
      <c r="FH160" s="22">
        <f t="shared" si="183"/>
        <v>1.978932943548152E-12</v>
      </c>
      <c r="FI160" s="62">
        <f t="shared" si="131"/>
        <v>284.40375527508024</v>
      </c>
      <c r="FJ160" s="62">
        <f ca="1">AVERAGE(OFFSET($FI$3,0,0,'Données projet'!$E$16+1,1))-AVERAGE(OFFSET($H$3,0,0,'Données projet'!$E$16+1,1))</f>
        <v>341.70983624543067</v>
      </c>
      <c r="FK160" s="62">
        <f t="shared" si="156"/>
        <v>250.82562837973805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9.5008271500372148E-19</v>
      </c>
      <c r="FT160" s="24">
        <f t="shared" si="184"/>
        <v>9.5008271500372148E-19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-2.2737367544323206E-13</v>
      </c>
      <c r="GA160" s="18">
        <f>FZ160*VLOOKUP('Données projet'!$B$17,Paramètres!$A$1:$I$89,3,0)*VLOOKUP('Données projet'!$B$17,Paramètres!$A$1:$I$89,5,0)</f>
        <v>-1.064108801074326E-13</v>
      </c>
      <c r="GB160" s="14" t="e">
        <f t="shared" si="185"/>
        <v>#NUM!</v>
      </c>
      <c r="GC160" s="22" t="e">
        <f t="shared" si="186"/>
        <v>#NUM!</v>
      </c>
      <c r="GD160" s="62" t="e">
        <f t="shared" si="134"/>
        <v>#NUM!</v>
      </c>
      <c r="GE160" s="62">
        <f ca="1">AVERAGE(OFFSET($GD$3,0,0,'Données projet'!$E$17+1,1))-AVERAGE(OFFSET($H$3,0,0,'Données projet'!$E$17+1,1))</f>
        <v>368.69628434154333</v>
      </c>
      <c r="GF160" s="62">
        <f t="shared" si="158"/>
        <v>202.28197295839524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-1.1368683772161603E-13</v>
      </c>
      <c r="GV160" s="18">
        <f>GU160*VLOOKUP('Données projet'!$B$18,Paramètres!$A$1:$I$89,3,0)*VLOOKUP('Données projet'!$B$18,Paramètres!$A$1:$I$89,5,0)</f>
        <v>-9.9316821433603781E-14</v>
      </c>
      <c r="GW160" s="14" t="e">
        <f t="shared" si="188"/>
        <v>#NUM!</v>
      </c>
      <c r="GX160" s="22" t="e">
        <f t="shared" si="189"/>
        <v>#NUM!</v>
      </c>
      <c r="GY160" s="62" t="e">
        <f t="shared" si="137"/>
        <v>#NUM!</v>
      </c>
      <c r="GZ160" s="62">
        <f ca="1">AVERAGE(OFFSET($GY$3,0,0,'Données projet'!$E$18+1,1))-AVERAGE(OFFSET($H$3,0,0,'Données projet'!$E$18+1,1))</f>
        <v>378.51861272969165</v>
      </c>
      <c r="HA160" s="62">
        <f t="shared" si="160"/>
        <v>387.42368617035459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0</v>
      </c>
      <c r="HH160" s="23">
        <f>EXP(-LN(2)/25)*HH159+(1-EXP(-LN(2)/25))/(LN(2)/25)*Calculateur!HC160*Calculateur!HE160*VLOOKUP('Données projet'!$B$18,Paramètres!$A$1:$I$89,3,0)*0.475*44/12</f>
        <v>0</v>
      </c>
      <c r="HI160" s="23">
        <f>EXP(-LN(2)/2)*HI159+(1-EXP(-LN(2)/2))/(LN(2)/2)*HC160*HF160*VLOOKUP('Données projet'!$B$18,Paramètres!$A$1:$I$89,3,0)*0.475*44/12</f>
        <v>0</v>
      </c>
      <c r="HJ160" s="24">
        <f t="shared" si="190"/>
        <v>0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135.66666666666666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284.55866349084522</v>
      </c>
      <c r="S161" s="62">
        <f ca="1">AVERAGE(OFFSET($R$3,0,0,'Données projet'!$E$9+1,1))-AVERAGE(OFFSET($H$3,0,0,'Données projet'!$E$9+1,1))</f>
        <v>437.94016462147999</v>
      </c>
      <c r="T161" s="62">
        <f t="shared" si="142"/>
        <v>281.88254003380348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4.4389268412413958E-19</v>
      </c>
      <c r="AC161" s="24">
        <f t="shared" si="163"/>
        <v>4.4389268412413958E-19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1.0286385077051818E-13</v>
      </c>
      <c r="AK161" s="14">
        <f t="shared" si="164"/>
        <v>1.5402366592183556E-12</v>
      </c>
      <c r="AL161" s="22">
        <f t="shared" si="165"/>
        <v>2.8617333882306215E-12</v>
      </c>
      <c r="AM161" s="62">
        <f t="shared" si="113"/>
        <v>284.55866349084607</v>
      </c>
      <c r="AN161" s="62">
        <f ca="1">AVERAGE(OFFSET($AM$3,0,0,'Données projet'!$E$10+1,1))-AVERAGE(OFFSET($H$3,0,0,'Données projet'!$E$10+1,1))</f>
        <v>434.56763649859136</v>
      </c>
      <c r="AO161" s="62">
        <f t="shared" si="144"/>
        <v>271.90302066766264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6.7984728957526396E-14</v>
      </c>
      <c r="BF161" s="14">
        <f t="shared" si="167"/>
        <v>1.0682447123141398E-12</v>
      </c>
      <c r="BG161" s="22">
        <f t="shared" si="168"/>
        <v>1.978932943548152E-12</v>
      </c>
      <c r="BH161" s="62">
        <f t="shared" si="116"/>
        <v>284.55866349084522</v>
      </c>
      <c r="BI161" s="62">
        <f ca="1">AVERAGE(OFFSET($BH$3,0,0,'Données projet'!$E$11+1,1))-AVERAGE(OFFSET($H$3,0,0,'Données projet'!$E$11+1,1))</f>
        <v>199.65420589615553</v>
      </c>
      <c r="BJ161" s="62">
        <f t="shared" si="146"/>
        <v>477.85821088970999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4.2265282496958188</v>
      </c>
      <c r="BQ161" s="23">
        <f>EXP(-LN(2)/25)*BQ160+(1-EXP(-LN(2)/25))/(LN(2)/25)*Calculateur!BL161*Calculateur!BN161*VLOOKUP('Données projet'!$B$11,Paramètres!$A$1:$I$89,3,0)*0.475*44/12</f>
        <v>1.2637861425721577</v>
      </c>
      <c r="BR161" s="23">
        <f>EXP(-LN(2)/2)*BR160+(1-EXP(-LN(2)/2))/(LN(2)/2)*BL161*BO161*VLOOKUP('Données projet'!$B$11,Paramètres!$A$1:$I$89,3,0)*0.475*44/12</f>
        <v>2.361792662316017E-18</v>
      </c>
      <c r="BS161" s="24">
        <f t="shared" si="169"/>
        <v>5.490314392267976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1.1368683772161603E-13</v>
      </c>
      <c r="BZ161" s="14">
        <f>BY161*VLOOKUP('Données projet'!$B$12,Paramètres!$A$1:$I$89,3,0)*VLOOKUP('Données projet'!$B$12,Paramètres!$A$1:$I$89,5,0)</f>
        <v>6.7984728957526396E-14</v>
      </c>
      <c r="CA161" s="14">
        <f t="shared" si="170"/>
        <v>1.0682447123141398E-12</v>
      </c>
      <c r="CB161" s="22">
        <f t="shared" si="171"/>
        <v>1.978932943548152E-12</v>
      </c>
      <c r="CC161" s="62">
        <f t="shared" si="119"/>
        <v>284.55866349084522</v>
      </c>
      <c r="CD161" s="62">
        <f ca="1">AVERAGE(OFFSET($CC$3,0,0,'Données projet'!$E$12+1,1))-AVERAGE(OFFSET($H$3,0,0,'Données projet'!$E$12+1,1))</f>
        <v>437.94016462147999</v>
      </c>
      <c r="CE161" s="62">
        <f t="shared" si="148"/>
        <v>281.88254003380348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4.4389268412413958E-19</v>
      </c>
      <c r="CN161" s="24">
        <f t="shared" si="172"/>
        <v>4.4389268412413958E-19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1.1368683772161603E-13</v>
      </c>
      <c r="CU161" s="18">
        <f>CT161*VLOOKUP('Données projet'!$B$13,Paramètres!$A$1:$I$89,3,0)*VLOOKUP('Données projet'!$B$13,Paramètres!$A$1:$I$89,5,0)</f>
        <v>1.2946657079737634E-13</v>
      </c>
      <c r="CV161" s="14">
        <f t="shared" si="173"/>
        <v>1.8873591890224769E-12</v>
      </c>
      <c r="CW161" s="22">
        <f t="shared" si="174"/>
        <v>3.5126381983529106E-12</v>
      </c>
      <c r="CX161" s="62">
        <f t="shared" si="122"/>
        <v>284.55866349084675</v>
      </c>
      <c r="CY161" s="62">
        <f ca="1">AVERAGE(OFFSET($CX$3,0,0,'Données projet'!$E$13+1,1))-AVERAGE(OFFSET($H$3,0,0,'Données projet'!$E$13+1,1))</f>
        <v>520.23742527061836</v>
      </c>
      <c r="CZ161" s="62">
        <f t="shared" si="150"/>
        <v>321.35925479331274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>
        <f>DO161*VLOOKUP('Données projet'!$B$14,Paramètres!$A$1:$I$89,3,0)*VLOOKUP('Données projet'!$B$14,Paramètres!$A$1:$I$89,5,0)</f>
        <v>0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547.89540791313675</v>
      </c>
      <c r="DU161" s="62">
        <f t="shared" si="152"/>
        <v>345.19555189302378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5.6843418860808015E-14</v>
      </c>
      <c r="EK161" s="18">
        <f>EJ161*VLOOKUP('Données projet'!$B$15,Paramètres!$A$1:$I$89,3,0)*VLOOKUP('Données projet'!$B$15,Paramètres!$A$1:$I$89,5,0)</f>
        <v>5.9412741393316544E-14</v>
      </c>
      <c r="EL161" s="14">
        <f t="shared" si="179"/>
        <v>9.483138037075782E-13</v>
      </c>
      <c r="EM161" s="22">
        <f t="shared" si="180"/>
        <v>1.7551237327173916E-12</v>
      </c>
      <c r="EN161" s="62">
        <f t="shared" si="128"/>
        <v>284.55866349084499</v>
      </c>
      <c r="EO161" s="62">
        <f ca="1">AVERAGE(OFFSET($EN$3,0,0,'Données projet'!$E$15+1,1))-AVERAGE(OFFSET($H$3,0,0,'Données projet'!$E$15+1,1))</f>
        <v>418.23737352070503</v>
      </c>
      <c r="EP161" s="62">
        <f t="shared" si="154"/>
        <v>496.10742685332968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1.1368683772161603E-13</v>
      </c>
      <c r="FF161" s="18">
        <f>FE161*VLOOKUP('Données projet'!$B$16,Paramètres!$A$1:$I$89,3,0)*VLOOKUP('Données projet'!$B$16,Paramètres!$A$1:$I$89,5,0)</f>
        <v>6.7984728957526396E-14</v>
      </c>
      <c r="FG161" s="14">
        <f t="shared" si="182"/>
        <v>1.0682447123141398E-12</v>
      </c>
      <c r="FH161" s="22">
        <f t="shared" si="183"/>
        <v>1.978932943548152E-12</v>
      </c>
      <c r="FI161" s="62">
        <f t="shared" si="131"/>
        <v>284.55866349084522</v>
      </c>
      <c r="FJ161" s="62">
        <f ca="1">AVERAGE(OFFSET($FI$3,0,0,'Données projet'!$E$16+1,1))-AVERAGE(OFFSET($H$3,0,0,'Données projet'!$E$16+1,1))</f>
        <v>341.70983624543067</v>
      </c>
      <c r="FK161" s="62">
        <f t="shared" si="156"/>
        <v>250.82562837973805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6.7180993046725748E-19</v>
      </c>
      <c r="FT161" s="24">
        <f t="shared" si="184"/>
        <v>6.7180993046725748E-19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-2.2737367544323206E-13</v>
      </c>
      <c r="GA161" s="18">
        <f>FZ161*VLOOKUP('Données projet'!$B$17,Paramètres!$A$1:$I$89,3,0)*VLOOKUP('Données projet'!$B$17,Paramètres!$A$1:$I$89,5,0)</f>
        <v>-1.064108801074326E-13</v>
      </c>
      <c r="GB161" s="14" t="e">
        <f t="shared" si="185"/>
        <v>#NUM!</v>
      </c>
      <c r="GC161" s="22" t="e">
        <f t="shared" si="186"/>
        <v>#NUM!</v>
      </c>
      <c r="GD161" s="62" t="e">
        <f t="shared" si="134"/>
        <v>#NUM!</v>
      </c>
      <c r="GE161" s="62">
        <f ca="1">AVERAGE(OFFSET($GD$3,0,0,'Données projet'!$E$17+1,1))-AVERAGE(OFFSET($H$3,0,0,'Données projet'!$E$17+1,1))</f>
        <v>368.69628434154333</v>
      </c>
      <c r="GF161" s="62">
        <f t="shared" si="158"/>
        <v>202.28197295839524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-1.1368683772161603E-13</v>
      </c>
      <c r="GV161" s="18">
        <f>GU161*VLOOKUP('Données projet'!$B$18,Paramètres!$A$1:$I$89,3,0)*VLOOKUP('Données projet'!$B$18,Paramètres!$A$1:$I$89,5,0)</f>
        <v>-9.9316821433603781E-14</v>
      </c>
      <c r="GW161" s="14" t="e">
        <f t="shared" si="188"/>
        <v>#NUM!</v>
      </c>
      <c r="GX161" s="22" t="e">
        <f t="shared" si="189"/>
        <v>#NUM!</v>
      </c>
      <c r="GY161" s="62" t="e">
        <f t="shared" si="137"/>
        <v>#NUM!</v>
      </c>
      <c r="GZ161" s="62">
        <f ca="1">AVERAGE(OFFSET($GY$3,0,0,'Données projet'!$E$18+1,1))-AVERAGE(OFFSET($H$3,0,0,'Données projet'!$E$18+1,1))</f>
        <v>378.51861272969165</v>
      </c>
      <c r="HA161" s="62">
        <f t="shared" si="160"/>
        <v>387.42368617035459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0</v>
      </c>
      <c r="HH161" s="23">
        <f>EXP(-LN(2)/25)*HH160+(1-EXP(-LN(2)/25))/(LN(2)/25)*Calculateur!HC161*Calculateur!HE161*VLOOKUP('Données projet'!$B$18,Paramètres!$A$1:$I$89,3,0)*0.475*44/12</f>
        <v>0</v>
      </c>
      <c r="HI161" s="23">
        <f>EXP(-LN(2)/2)*HI160+(1-EXP(-LN(2)/2))/(LN(2)/2)*HC161*HF161*VLOOKUP('Données projet'!$B$18,Paramètres!$A$1:$I$89,3,0)*0.475*44/12</f>
        <v>0</v>
      </c>
      <c r="HJ161" s="24">
        <f t="shared" si="190"/>
        <v>0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135.66666666666666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284.7108843953896</v>
      </c>
      <c r="S162" s="62">
        <f ca="1">AVERAGE(OFFSET($R$3,0,0,'Données projet'!$E$9+1,1))-AVERAGE(OFFSET($H$3,0,0,'Données projet'!$E$9+1,1))</f>
        <v>437.94016462147999</v>
      </c>
      <c r="T162" s="62">
        <f t="shared" si="142"/>
        <v>281.88254003380348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3.1387952706327723E-19</v>
      </c>
      <c r="AC162" s="24">
        <f t="shared" si="163"/>
        <v>3.1387952706327723E-19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1.0286385077051818E-13</v>
      </c>
      <c r="AK162" s="14">
        <f t="shared" si="164"/>
        <v>1.5402366592183556E-12</v>
      </c>
      <c r="AL162" s="22">
        <f t="shared" si="165"/>
        <v>2.8617333882306215E-12</v>
      </c>
      <c r="AM162" s="62">
        <f t="shared" si="113"/>
        <v>284.71088439539045</v>
      </c>
      <c r="AN162" s="62">
        <f ca="1">AVERAGE(OFFSET($AM$3,0,0,'Données projet'!$E$10+1,1))-AVERAGE(OFFSET($H$3,0,0,'Données projet'!$E$10+1,1))</f>
        <v>434.56763649859136</v>
      </c>
      <c r="AO162" s="62">
        <f t="shared" si="144"/>
        <v>271.90302066766264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6.7984728957526396E-14</v>
      </c>
      <c r="BF162" s="14">
        <f t="shared" si="167"/>
        <v>1.0682447123141398E-12</v>
      </c>
      <c r="BG162" s="22">
        <f t="shared" si="168"/>
        <v>1.978932943548152E-12</v>
      </c>
      <c r="BH162" s="62">
        <f t="shared" si="116"/>
        <v>284.7108843953896</v>
      </c>
      <c r="BI162" s="62">
        <f ca="1">AVERAGE(OFFSET($BH$3,0,0,'Données projet'!$E$11+1,1))-AVERAGE(OFFSET($H$3,0,0,'Données projet'!$E$11+1,1))</f>
        <v>199.65420589615553</v>
      </c>
      <c r="BJ162" s="62">
        <f t="shared" si="146"/>
        <v>477.85821088970999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4.1436486086469673</v>
      </c>
      <c r="BQ162" s="23">
        <f>EXP(-LN(2)/25)*BQ161+(1-EXP(-LN(2)/25))/(LN(2)/25)*Calculateur!BL162*Calculateur!BN162*VLOOKUP('Données projet'!$B$11,Paramètres!$A$1:$I$89,3,0)*0.475*44/12</f>
        <v>1.2292278440438973</v>
      </c>
      <c r="BR162" s="23">
        <f>EXP(-LN(2)/2)*BR161+(1-EXP(-LN(2)/2))/(LN(2)/2)*BL162*BO162*VLOOKUP('Données projet'!$B$11,Paramètres!$A$1:$I$89,3,0)*0.475*44/12</f>
        <v>1.6700396072802854E-18</v>
      </c>
      <c r="BS162" s="24">
        <f t="shared" si="169"/>
        <v>5.3728764526908641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1.1368683772161603E-13</v>
      </c>
      <c r="BZ162" s="14">
        <f>BY162*VLOOKUP('Données projet'!$B$12,Paramètres!$A$1:$I$89,3,0)*VLOOKUP('Données projet'!$B$12,Paramètres!$A$1:$I$89,5,0)</f>
        <v>6.7984728957526396E-14</v>
      </c>
      <c r="CA162" s="14">
        <f t="shared" si="170"/>
        <v>1.0682447123141398E-12</v>
      </c>
      <c r="CB162" s="22">
        <f t="shared" si="171"/>
        <v>1.978932943548152E-12</v>
      </c>
      <c r="CC162" s="62">
        <f t="shared" si="119"/>
        <v>284.7108843953896</v>
      </c>
      <c r="CD162" s="62">
        <f ca="1">AVERAGE(OFFSET($CC$3,0,0,'Données projet'!$E$12+1,1))-AVERAGE(OFFSET($H$3,0,0,'Données projet'!$E$12+1,1))</f>
        <v>437.94016462147999</v>
      </c>
      <c r="CE162" s="62">
        <f t="shared" si="148"/>
        <v>281.88254003380348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3.1387952706327723E-19</v>
      </c>
      <c r="CN162" s="24">
        <f t="shared" si="172"/>
        <v>3.1387952706327723E-19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1.1368683772161603E-13</v>
      </c>
      <c r="CU162" s="18">
        <f>CT162*VLOOKUP('Données projet'!$B$13,Paramètres!$A$1:$I$89,3,0)*VLOOKUP('Données projet'!$B$13,Paramètres!$A$1:$I$89,5,0)</f>
        <v>1.2946657079737634E-13</v>
      </c>
      <c r="CV162" s="14">
        <f t="shared" si="173"/>
        <v>1.8873591890224769E-12</v>
      </c>
      <c r="CW162" s="22">
        <f t="shared" si="174"/>
        <v>3.5126381983529106E-12</v>
      </c>
      <c r="CX162" s="62">
        <f t="shared" si="122"/>
        <v>284.71088439539113</v>
      </c>
      <c r="CY162" s="62">
        <f ca="1">AVERAGE(OFFSET($CX$3,0,0,'Données projet'!$E$13+1,1))-AVERAGE(OFFSET($H$3,0,0,'Données projet'!$E$13+1,1))</f>
        <v>520.23742527061836</v>
      </c>
      <c r="CZ162" s="62">
        <f t="shared" si="150"/>
        <v>321.35925479331274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>
        <f>DO162*VLOOKUP('Données projet'!$B$14,Paramètres!$A$1:$I$89,3,0)*VLOOKUP('Données projet'!$B$14,Paramètres!$A$1:$I$89,5,0)</f>
        <v>0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547.89540791313675</v>
      </c>
      <c r="DU162" s="62">
        <f t="shared" si="152"/>
        <v>345.19555189302378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5.6843418860808015E-14</v>
      </c>
      <c r="EK162" s="18">
        <f>EJ162*VLOOKUP('Données projet'!$B$15,Paramètres!$A$1:$I$89,3,0)*VLOOKUP('Données projet'!$B$15,Paramètres!$A$1:$I$89,5,0)</f>
        <v>5.9412741393316544E-14</v>
      </c>
      <c r="EL162" s="14">
        <f t="shared" si="179"/>
        <v>9.483138037075782E-13</v>
      </c>
      <c r="EM162" s="22">
        <f t="shared" si="180"/>
        <v>1.7551237327173916E-12</v>
      </c>
      <c r="EN162" s="62">
        <f t="shared" si="128"/>
        <v>284.71088439538937</v>
      </c>
      <c r="EO162" s="62">
        <f ca="1">AVERAGE(OFFSET($EN$3,0,0,'Données projet'!$E$15+1,1))-AVERAGE(OFFSET($H$3,0,0,'Données projet'!$E$15+1,1))</f>
        <v>418.23737352070503</v>
      </c>
      <c r="EP162" s="62">
        <f t="shared" si="154"/>
        <v>496.10742685332968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1.1368683772161603E-13</v>
      </c>
      <c r="FF162" s="18">
        <f>FE162*VLOOKUP('Données projet'!$B$16,Paramètres!$A$1:$I$89,3,0)*VLOOKUP('Données projet'!$B$16,Paramètres!$A$1:$I$89,5,0)</f>
        <v>6.7984728957526396E-14</v>
      </c>
      <c r="FG162" s="14">
        <f t="shared" si="182"/>
        <v>1.0682447123141398E-12</v>
      </c>
      <c r="FH162" s="22">
        <f t="shared" si="183"/>
        <v>1.978932943548152E-12</v>
      </c>
      <c r="FI162" s="62">
        <f t="shared" si="131"/>
        <v>284.7108843953896</v>
      </c>
      <c r="FJ162" s="62">
        <f ca="1">AVERAGE(OFFSET($FI$3,0,0,'Données projet'!$E$16+1,1))-AVERAGE(OFFSET($H$3,0,0,'Données projet'!$E$16+1,1))</f>
        <v>341.70983624543067</v>
      </c>
      <c r="FK162" s="62">
        <f t="shared" si="156"/>
        <v>250.82562837973805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4.7504135750186074E-19</v>
      </c>
      <c r="FT162" s="24">
        <f t="shared" si="184"/>
        <v>4.7504135750186074E-19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-2.2737367544323206E-13</v>
      </c>
      <c r="GA162" s="18">
        <f>FZ162*VLOOKUP('Données projet'!$B$17,Paramètres!$A$1:$I$89,3,0)*VLOOKUP('Données projet'!$B$17,Paramètres!$A$1:$I$89,5,0)</f>
        <v>-1.064108801074326E-13</v>
      </c>
      <c r="GB162" s="14" t="e">
        <f t="shared" si="185"/>
        <v>#NUM!</v>
      </c>
      <c r="GC162" s="22" t="e">
        <f t="shared" si="186"/>
        <v>#NUM!</v>
      </c>
      <c r="GD162" s="62" t="e">
        <f t="shared" si="134"/>
        <v>#NUM!</v>
      </c>
      <c r="GE162" s="62">
        <f ca="1">AVERAGE(OFFSET($GD$3,0,0,'Données projet'!$E$17+1,1))-AVERAGE(OFFSET($H$3,0,0,'Données projet'!$E$17+1,1))</f>
        <v>368.69628434154333</v>
      </c>
      <c r="GF162" s="62">
        <f t="shared" si="158"/>
        <v>202.28197295839524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-1.1368683772161603E-13</v>
      </c>
      <c r="GV162" s="18">
        <f>GU162*VLOOKUP('Données projet'!$B$18,Paramètres!$A$1:$I$89,3,0)*VLOOKUP('Données projet'!$B$18,Paramètres!$A$1:$I$89,5,0)</f>
        <v>-9.9316821433603781E-14</v>
      </c>
      <c r="GW162" s="14" t="e">
        <f t="shared" si="188"/>
        <v>#NUM!</v>
      </c>
      <c r="GX162" s="22" t="e">
        <f t="shared" si="189"/>
        <v>#NUM!</v>
      </c>
      <c r="GY162" s="62" t="e">
        <f t="shared" si="137"/>
        <v>#NUM!</v>
      </c>
      <c r="GZ162" s="62">
        <f ca="1">AVERAGE(OFFSET($GY$3,0,0,'Données projet'!$E$18+1,1))-AVERAGE(OFFSET($H$3,0,0,'Données projet'!$E$18+1,1))</f>
        <v>378.51861272969165</v>
      </c>
      <c r="HA162" s="62">
        <f t="shared" si="160"/>
        <v>387.42368617035459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0</v>
      </c>
      <c r="HH162" s="23">
        <f>EXP(-LN(2)/25)*HH161+(1-EXP(-LN(2)/25))/(LN(2)/25)*Calculateur!HC162*Calculateur!HE162*VLOOKUP('Données projet'!$B$18,Paramètres!$A$1:$I$89,3,0)*0.475*44/12</f>
        <v>0</v>
      </c>
      <c r="HI162" s="23">
        <f>EXP(-LN(2)/2)*HI161+(1-EXP(-LN(2)/2))/(LN(2)/2)*HC162*HF162*VLOOKUP('Données projet'!$B$18,Paramètres!$A$1:$I$89,3,0)*0.475*44/12</f>
        <v>0</v>
      </c>
      <c r="HJ162" s="24">
        <f t="shared" si="190"/>
        <v>0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135.66666666666666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284.86046460755495</v>
      </c>
      <c r="S163" s="62">
        <f ca="1">AVERAGE(OFFSET($R$3,0,0,'Données projet'!$E$9+1,1))-AVERAGE(OFFSET($H$3,0,0,'Données projet'!$E$9+1,1))</f>
        <v>437.94016462147999</v>
      </c>
      <c r="T163" s="62">
        <f t="shared" si="142"/>
        <v>281.88254003380348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2.2194634206206979E-19</v>
      </c>
      <c r="AC163" s="24">
        <f t="shared" si="163"/>
        <v>2.2194634206206979E-19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1.0286385077051818E-13</v>
      </c>
      <c r="AK163" s="14">
        <f t="shared" si="164"/>
        <v>1.5402366592183556E-12</v>
      </c>
      <c r="AL163" s="22">
        <f t="shared" si="165"/>
        <v>2.8617333882306215E-12</v>
      </c>
      <c r="AM163" s="62">
        <f t="shared" si="113"/>
        <v>284.8604646075558</v>
      </c>
      <c r="AN163" s="62">
        <f ca="1">AVERAGE(OFFSET($AM$3,0,0,'Données projet'!$E$10+1,1))-AVERAGE(OFFSET($H$3,0,0,'Données projet'!$E$10+1,1))</f>
        <v>434.56763649859136</v>
      </c>
      <c r="AO163" s="62">
        <f t="shared" si="144"/>
        <v>271.90302066766264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6.7984728957526396E-14</v>
      </c>
      <c r="BF163" s="14">
        <f t="shared" si="167"/>
        <v>1.0682447123141398E-12</v>
      </c>
      <c r="BG163" s="22">
        <f t="shared" si="168"/>
        <v>1.978932943548152E-12</v>
      </c>
      <c r="BH163" s="62">
        <f t="shared" si="116"/>
        <v>284.86046460755495</v>
      </c>
      <c r="BI163" s="62">
        <f ca="1">AVERAGE(OFFSET($BH$3,0,0,'Données projet'!$E$11+1,1))-AVERAGE(OFFSET($H$3,0,0,'Données projet'!$E$11+1,1))</f>
        <v>199.65420589615553</v>
      </c>
      <c r="BJ163" s="62">
        <f t="shared" si="146"/>
        <v>477.85821088970999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4.0623941868074942</v>
      </c>
      <c r="BQ163" s="23">
        <f>EXP(-LN(2)/25)*BQ162+(1-EXP(-LN(2)/25))/(LN(2)/25)*Calculateur!BL163*Calculateur!BN163*VLOOKUP('Données projet'!$B$11,Paramètres!$A$1:$I$89,3,0)*0.475*44/12</f>
        <v>1.195614544006234</v>
      </c>
      <c r="BR163" s="23">
        <f>EXP(-LN(2)/2)*BR162+(1-EXP(-LN(2)/2))/(LN(2)/2)*BL163*BO163*VLOOKUP('Données projet'!$B$11,Paramètres!$A$1:$I$89,3,0)*0.475*44/12</f>
        <v>1.1808963311580085E-18</v>
      </c>
      <c r="BS163" s="24">
        <f t="shared" si="169"/>
        <v>5.258008730813728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1.1368683772161603E-13</v>
      </c>
      <c r="BZ163" s="14">
        <f>BY163*VLOOKUP('Données projet'!$B$12,Paramètres!$A$1:$I$89,3,0)*VLOOKUP('Données projet'!$B$12,Paramètres!$A$1:$I$89,5,0)</f>
        <v>6.7984728957526396E-14</v>
      </c>
      <c r="CA163" s="14">
        <f t="shared" si="170"/>
        <v>1.0682447123141398E-12</v>
      </c>
      <c r="CB163" s="22">
        <f t="shared" si="171"/>
        <v>1.978932943548152E-12</v>
      </c>
      <c r="CC163" s="62">
        <f t="shared" si="119"/>
        <v>284.86046460755495</v>
      </c>
      <c r="CD163" s="62">
        <f ca="1">AVERAGE(OFFSET($CC$3,0,0,'Données projet'!$E$12+1,1))-AVERAGE(OFFSET($H$3,0,0,'Données projet'!$E$12+1,1))</f>
        <v>437.94016462147999</v>
      </c>
      <c r="CE163" s="62">
        <f t="shared" si="148"/>
        <v>281.88254003380348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2.2194634206206979E-19</v>
      </c>
      <c r="CN163" s="24">
        <f t="shared" si="172"/>
        <v>2.2194634206206979E-19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1.1368683772161603E-13</v>
      </c>
      <c r="CU163" s="18">
        <f>CT163*VLOOKUP('Données projet'!$B$13,Paramètres!$A$1:$I$89,3,0)*VLOOKUP('Données projet'!$B$13,Paramètres!$A$1:$I$89,5,0)</f>
        <v>1.2946657079737634E-13</v>
      </c>
      <c r="CV163" s="14">
        <f t="shared" si="173"/>
        <v>1.8873591890224769E-12</v>
      </c>
      <c r="CW163" s="22">
        <f t="shared" si="174"/>
        <v>3.5126381983529106E-12</v>
      </c>
      <c r="CX163" s="62">
        <f t="shared" si="122"/>
        <v>284.86046460755648</v>
      </c>
      <c r="CY163" s="62">
        <f ca="1">AVERAGE(OFFSET($CX$3,0,0,'Données projet'!$E$13+1,1))-AVERAGE(OFFSET($H$3,0,0,'Données projet'!$E$13+1,1))</f>
        <v>520.23742527061836</v>
      </c>
      <c r="CZ163" s="62">
        <f t="shared" si="150"/>
        <v>321.35925479331274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>
        <f>DO163*VLOOKUP('Données projet'!$B$14,Paramètres!$A$1:$I$89,3,0)*VLOOKUP('Données projet'!$B$14,Paramètres!$A$1:$I$89,5,0)</f>
        <v>0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547.89540791313675</v>
      </c>
      <c r="DU163" s="62">
        <f t="shared" si="152"/>
        <v>345.19555189302378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5.6843418860808015E-14</v>
      </c>
      <c r="EK163" s="18">
        <f>EJ163*VLOOKUP('Données projet'!$B$15,Paramètres!$A$1:$I$89,3,0)*VLOOKUP('Données projet'!$B$15,Paramètres!$A$1:$I$89,5,0)</f>
        <v>5.9412741393316544E-14</v>
      </c>
      <c r="EL163" s="14">
        <f t="shared" si="179"/>
        <v>9.483138037075782E-13</v>
      </c>
      <c r="EM163" s="22">
        <f t="shared" si="180"/>
        <v>1.7551237327173916E-12</v>
      </c>
      <c r="EN163" s="62">
        <f t="shared" si="128"/>
        <v>284.86046460755472</v>
      </c>
      <c r="EO163" s="62">
        <f ca="1">AVERAGE(OFFSET($EN$3,0,0,'Données projet'!$E$15+1,1))-AVERAGE(OFFSET($H$3,0,0,'Données projet'!$E$15+1,1))</f>
        <v>418.23737352070503</v>
      </c>
      <c r="EP163" s="62">
        <f t="shared" si="154"/>
        <v>496.10742685332968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1.1368683772161603E-13</v>
      </c>
      <c r="FF163" s="18">
        <f>FE163*VLOOKUP('Données projet'!$B$16,Paramètres!$A$1:$I$89,3,0)*VLOOKUP('Données projet'!$B$16,Paramètres!$A$1:$I$89,5,0)</f>
        <v>6.7984728957526396E-14</v>
      </c>
      <c r="FG163" s="14">
        <f t="shared" si="182"/>
        <v>1.0682447123141398E-12</v>
      </c>
      <c r="FH163" s="22">
        <f t="shared" si="183"/>
        <v>1.978932943548152E-12</v>
      </c>
      <c r="FI163" s="62">
        <f t="shared" si="131"/>
        <v>284.86046460755495</v>
      </c>
      <c r="FJ163" s="62">
        <f ca="1">AVERAGE(OFFSET($FI$3,0,0,'Données projet'!$E$16+1,1))-AVERAGE(OFFSET($H$3,0,0,'Données projet'!$E$16+1,1))</f>
        <v>341.70983624543067</v>
      </c>
      <c r="FK163" s="62">
        <f t="shared" si="156"/>
        <v>250.82562837973805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3.3590496523362874E-19</v>
      </c>
      <c r="FT163" s="24">
        <f t="shared" si="184"/>
        <v>3.3590496523362874E-19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-2.2737367544323206E-13</v>
      </c>
      <c r="GA163" s="18">
        <f>FZ163*VLOOKUP('Données projet'!$B$17,Paramètres!$A$1:$I$89,3,0)*VLOOKUP('Données projet'!$B$17,Paramètres!$A$1:$I$89,5,0)</f>
        <v>-1.064108801074326E-13</v>
      </c>
      <c r="GB163" s="14" t="e">
        <f t="shared" si="185"/>
        <v>#NUM!</v>
      </c>
      <c r="GC163" s="22" t="e">
        <f t="shared" si="186"/>
        <v>#NUM!</v>
      </c>
      <c r="GD163" s="62" t="e">
        <f t="shared" si="134"/>
        <v>#NUM!</v>
      </c>
      <c r="GE163" s="62">
        <f ca="1">AVERAGE(OFFSET($GD$3,0,0,'Données projet'!$E$17+1,1))-AVERAGE(OFFSET($H$3,0,0,'Données projet'!$E$17+1,1))</f>
        <v>368.69628434154333</v>
      </c>
      <c r="GF163" s="62">
        <f t="shared" si="158"/>
        <v>202.28197295839524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-1.1368683772161603E-13</v>
      </c>
      <c r="GV163" s="18">
        <f>GU163*VLOOKUP('Données projet'!$B$18,Paramètres!$A$1:$I$89,3,0)*VLOOKUP('Données projet'!$B$18,Paramètres!$A$1:$I$89,5,0)</f>
        <v>-9.9316821433603781E-14</v>
      </c>
      <c r="GW163" s="14" t="e">
        <f t="shared" si="188"/>
        <v>#NUM!</v>
      </c>
      <c r="GX163" s="22" t="e">
        <f t="shared" si="189"/>
        <v>#NUM!</v>
      </c>
      <c r="GY163" s="62" t="e">
        <f t="shared" si="137"/>
        <v>#NUM!</v>
      </c>
      <c r="GZ163" s="62">
        <f ca="1">AVERAGE(OFFSET($GY$3,0,0,'Données projet'!$E$18+1,1))-AVERAGE(OFFSET($H$3,0,0,'Données projet'!$E$18+1,1))</f>
        <v>378.51861272969165</v>
      </c>
      <c r="HA163" s="62">
        <f t="shared" si="160"/>
        <v>387.42368617035459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0</v>
      </c>
      <c r="HH163" s="23">
        <f>EXP(-LN(2)/25)*HH162+(1-EXP(-LN(2)/25))/(LN(2)/25)*Calculateur!HC163*Calculateur!HE163*VLOOKUP('Données projet'!$B$18,Paramètres!$A$1:$I$89,3,0)*0.475*44/12</f>
        <v>0</v>
      </c>
      <c r="HI163" s="23">
        <f>EXP(-LN(2)/2)*HI162+(1-EXP(-LN(2)/2))/(LN(2)/2)*HC163*HF163*VLOOKUP('Données projet'!$B$18,Paramètres!$A$1:$I$89,3,0)*0.475*44/12</f>
        <v>0</v>
      </c>
      <c r="HJ163" s="24">
        <f t="shared" si="190"/>
        <v>0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135.66666666666666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285.00744993745059</v>
      </c>
      <c r="S164" s="62">
        <f ca="1">AVERAGE(OFFSET($R$3,0,0,'Données projet'!$E$9+1,1))-AVERAGE(OFFSET($H$3,0,0,'Données projet'!$E$9+1,1))</f>
        <v>437.94016462147999</v>
      </c>
      <c r="T164" s="62">
        <f t="shared" si="142"/>
        <v>281.88254003380348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1.5693976353163861E-19</v>
      </c>
      <c r="AC164" s="24">
        <f t="shared" si="163"/>
        <v>1.5693976353163861E-19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1.0286385077051818E-13</v>
      </c>
      <c r="AK164" s="14">
        <f t="shared" si="164"/>
        <v>1.5402366592183556E-12</v>
      </c>
      <c r="AL164" s="22">
        <f t="shared" si="165"/>
        <v>2.8617333882306215E-12</v>
      </c>
      <c r="AM164" s="62">
        <f t="shared" si="113"/>
        <v>285.00744993745144</v>
      </c>
      <c r="AN164" s="62">
        <f ca="1">AVERAGE(OFFSET($AM$3,0,0,'Données projet'!$E$10+1,1))-AVERAGE(OFFSET($H$3,0,0,'Données projet'!$E$10+1,1))</f>
        <v>434.56763649859136</v>
      </c>
      <c r="AO164" s="62">
        <f t="shared" si="144"/>
        <v>271.90302066766264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6.7984728957526396E-14</v>
      </c>
      <c r="BF164" s="14">
        <f t="shared" si="167"/>
        <v>1.0682447123141398E-12</v>
      </c>
      <c r="BG164" s="22">
        <f t="shared" si="168"/>
        <v>1.978932943548152E-12</v>
      </c>
      <c r="BH164" s="62">
        <f t="shared" si="116"/>
        <v>285.00744993745059</v>
      </c>
      <c r="BI164" s="62">
        <f ca="1">AVERAGE(OFFSET($BH$3,0,0,'Données projet'!$E$11+1,1))-AVERAGE(OFFSET($H$3,0,0,'Données projet'!$E$11+1,1))</f>
        <v>199.65420589615553</v>
      </c>
      <c r="BJ164" s="62">
        <f t="shared" si="146"/>
        <v>477.85821088970999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3.9827331146199891</v>
      </c>
      <c r="BQ164" s="23">
        <f>EXP(-LN(2)/25)*BQ163+(1-EXP(-LN(2)/25))/(LN(2)/25)*Calculateur!BL164*Calculateur!BN164*VLOOKUP('Données projet'!$B$11,Paramètres!$A$1:$I$89,3,0)*0.475*44/12</f>
        <v>1.1629204014257473</v>
      </c>
      <c r="BR164" s="23">
        <f>EXP(-LN(2)/2)*BR163+(1-EXP(-LN(2)/2))/(LN(2)/2)*BL164*BO164*VLOOKUP('Données projet'!$B$11,Paramètres!$A$1:$I$89,3,0)*0.475*44/12</f>
        <v>8.3501980364014269E-19</v>
      </c>
      <c r="BS164" s="24">
        <f t="shared" si="169"/>
        <v>5.1456535160457362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1.1368683772161603E-13</v>
      </c>
      <c r="BZ164" s="14">
        <f>BY164*VLOOKUP('Données projet'!$B$12,Paramètres!$A$1:$I$89,3,0)*VLOOKUP('Données projet'!$B$12,Paramètres!$A$1:$I$89,5,0)</f>
        <v>6.7984728957526396E-14</v>
      </c>
      <c r="CA164" s="14">
        <f t="shared" si="170"/>
        <v>1.0682447123141398E-12</v>
      </c>
      <c r="CB164" s="22">
        <f t="shared" si="171"/>
        <v>1.978932943548152E-12</v>
      </c>
      <c r="CC164" s="62">
        <f t="shared" si="119"/>
        <v>285.00744993745059</v>
      </c>
      <c r="CD164" s="62">
        <f ca="1">AVERAGE(OFFSET($CC$3,0,0,'Données projet'!$E$12+1,1))-AVERAGE(OFFSET($H$3,0,0,'Données projet'!$E$12+1,1))</f>
        <v>437.94016462147999</v>
      </c>
      <c r="CE164" s="62">
        <f t="shared" si="148"/>
        <v>281.88254003380348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1.5693976353163861E-19</v>
      </c>
      <c r="CN164" s="24">
        <f t="shared" si="172"/>
        <v>1.5693976353163861E-19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1.1368683772161603E-13</v>
      </c>
      <c r="CU164" s="18">
        <f>CT164*VLOOKUP('Données projet'!$B$13,Paramètres!$A$1:$I$89,3,0)*VLOOKUP('Données projet'!$B$13,Paramètres!$A$1:$I$89,5,0)</f>
        <v>1.2946657079737634E-13</v>
      </c>
      <c r="CV164" s="14">
        <f t="shared" si="173"/>
        <v>1.8873591890224769E-12</v>
      </c>
      <c r="CW164" s="22">
        <f t="shared" si="174"/>
        <v>3.5126381983529106E-12</v>
      </c>
      <c r="CX164" s="62">
        <f t="shared" si="122"/>
        <v>285.00744993745212</v>
      </c>
      <c r="CY164" s="62">
        <f ca="1">AVERAGE(OFFSET($CX$3,0,0,'Données projet'!$E$13+1,1))-AVERAGE(OFFSET($H$3,0,0,'Données projet'!$E$13+1,1))</f>
        <v>520.23742527061836</v>
      </c>
      <c r="CZ164" s="62">
        <f t="shared" si="150"/>
        <v>321.35925479331274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>
        <f>DO164*VLOOKUP('Données projet'!$B$14,Paramètres!$A$1:$I$89,3,0)*VLOOKUP('Données projet'!$B$14,Paramètres!$A$1:$I$89,5,0)</f>
        <v>0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547.89540791313675</v>
      </c>
      <c r="DU164" s="62">
        <f t="shared" si="152"/>
        <v>345.19555189302378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5.6843418860808015E-14</v>
      </c>
      <c r="EK164" s="18">
        <f>EJ164*VLOOKUP('Données projet'!$B$15,Paramètres!$A$1:$I$89,3,0)*VLOOKUP('Données projet'!$B$15,Paramètres!$A$1:$I$89,5,0)</f>
        <v>5.9412741393316544E-14</v>
      </c>
      <c r="EL164" s="14">
        <f t="shared" si="179"/>
        <v>9.483138037075782E-13</v>
      </c>
      <c r="EM164" s="22">
        <f t="shared" si="180"/>
        <v>1.7551237327173916E-12</v>
      </c>
      <c r="EN164" s="62">
        <f t="shared" si="128"/>
        <v>285.00744993745036</v>
      </c>
      <c r="EO164" s="62">
        <f ca="1">AVERAGE(OFFSET($EN$3,0,0,'Données projet'!$E$15+1,1))-AVERAGE(OFFSET($H$3,0,0,'Données projet'!$E$15+1,1))</f>
        <v>418.23737352070503</v>
      </c>
      <c r="EP164" s="62">
        <f t="shared" si="154"/>
        <v>496.10742685332968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1.1368683772161603E-13</v>
      </c>
      <c r="FF164" s="18">
        <f>FE164*VLOOKUP('Données projet'!$B$16,Paramètres!$A$1:$I$89,3,0)*VLOOKUP('Données projet'!$B$16,Paramètres!$A$1:$I$89,5,0)</f>
        <v>6.7984728957526396E-14</v>
      </c>
      <c r="FG164" s="14">
        <f t="shared" si="182"/>
        <v>1.0682447123141398E-12</v>
      </c>
      <c r="FH164" s="22">
        <f t="shared" si="183"/>
        <v>1.978932943548152E-12</v>
      </c>
      <c r="FI164" s="62">
        <f t="shared" si="131"/>
        <v>285.00744993745059</v>
      </c>
      <c r="FJ164" s="62">
        <f ca="1">AVERAGE(OFFSET($FI$3,0,0,'Données projet'!$E$16+1,1))-AVERAGE(OFFSET($H$3,0,0,'Données projet'!$E$16+1,1))</f>
        <v>341.70983624543067</v>
      </c>
      <c r="FK164" s="62">
        <f t="shared" si="156"/>
        <v>250.82562837973805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2.3752067875093037E-19</v>
      </c>
      <c r="FT164" s="24">
        <f t="shared" si="184"/>
        <v>2.3752067875093037E-19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-2.2737367544323206E-13</v>
      </c>
      <c r="GA164" s="18">
        <f>FZ164*VLOOKUP('Données projet'!$B$17,Paramètres!$A$1:$I$89,3,0)*VLOOKUP('Données projet'!$B$17,Paramètres!$A$1:$I$89,5,0)</f>
        <v>-1.064108801074326E-13</v>
      </c>
      <c r="GB164" s="14" t="e">
        <f t="shared" si="185"/>
        <v>#NUM!</v>
      </c>
      <c r="GC164" s="22" t="e">
        <f t="shared" si="186"/>
        <v>#NUM!</v>
      </c>
      <c r="GD164" s="62" t="e">
        <f t="shared" si="134"/>
        <v>#NUM!</v>
      </c>
      <c r="GE164" s="62">
        <f ca="1">AVERAGE(OFFSET($GD$3,0,0,'Données projet'!$E$17+1,1))-AVERAGE(OFFSET($H$3,0,0,'Données projet'!$E$17+1,1))</f>
        <v>368.69628434154333</v>
      </c>
      <c r="GF164" s="62">
        <f t="shared" si="158"/>
        <v>202.28197295839524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-1.1368683772161603E-13</v>
      </c>
      <c r="GV164" s="18">
        <f>GU164*VLOOKUP('Données projet'!$B$18,Paramètres!$A$1:$I$89,3,0)*VLOOKUP('Données projet'!$B$18,Paramètres!$A$1:$I$89,5,0)</f>
        <v>-9.9316821433603781E-14</v>
      </c>
      <c r="GW164" s="14" t="e">
        <f t="shared" si="188"/>
        <v>#NUM!</v>
      </c>
      <c r="GX164" s="22" t="e">
        <f t="shared" si="189"/>
        <v>#NUM!</v>
      </c>
      <c r="GY164" s="62" t="e">
        <f t="shared" si="137"/>
        <v>#NUM!</v>
      </c>
      <c r="GZ164" s="62">
        <f ca="1">AVERAGE(OFFSET($GY$3,0,0,'Données projet'!$E$18+1,1))-AVERAGE(OFFSET($H$3,0,0,'Données projet'!$E$18+1,1))</f>
        <v>378.51861272969165</v>
      </c>
      <c r="HA164" s="62">
        <f t="shared" si="160"/>
        <v>387.42368617035459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0</v>
      </c>
      <c r="HH164" s="23">
        <f>EXP(-LN(2)/25)*HH163+(1-EXP(-LN(2)/25))/(LN(2)/25)*Calculateur!HC164*Calculateur!HE164*VLOOKUP('Données projet'!$B$18,Paramètres!$A$1:$I$89,3,0)*0.475*44/12</f>
        <v>0</v>
      </c>
      <c r="HI164" s="23">
        <f>EXP(-LN(2)/2)*HI163+(1-EXP(-LN(2)/2))/(LN(2)/2)*HC164*HF164*VLOOKUP('Données projet'!$B$18,Paramètres!$A$1:$I$89,3,0)*0.475*44/12</f>
        <v>0</v>
      </c>
      <c r="HJ164" s="24">
        <f t="shared" si="190"/>
        <v>0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135.66666666666666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285.15188540048246</v>
      </c>
      <c r="S165" s="62">
        <f ca="1">AVERAGE(OFFSET($R$3,0,0,'Données projet'!$E$9+1,1))-AVERAGE(OFFSET($H$3,0,0,'Données projet'!$E$9+1,1))</f>
        <v>437.94016462147999</v>
      </c>
      <c r="T165" s="62">
        <f t="shared" si="142"/>
        <v>281.88254003380348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1.109731710310349E-19</v>
      </c>
      <c r="AC165" s="24">
        <f t="shared" si="163"/>
        <v>1.109731710310349E-19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1.0286385077051818E-13</v>
      </c>
      <c r="AK165" s="14">
        <f t="shared" si="164"/>
        <v>1.5402366592183556E-12</v>
      </c>
      <c r="AL165" s="22">
        <f t="shared" si="165"/>
        <v>2.8617333882306215E-12</v>
      </c>
      <c r="AM165" s="62">
        <f t="shared" si="113"/>
        <v>285.15188540048331</v>
      </c>
      <c r="AN165" s="62">
        <f ca="1">AVERAGE(OFFSET($AM$3,0,0,'Données projet'!$E$10+1,1))-AVERAGE(OFFSET($H$3,0,0,'Données projet'!$E$10+1,1))</f>
        <v>434.56763649859136</v>
      </c>
      <c r="AO165" s="62">
        <f t="shared" si="144"/>
        <v>271.90302066766264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6.7984728957526396E-14</v>
      </c>
      <c r="BF165" s="14">
        <f t="shared" si="167"/>
        <v>1.0682447123141398E-12</v>
      </c>
      <c r="BG165" s="22">
        <f t="shared" si="168"/>
        <v>1.978932943548152E-12</v>
      </c>
      <c r="BH165" s="62">
        <f t="shared" si="116"/>
        <v>285.15188540048246</v>
      </c>
      <c r="BI165" s="62">
        <f ca="1">AVERAGE(OFFSET($BH$3,0,0,'Données projet'!$E$11+1,1))-AVERAGE(OFFSET($H$3,0,0,'Données projet'!$E$11+1,1))</f>
        <v>199.65420589615553</v>
      </c>
      <c r="BJ165" s="62">
        <f t="shared" si="146"/>
        <v>477.85821088970999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3.9046341474696247</v>
      </c>
      <c r="BQ165" s="23">
        <f>EXP(-LN(2)/25)*BQ164+(1-EXP(-LN(2)/25))/(LN(2)/25)*Calculateur!BL165*Calculateur!BN165*VLOOKUP('Données projet'!$B$11,Paramètres!$A$1:$I$89,3,0)*0.475*44/12</f>
        <v>1.1311202818934343</v>
      </c>
      <c r="BR165" s="23">
        <f>EXP(-LN(2)/2)*BR164+(1-EXP(-LN(2)/2))/(LN(2)/2)*BL165*BO165*VLOOKUP('Données projet'!$B$11,Paramètres!$A$1:$I$89,3,0)*0.475*44/12</f>
        <v>5.9044816557900425E-19</v>
      </c>
      <c r="BS165" s="24">
        <f t="shared" si="169"/>
        <v>5.0357544293630587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1.1368683772161603E-13</v>
      </c>
      <c r="BZ165" s="14">
        <f>BY165*VLOOKUP('Données projet'!$B$12,Paramètres!$A$1:$I$89,3,0)*VLOOKUP('Données projet'!$B$12,Paramètres!$A$1:$I$89,5,0)</f>
        <v>6.7984728957526396E-14</v>
      </c>
      <c r="CA165" s="14">
        <f t="shared" si="170"/>
        <v>1.0682447123141398E-12</v>
      </c>
      <c r="CB165" s="22">
        <f t="shared" si="171"/>
        <v>1.978932943548152E-12</v>
      </c>
      <c r="CC165" s="62">
        <f t="shared" si="119"/>
        <v>285.15188540048246</v>
      </c>
      <c r="CD165" s="62">
        <f ca="1">AVERAGE(OFFSET($CC$3,0,0,'Données projet'!$E$12+1,1))-AVERAGE(OFFSET($H$3,0,0,'Données projet'!$E$12+1,1))</f>
        <v>437.94016462147999</v>
      </c>
      <c r="CE165" s="62">
        <f t="shared" si="148"/>
        <v>281.88254003380348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1.109731710310349E-19</v>
      </c>
      <c r="CN165" s="24">
        <f t="shared" si="172"/>
        <v>1.109731710310349E-19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1.1368683772161603E-13</v>
      </c>
      <c r="CU165" s="18">
        <f>CT165*VLOOKUP('Données projet'!$B$13,Paramètres!$A$1:$I$89,3,0)*VLOOKUP('Données projet'!$B$13,Paramètres!$A$1:$I$89,5,0)</f>
        <v>1.2946657079737634E-13</v>
      </c>
      <c r="CV165" s="14">
        <f t="shared" si="173"/>
        <v>1.8873591890224769E-12</v>
      </c>
      <c r="CW165" s="22">
        <f t="shared" si="174"/>
        <v>3.5126381983529106E-12</v>
      </c>
      <c r="CX165" s="62">
        <f t="shared" si="122"/>
        <v>285.15188540048399</v>
      </c>
      <c r="CY165" s="62">
        <f ca="1">AVERAGE(OFFSET($CX$3,0,0,'Données projet'!$E$13+1,1))-AVERAGE(OFFSET($H$3,0,0,'Données projet'!$E$13+1,1))</f>
        <v>520.23742527061836</v>
      </c>
      <c r="CZ165" s="62">
        <f t="shared" si="150"/>
        <v>321.35925479331274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>
        <f>DO165*VLOOKUP('Données projet'!$B$14,Paramètres!$A$1:$I$89,3,0)*VLOOKUP('Données projet'!$B$14,Paramètres!$A$1:$I$89,5,0)</f>
        <v>0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547.89540791313675</v>
      </c>
      <c r="DU165" s="62">
        <f t="shared" si="152"/>
        <v>345.19555189302378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5.6843418860808015E-14</v>
      </c>
      <c r="EK165" s="18">
        <f>EJ165*VLOOKUP('Données projet'!$B$15,Paramètres!$A$1:$I$89,3,0)*VLOOKUP('Données projet'!$B$15,Paramètres!$A$1:$I$89,5,0)</f>
        <v>5.9412741393316544E-14</v>
      </c>
      <c r="EL165" s="14">
        <f t="shared" si="179"/>
        <v>9.483138037075782E-13</v>
      </c>
      <c r="EM165" s="22">
        <f t="shared" si="180"/>
        <v>1.7551237327173916E-12</v>
      </c>
      <c r="EN165" s="62">
        <f t="shared" si="128"/>
        <v>285.15188540048223</v>
      </c>
      <c r="EO165" s="62">
        <f ca="1">AVERAGE(OFFSET($EN$3,0,0,'Données projet'!$E$15+1,1))-AVERAGE(OFFSET($H$3,0,0,'Données projet'!$E$15+1,1))</f>
        <v>418.23737352070503</v>
      </c>
      <c r="EP165" s="62">
        <f t="shared" si="154"/>
        <v>496.10742685332968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1.1368683772161603E-13</v>
      </c>
      <c r="FF165" s="18">
        <f>FE165*VLOOKUP('Données projet'!$B$16,Paramètres!$A$1:$I$89,3,0)*VLOOKUP('Données projet'!$B$16,Paramètres!$A$1:$I$89,5,0)</f>
        <v>6.7984728957526396E-14</v>
      </c>
      <c r="FG165" s="14">
        <f t="shared" si="182"/>
        <v>1.0682447123141398E-12</v>
      </c>
      <c r="FH165" s="22">
        <f t="shared" si="183"/>
        <v>1.978932943548152E-12</v>
      </c>
      <c r="FI165" s="62">
        <f t="shared" si="131"/>
        <v>285.15188540048246</v>
      </c>
      <c r="FJ165" s="62">
        <f ca="1">AVERAGE(OFFSET($FI$3,0,0,'Données projet'!$E$16+1,1))-AVERAGE(OFFSET($H$3,0,0,'Données projet'!$E$16+1,1))</f>
        <v>341.70983624543067</v>
      </c>
      <c r="FK165" s="62">
        <f t="shared" si="156"/>
        <v>250.82562837973805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1.6795248261681437E-19</v>
      </c>
      <c r="FT165" s="24">
        <f t="shared" si="184"/>
        <v>1.6795248261681437E-19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-2.2737367544323206E-13</v>
      </c>
      <c r="GA165" s="18">
        <f>FZ165*VLOOKUP('Données projet'!$B$17,Paramètres!$A$1:$I$89,3,0)*VLOOKUP('Données projet'!$B$17,Paramètres!$A$1:$I$89,5,0)</f>
        <v>-1.064108801074326E-13</v>
      </c>
      <c r="GB165" s="14" t="e">
        <f t="shared" si="185"/>
        <v>#NUM!</v>
      </c>
      <c r="GC165" s="22" t="e">
        <f t="shared" si="186"/>
        <v>#NUM!</v>
      </c>
      <c r="GD165" s="62" t="e">
        <f t="shared" si="134"/>
        <v>#NUM!</v>
      </c>
      <c r="GE165" s="62">
        <f ca="1">AVERAGE(OFFSET($GD$3,0,0,'Données projet'!$E$17+1,1))-AVERAGE(OFFSET($H$3,0,0,'Données projet'!$E$17+1,1))</f>
        <v>368.69628434154333</v>
      </c>
      <c r="GF165" s="62">
        <f t="shared" si="158"/>
        <v>202.28197295839524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-1.1368683772161603E-13</v>
      </c>
      <c r="GV165" s="18">
        <f>GU165*VLOOKUP('Données projet'!$B$18,Paramètres!$A$1:$I$89,3,0)*VLOOKUP('Données projet'!$B$18,Paramètres!$A$1:$I$89,5,0)</f>
        <v>-9.9316821433603781E-14</v>
      </c>
      <c r="GW165" s="14" t="e">
        <f t="shared" si="188"/>
        <v>#NUM!</v>
      </c>
      <c r="GX165" s="22" t="e">
        <f t="shared" si="189"/>
        <v>#NUM!</v>
      </c>
      <c r="GY165" s="62" t="e">
        <f t="shared" si="137"/>
        <v>#NUM!</v>
      </c>
      <c r="GZ165" s="62">
        <f ca="1">AVERAGE(OFFSET($GY$3,0,0,'Données projet'!$E$18+1,1))-AVERAGE(OFFSET($H$3,0,0,'Données projet'!$E$18+1,1))</f>
        <v>378.51861272969165</v>
      </c>
      <c r="HA165" s="62">
        <f t="shared" si="160"/>
        <v>387.42368617035459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0</v>
      </c>
      <c r="HH165" s="23">
        <f>EXP(-LN(2)/25)*HH164+(1-EXP(-LN(2)/25))/(LN(2)/25)*Calculateur!HC165*Calculateur!HE165*VLOOKUP('Données projet'!$B$18,Paramètres!$A$1:$I$89,3,0)*0.475*44/12</f>
        <v>0</v>
      </c>
      <c r="HI165" s="23">
        <f>EXP(-LN(2)/2)*HI164+(1-EXP(-LN(2)/2))/(LN(2)/2)*HC165*HF165*VLOOKUP('Données projet'!$B$18,Paramètres!$A$1:$I$89,3,0)*0.475*44/12</f>
        <v>0</v>
      </c>
      <c r="HJ165" s="24">
        <f t="shared" si="190"/>
        <v>0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135.66666666666666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285.29381523114006</v>
      </c>
      <c r="S166" s="62">
        <f ca="1">AVERAGE(OFFSET($R$3,0,0,'Données projet'!$E$9+1,1))-AVERAGE(OFFSET($H$3,0,0,'Données projet'!$E$9+1,1))</f>
        <v>437.94016462147999</v>
      </c>
      <c r="T166" s="62">
        <f t="shared" si="142"/>
        <v>281.88254003380348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7.8469881765819306E-20</v>
      </c>
      <c r="AC166" s="24">
        <f t="shared" si="163"/>
        <v>7.8469881765819306E-20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1.0286385077051818E-13</v>
      </c>
      <c r="AK166" s="14">
        <f t="shared" si="164"/>
        <v>1.5402366592183556E-12</v>
      </c>
      <c r="AL166" s="22">
        <f t="shared" si="165"/>
        <v>2.8617333882306215E-12</v>
      </c>
      <c r="AM166" s="62">
        <f t="shared" si="113"/>
        <v>285.29381523114091</v>
      </c>
      <c r="AN166" s="62">
        <f ca="1">AVERAGE(OFFSET($AM$3,0,0,'Données projet'!$E$10+1,1))-AVERAGE(OFFSET($H$3,0,0,'Données projet'!$E$10+1,1))</f>
        <v>434.56763649859136</v>
      </c>
      <c r="AO166" s="62">
        <f t="shared" si="144"/>
        <v>271.90302066766264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6.7984728957526396E-14</v>
      </c>
      <c r="BF166" s="14">
        <f t="shared" si="167"/>
        <v>1.0682447123141398E-12</v>
      </c>
      <c r="BG166" s="22">
        <f t="shared" si="168"/>
        <v>1.978932943548152E-12</v>
      </c>
      <c r="BH166" s="62">
        <f t="shared" si="116"/>
        <v>285.29381523114006</v>
      </c>
      <c r="BI166" s="62">
        <f ca="1">AVERAGE(OFFSET($BH$3,0,0,'Données projet'!$E$11+1,1))-AVERAGE(OFFSET($H$3,0,0,'Données projet'!$E$11+1,1))</f>
        <v>199.65420589615553</v>
      </c>
      <c r="BJ166" s="62">
        <f t="shared" si="146"/>
        <v>477.85821088970999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3.8280666534294125</v>
      </c>
      <c r="BQ166" s="23">
        <f>EXP(-LN(2)/25)*BQ165+(1-EXP(-LN(2)/25))/(LN(2)/25)*Calculateur!BL166*Calculateur!BN166*VLOOKUP('Données projet'!$B$11,Paramètres!$A$1:$I$89,3,0)*0.475*44/12</f>
        <v>1.1001897383020278</v>
      </c>
      <c r="BR166" s="23">
        <f>EXP(-LN(2)/2)*BR165+(1-EXP(-LN(2)/2))/(LN(2)/2)*BL166*BO166*VLOOKUP('Données projet'!$B$11,Paramètres!$A$1:$I$89,3,0)*0.475*44/12</f>
        <v>4.1750990182007134E-19</v>
      </c>
      <c r="BS166" s="24">
        <f t="shared" si="169"/>
        <v>4.9282563917314404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1.1368683772161603E-13</v>
      </c>
      <c r="BZ166" s="14">
        <f>BY166*VLOOKUP('Données projet'!$B$12,Paramètres!$A$1:$I$89,3,0)*VLOOKUP('Données projet'!$B$12,Paramètres!$A$1:$I$89,5,0)</f>
        <v>6.7984728957526396E-14</v>
      </c>
      <c r="CA166" s="14">
        <f t="shared" si="170"/>
        <v>1.0682447123141398E-12</v>
      </c>
      <c r="CB166" s="22">
        <f t="shared" si="171"/>
        <v>1.978932943548152E-12</v>
      </c>
      <c r="CC166" s="62">
        <f t="shared" si="119"/>
        <v>285.29381523114006</v>
      </c>
      <c r="CD166" s="62">
        <f ca="1">AVERAGE(OFFSET($CC$3,0,0,'Données projet'!$E$12+1,1))-AVERAGE(OFFSET($H$3,0,0,'Données projet'!$E$12+1,1))</f>
        <v>437.94016462147999</v>
      </c>
      <c r="CE166" s="62">
        <f t="shared" si="148"/>
        <v>281.88254003380348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7.8469881765819306E-20</v>
      </c>
      <c r="CN166" s="24">
        <f t="shared" si="172"/>
        <v>7.8469881765819306E-20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1.1368683772161603E-13</v>
      </c>
      <c r="CU166" s="18">
        <f>CT166*VLOOKUP('Données projet'!$B$13,Paramètres!$A$1:$I$89,3,0)*VLOOKUP('Données projet'!$B$13,Paramètres!$A$1:$I$89,5,0)</f>
        <v>1.2946657079737634E-13</v>
      </c>
      <c r="CV166" s="14">
        <f t="shared" si="173"/>
        <v>1.8873591890224769E-12</v>
      </c>
      <c r="CW166" s="22">
        <f t="shared" si="174"/>
        <v>3.5126381983529106E-12</v>
      </c>
      <c r="CX166" s="62">
        <f t="shared" si="122"/>
        <v>285.29381523114159</v>
      </c>
      <c r="CY166" s="62">
        <f ca="1">AVERAGE(OFFSET($CX$3,0,0,'Données projet'!$E$13+1,1))-AVERAGE(OFFSET($H$3,0,0,'Données projet'!$E$13+1,1))</f>
        <v>520.23742527061836</v>
      </c>
      <c r="CZ166" s="62">
        <f t="shared" si="150"/>
        <v>321.35925479331274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>
        <f>DO166*VLOOKUP('Données projet'!$B$14,Paramètres!$A$1:$I$89,3,0)*VLOOKUP('Données projet'!$B$14,Paramètres!$A$1:$I$89,5,0)</f>
        <v>0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547.89540791313675</v>
      </c>
      <c r="DU166" s="62">
        <f t="shared" si="152"/>
        <v>345.19555189302378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5.6843418860808015E-14</v>
      </c>
      <c r="EK166" s="18">
        <f>EJ166*VLOOKUP('Données projet'!$B$15,Paramètres!$A$1:$I$89,3,0)*VLOOKUP('Données projet'!$B$15,Paramètres!$A$1:$I$89,5,0)</f>
        <v>5.9412741393316544E-14</v>
      </c>
      <c r="EL166" s="14">
        <f t="shared" si="179"/>
        <v>9.483138037075782E-13</v>
      </c>
      <c r="EM166" s="22">
        <f t="shared" si="180"/>
        <v>1.7551237327173916E-12</v>
      </c>
      <c r="EN166" s="62">
        <f t="shared" si="128"/>
        <v>285.29381523113983</v>
      </c>
      <c r="EO166" s="62">
        <f ca="1">AVERAGE(OFFSET($EN$3,0,0,'Données projet'!$E$15+1,1))-AVERAGE(OFFSET($H$3,0,0,'Données projet'!$E$15+1,1))</f>
        <v>418.23737352070503</v>
      </c>
      <c r="EP166" s="62">
        <f t="shared" si="154"/>
        <v>496.10742685332968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1.1368683772161603E-13</v>
      </c>
      <c r="FF166" s="18">
        <f>FE166*VLOOKUP('Données projet'!$B$16,Paramètres!$A$1:$I$89,3,0)*VLOOKUP('Données projet'!$B$16,Paramètres!$A$1:$I$89,5,0)</f>
        <v>6.7984728957526396E-14</v>
      </c>
      <c r="FG166" s="14">
        <f t="shared" si="182"/>
        <v>1.0682447123141398E-12</v>
      </c>
      <c r="FH166" s="22">
        <f t="shared" si="183"/>
        <v>1.978932943548152E-12</v>
      </c>
      <c r="FI166" s="62">
        <f t="shared" si="131"/>
        <v>285.29381523114006</v>
      </c>
      <c r="FJ166" s="62">
        <f ca="1">AVERAGE(OFFSET($FI$3,0,0,'Données projet'!$E$16+1,1))-AVERAGE(OFFSET($H$3,0,0,'Données projet'!$E$16+1,1))</f>
        <v>341.70983624543067</v>
      </c>
      <c r="FK166" s="62">
        <f t="shared" si="156"/>
        <v>250.82562837973805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1.1876033937546519E-19</v>
      </c>
      <c r="FT166" s="24">
        <f t="shared" si="184"/>
        <v>1.1876033937546519E-19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-2.2737367544323206E-13</v>
      </c>
      <c r="GA166" s="18">
        <f>FZ166*VLOOKUP('Données projet'!$B$17,Paramètres!$A$1:$I$89,3,0)*VLOOKUP('Données projet'!$B$17,Paramètres!$A$1:$I$89,5,0)</f>
        <v>-1.064108801074326E-13</v>
      </c>
      <c r="GB166" s="14" t="e">
        <f t="shared" si="185"/>
        <v>#NUM!</v>
      </c>
      <c r="GC166" s="22" t="e">
        <f t="shared" si="186"/>
        <v>#NUM!</v>
      </c>
      <c r="GD166" s="62" t="e">
        <f t="shared" si="134"/>
        <v>#NUM!</v>
      </c>
      <c r="GE166" s="62">
        <f ca="1">AVERAGE(OFFSET($GD$3,0,0,'Données projet'!$E$17+1,1))-AVERAGE(OFFSET($H$3,0,0,'Données projet'!$E$17+1,1))</f>
        <v>368.69628434154333</v>
      </c>
      <c r="GF166" s="62">
        <f t="shared" si="158"/>
        <v>202.28197295839524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-1.1368683772161603E-13</v>
      </c>
      <c r="GV166" s="18">
        <f>GU166*VLOOKUP('Données projet'!$B$18,Paramètres!$A$1:$I$89,3,0)*VLOOKUP('Données projet'!$B$18,Paramètres!$A$1:$I$89,5,0)</f>
        <v>-9.9316821433603781E-14</v>
      </c>
      <c r="GW166" s="14" t="e">
        <f t="shared" si="188"/>
        <v>#NUM!</v>
      </c>
      <c r="GX166" s="22" t="e">
        <f t="shared" si="189"/>
        <v>#NUM!</v>
      </c>
      <c r="GY166" s="62" t="e">
        <f t="shared" si="137"/>
        <v>#NUM!</v>
      </c>
      <c r="GZ166" s="62">
        <f ca="1">AVERAGE(OFFSET($GY$3,0,0,'Données projet'!$E$18+1,1))-AVERAGE(OFFSET($H$3,0,0,'Données projet'!$E$18+1,1))</f>
        <v>378.51861272969165</v>
      </c>
      <c r="HA166" s="62">
        <f t="shared" si="160"/>
        <v>387.42368617035459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0</v>
      </c>
      <c r="HH166" s="23">
        <f>EXP(-LN(2)/25)*HH165+(1-EXP(-LN(2)/25))/(LN(2)/25)*Calculateur!HC166*Calculateur!HE166*VLOOKUP('Données projet'!$B$18,Paramètres!$A$1:$I$89,3,0)*0.475*44/12</f>
        <v>0</v>
      </c>
      <c r="HI166" s="23">
        <f>EXP(-LN(2)/2)*HI165+(1-EXP(-LN(2)/2))/(LN(2)/2)*HC166*HF166*VLOOKUP('Données projet'!$B$18,Paramètres!$A$1:$I$89,3,0)*0.475*44/12</f>
        <v>0</v>
      </c>
      <c r="HJ166" s="24">
        <f t="shared" si="190"/>
        <v>0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135.66666666666666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285.43328289654335</v>
      </c>
      <c r="S167" s="62">
        <f ca="1">AVERAGE(OFFSET($R$3,0,0,'Données projet'!$E$9+1,1))-AVERAGE(OFFSET($H$3,0,0,'Données projet'!$E$9+1,1))</f>
        <v>437.94016462147999</v>
      </c>
      <c r="T167" s="62">
        <f t="shared" si="142"/>
        <v>281.88254003380348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5.5486585515517448E-20</v>
      </c>
      <c r="AC167" s="24">
        <f t="shared" si="163"/>
        <v>5.5486585515517448E-20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1.0286385077051818E-13</v>
      </c>
      <c r="AK167" s="14">
        <f t="shared" si="164"/>
        <v>1.5402366592183556E-12</v>
      </c>
      <c r="AL167" s="22">
        <f t="shared" si="165"/>
        <v>2.8617333882306215E-12</v>
      </c>
      <c r="AM167" s="62">
        <f t="shared" si="113"/>
        <v>285.4332828965442</v>
      </c>
      <c r="AN167" s="62">
        <f ca="1">AVERAGE(OFFSET($AM$3,0,0,'Données projet'!$E$10+1,1))-AVERAGE(OFFSET($H$3,0,0,'Données projet'!$E$10+1,1))</f>
        <v>434.56763649859136</v>
      </c>
      <c r="AO167" s="62">
        <f t="shared" si="144"/>
        <v>271.90302066766264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6.7984728957526396E-14</v>
      </c>
      <c r="BF167" s="14">
        <f t="shared" si="167"/>
        <v>1.0682447123141398E-12</v>
      </c>
      <c r="BG167" s="22">
        <f t="shared" si="168"/>
        <v>1.978932943548152E-12</v>
      </c>
      <c r="BH167" s="62">
        <f t="shared" si="116"/>
        <v>285.43328289654335</v>
      </c>
      <c r="BI167" s="62">
        <f ca="1">AVERAGE(OFFSET($BH$3,0,0,'Données projet'!$E$11+1,1))-AVERAGE(OFFSET($H$3,0,0,'Données projet'!$E$11+1,1))</f>
        <v>199.65420589615553</v>
      </c>
      <c r="BJ167" s="62">
        <f t="shared" si="146"/>
        <v>477.85821088970999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3.7530006012457693</v>
      </c>
      <c r="BQ167" s="23">
        <f>EXP(-LN(2)/25)*BQ166+(1-EXP(-LN(2)/25))/(LN(2)/25)*Calculateur!BL167*Calculateur!BN167*VLOOKUP('Données projet'!$B$11,Paramètres!$A$1:$I$89,3,0)*0.475*44/12</f>
        <v>1.070104992051695</v>
      </c>
      <c r="BR167" s="23">
        <f>EXP(-LN(2)/2)*BR166+(1-EXP(-LN(2)/2))/(LN(2)/2)*BL167*BO167*VLOOKUP('Données projet'!$B$11,Paramètres!$A$1:$I$89,3,0)*0.475*44/12</f>
        <v>2.9522408278950212E-19</v>
      </c>
      <c r="BS167" s="24">
        <f t="shared" si="169"/>
        <v>4.8231055932974645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1.1368683772161603E-13</v>
      </c>
      <c r="BZ167" s="14">
        <f>BY167*VLOOKUP('Données projet'!$B$12,Paramètres!$A$1:$I$89,3,0)*VLOOKUP('Données projet'!$B$12,Paramètres!$A$1:$I$89,5,0)</f>
        <v>6.7984728957526396E-14</v>
      </c>
      <c r="CA167" s="14">
        <f t="shared" si="170"/>
        <v>1.0682447123141398E-12</v>
      </c>
      <c r="CB167" s="22">
        <f t="shared" si="171"/>
        <v>1.978932943548152E-12</v>
      </c>
      <c r="CC167" s="62">
        <f t="shared" si="119"/>
        <v>285.43328289654335</v>
      </c>
      <c r="CD167" s="62">
        <f ca="1">AVERAGE(OFFSET($CC$3,0,0,'Données projet'!$E$12+1,1))-AVERAGE(OFFSET($H$3,0,0,'Données projet'!$E$12+1,1))</f>
        <v>437.94016462147999</v>
      </c>
      <c r="CE167" s="62">
        <f t="shared" si="148"/>
        <v>281.88254003380348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5.5486585515517448E-20</v>
      </c>
      <c r="CN167" s="24">
        <f t="shared" si="172"/>
        <v>5.5486585515517448E-20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1.1368683772161603E-13</v>
      </c>
      <c r="CU167" s="18">
        <f>CT167*VLOOKUP('Données projet'!$B$13,Paramètres!$A$1:$I$89,3,0)*VLOOKUP('Données projet'!$B$13,Paramètres!$A$1:$I$89,5,0)</f>
        <v>1.2946657079737634E-13</v>
      </c>
      <c r="CV167" s="14">
        <f t="shared" si="173"/>
        <v>1.8873591890224769E-12</v>
      </c>
      <c r="CW167" s="22">
        <f t="shared" si="174"/>
        <v>3.5126381983529106E-12</v>
      </c>
      <c r="CX167" s="62">
        <f t="shared" si="122"/>
        <v>285.43328289654488</v>
      </c>
      <c r="CY167" s="62">
        <f ca="1">AVERAGE(OFFSET($CX$3,0,0,'Données projet'!$E$13+1,1))-AVERAGE(OFFSET($H$3,0,0,'Données projet'!$E$13+1,1))</f>
        <v>520.23742527061836</v>
      </c>
      <c r="CZ167" s="62">
        <f t="shared" si="150"/>
        <v>321.35925479331274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>
        <f>DO167*VLOOKUP('Données projet'!$B$14,Paramètres!$A$1:$I$89,3,0)*VLOOKUP('Données projet'!$B$14,Paramètres!$A$1:$I$89,5,0)</f>
        <v>0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547.89540791313675</v>
      </c>
      <c r="DU167" s="62">
        <f t="shared" si="152"/>
        <v>345.19555189302378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5.6843418860808015E-14</v>
      </c>
      <c r="EK167" s="18">
        <f>EJ167*VLOOKUP('Données projet'!$B$15,Paramètres!$A$1:$I$89,3,0)*VLOOKUP('Données projet'!$B$15,Paramètres!$A$1:$I$89,5,0)</f>
        <v>5.9412741393316544E-14</v>
      </c>
      <c r="EL167" s="14">
        <f t="shared" si="179"/>
        <v>9.483138037075782E-13</v>
      </c>
      <c r="EM167" s="22">
        <f t="shared" si="180"/>
        <v>1.7551237327173916E-12</v>
      </c>
      <c r="EN167" s="62">
        <f t="shared" si="128"/>
        <v>285.43328289654312</v>
      </c>
      <c r="EO167" s="62">
        <f ca="1">AVERAGE(OFFSET($EN$3,0,0,'Données projet'!$E$15+1,1))-AVERAGE(OFFSET($H$3,0,0,'Données projet'!$E$15+1,1))</f>
        <v>418.23737352070503</v>
      </c>
      <c r="EP167" s="62">
        <f t="shared" si="154"/>
        <v>496.10742685332968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1.1368683772161603E-13</v>
      </c>
      <c r="FF167" s="18">
        <f>FE167*VLOOKUP('Données projet'!$B$16,Paramètres!$A$1:$I$89,3,0)*VLOOKUP('Données projet'!$B$16,Paramètres!$A$1:$I$89,5,0)</f>
        <v>6.7984728957526396E-14</v>
      </c>
      <c r="FG167" s="14">
        <f t="shared" si="182"/>
        <v>1.0682447123141398E-12</v>
      </c>
      <c r="FH167" s="22">
        <f t="shared" si="183"/>
        <v>1.978932943548152E-12</v>
      </c>
      <c r="FI167" s="62">
        <f t="shared" si="131"/>
        <v>285.43328289654335</v>
      </c>
      <c r="FJ167" s="62">
        <f ca="1">AVERAGE(OFFSET($FI$3,0,0,'Données projet'!$E$16+1,1))-AVERAGE(OFFSET($H$3,0,0,'Données projet'!$E$16+1,1))</f>
        <v>341.70983624543067</v>
      </c>
      <c r="FK167" s="62">
        <f t="shared" si="156"/>
        <v>250.82562837973805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8.3976241308407185E-20</v>
      </c>
      <c r="FT167" s="24">
        <f t="shared" si="184"/>
        <v>8.3976241308407185E-20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-2.2737367544323206E-13</v>
      </c>
      <c r="GA167" s="18">
        <f>FZ167*VLOOKUP('Données projet'!$B$17,Paramètres!$A$1:$I$89,3,0)*VLOOKUP('Données projet'!$B$17,Paramètres!$A$1:$I$89,5,0)</f>
        <v>-1.064108801074326E-13</v>
      </c>
      <c r="GB167" s="14" t="e">
        <f t="shared" si="185"/>
        <v>#NUM!</v>
      </c>
      <c r="GC167" s="22" t="e">
        <f t="shared" si="186"/>
        <v>#NUM!</v>
      </c>
      <c r="GD167" s="62" t="e">
        <f t="shared" si="134"/>
        <v>#NUM!</v>
      </c>
      <c r="GE167" s="62">
        <f ca="1">AVERAGE(OFFSET($GD$3,0,0,'Données projet'!$E$17+1,1))-AVERAGE(OFFSET($H$3,0,0,'Données projet'!$E$17+1,1))</f>
        <v>368.69628434154333</v>
      </c>
      <c r="GF167" s="62">
        <f t="shared" si="158"/>
        <v>202.28197295839524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-1.1368683772161603E-13</v>
      </c>
      <c r="GV167" s="18">
        <f>GU167*VLOOKUP('Données projet'!$B$18,Paramètres!$A$1:$I$89,3,0)*VLOOKUP('Données projet'!$B$18,Paramètres!$A$1:$I$89,5,0)</f>
        <v>-9.9316821433603781E-14</v>
      </c>
      <c r="GW167" s="14" t="e">
        <f t="shared" si="188"/>
        <v>#NUM!</v>
      </c>
      <c r="GX167" s="22" t="e">
        <f t="shared" si="189"/>
        <v>#NUM!</v>
      </c>
      <c r="GY167" s="62" t="e">
        <f t="shared" si="137"/>
        <v>#NUM!</v>
      </c>
      <c r="GZ167" s="62">
        <f ca="1">AVERAGE(OFFSET($GY$3,0,0,'Données projet'!$E$18+1,1))-AVERAGE(OFFSET($H$3,0,0,'Données projet'!$E$18+1,1))</f>
        <v>378.51861272969165</v>
      </c>
      <c r="HA167" s="62">
        <f t="shared" si="160"/>
        <v>387.42368617035459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0</v>
      </c>
      <c r="HH167" s="23">
        <f>EXP(-LN(2)/25)*HH166+(1-EXP(-LN(2)/25))/(LN(2)/25)*Calculateur!HC167*Calculateur!HE167*VLOOKUP('Données projet'!$B$18,Paramètres!$A$1:$I$89,3,0)*0.475*44/12</f>
        <v>0</v>
      </c>
      <c r="HI167" s="23">
        <f>EXP(-LN(2)/2)*HI166+(1-EXP(-LN(2)/2))/(LN(2)/2)*HC167*HF167*VLOOKUP('Données projet'!$B$18,Paramètres!$A$1:$I$89,3,0)*0.475*44/12</f>
        <v>0</v>
      </c>
      <c r="HJ167" s="24">
        <f t="shared" si="190"/>
        <v>0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135.66666666666666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285.57033110975482</v>
      </c>
      <c r="S168" s="62">
        <f ca="1">AVERAGE(OFFSET($R$3,0,0,'Données projet'!$E$9+1,1))-AVERAGE(OFFSET($H$3,0,0,'Données projet'!$E$9+1,1))</f>
        <v>437.94016462147999</v>
      </c>
      <c r="T168" s="62">
        <f t="shared" si="142"/>
        <v>281.88254003380348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3.9234940882909653E-20</v>
      </c>
      <c r="AC168" s="24">
        <f t="shared" si="163"/>
        <v>3.9234940882909653E-20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1.0286385077051818E-13</v>
      </c>
      <c r="AK168" s="14">
        <f t="shared" si="164"/>
        <v>1.5402366592183556E-12</v>
      </c>
      <c r="AL168" s="22">
        <f t="shared" si="165"/>
        <v>2.8617333882306215E-12</v>
      </c>
      <c r="AM168" s="62">
        <f t="shared" si="113"/>
        <v>285.57033110975567</v>
      </c>
      <c r="AN168" s="62">
        <f ca="1">AVERAGE(OFFSET($AM$3,0,0,'Données projet'!$E$10+1,1))-AVERAGE(OFFSET($H$3,0,0,'Données projet'!$E$10+1,1))</f>
        <v>434.56763649859136</v>
      </c>
      <c r="AO168" s="62">
        <f t="shared" si="144"/>
        <v>271.90302066766264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6.7984728957526396E-14</v>
      </c>
      <c r="BF168" s="14">
        <f t="shared" si="167"/>
        <v>1.0682447123141398E-12</v>
      </c>
      <c r="BG168" s="22">
        <f t="shared" si="168"/>
        <v>1.978932943548152E-12</v>
      </c>
      <c r="BH168" s="62">
        <f t="shared" si="116"/>
        <v>285.57033110975482</v>
      </c>
      <c r="BI168" s="62">
        <f ca="1">AVERAGE(OFFSET($BH$3,0,0,'Données projet'!$E$11+1,1))-AVERAGE(OFFSET($H$3,0,0,'Données projet'!$E$11+1,1))</f>
        <v>199.65420589615553</v>
      </c>
      <c r="BJ168" s="62">
        <f t="shared" si="146"/>
        <v>477.85821088970999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3.6794065485596761</v>
      </c>
      <c r="BQ168" s="23">
        <f>EXP(-LN(2)/25)*BQ167+(1-EXP(-LN(2)/25))/(LN(2)/25)*Calculateur!BL168*Calculateur!BN168*VLOOKUP('Données projet'!$B$11,Paramètres!$A$1:$I$89,3,0)*0.475*44/12</f>
        <v>1.0408429147696656</v>
      </c>
      <c r="BR168" s="23">
        <f>EXP(-LN(2)/2)*BR167+(1-EXP(-LN(2)/2))/(LN(2)/2)*BL168*BO168*VLOOKUP('Données projet'!$B$11,Paramètres!$A$1:$I$89,3,0)*0.475*44/12</f>
        <v>2.0875495091003567E-19</v>
      </c>
      <c r="BS168" s="24">
        <f t="shared" si="169"/>
        <v>4.7202494633293419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1.1368683772161603E-13</v>
      </c>
      <c r="BZ168" s="14">
        <f>BY168*VLOOKUP('Données projet'!$B$12,Paramètres!$A$1:$I$89,3,0)*VLOOKUP('Données projet'!$B$12,Paramètres!$A$1:$I$89,5,0)</f>
        <v>6.7984728957526396E-14</v>
      </c>
      <c r="CA168" s="14">
        <f t="shared" si="170"/>
        <v>1.0682447123141398E-12</v>
      </c>
      <c r="CB168" s="22">
        <f t="shared" si="171"/>
        <v>1.978932943548152E-12</v>
      </c>
      <c r="CC168" s="62">
        <f t="shared" si="119"/>
        <v>285.57033110975482</v>
      </c>
      <c r="CD168" s="62">
        <f ca="1">AVERAGE(OFFSET($CC$3,0,0,'Données projet'!$E$12+1,1))-AVERAGE(OFFSET($H$3,0,0,'Données projet'!$E$12+1,1))</f>
        <v>437.94016462147999</v>
      </c>
      <c r="CE168" s="62">
        <f t="shared" si="148"/>
        <v>281.88254003380348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3.9234940882909653E-20</v>
      </c>
      <c r="CN168" s="24">
        <f t="shared" si="172"/>
        <v>3.9234940882909653E-20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1.1368683772161603E-13</v>
      </c>
      <c r="CU168" s="18">
        <f>CT168*VLOOKUP('Données projet'!$B$13,Paramètres!$A$1:$I$89,3,0)*VLOOKUP('Données projet'!$B$13,Paramètres!$A$1:$I$89,5,0)</f>
        <v>1.2946657079737634E-13</v>
      </c>
      <c r="CV168" s="14">
        <f t="shared" si="173"/>
        <v>1.8873591890224769E-12</v>
      </c>
      <c r="CW168" s="22">
        <f t="shared" si="174"/>
        <v>3.5126381983529106E-12</v>
      </c>
      <c r="CX168" s="62">
        <f t="shared" si="122"/>
        <v>285.57033110975635</v>
      </c>
      <c r="CY168" s="62">
        <f ca="1">AVERAGE(OFFSET($CX$3,0,0,'Données projet'!$E$13+1,1))-AVERAGE(OFFSET($H$3,0,0,'Données projet'!$E$13+1,1))</f>
        <v>520.23742527061836</v>
      </c>
      <c r="CZ168" s="62">
        <f t="shared" si="150"/>
        <v>321.35925479331274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>
        <f>DO168*VLOOKUP('Données projet'!$B$14,Paramètres!$A$1:$I$89,3,0)*VLOOKUP('Données projet'!$B$14,Paramètres!$A$1:$I$89,5,0)</f>
        <v>0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547.89540791313675</v>
      </c>
      <c r="DU168" s="62">
        <f t="shared" si="152"/>
        <v>345.19555189302378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5.6843418860808015E-14</v>
      </c>
      <c r="EK168" s="18">
        <f>EJ168*VLOOKUP('Données projet'!$B$15,Paramètres!$A$1:$I$89,3,0)*VLOOKUP('Données projet'!$B$15,Paramètres!$A$1:$I$89,5,0)</f>
        <v>5.9412741393316544E-14</v>
      </c>
      <c r="EL168" s="14">
        <f t="shared" si="179"/>
        <v>9.483138037075782E-13</v>
      </c>
      <c r="EM168" s="22">
        <f t="shared" si="180"/>
        <v>1.7551237327173916E-12</v>
      </c>
      <c r="EN168" s="62">
        <f t="shared" si="128"/>
        <v>285.57033110975459</v>
      </c>
      <c r="EO168" s="62">
        <f ca="1">AVERAGE(OFFSET($EN$3,0,0,'Données projet'!$E$15+1,1))-AVERAGE(OFFSET($H$3,0,0,'Données projet'!$E$15+1,1))</f>
        <v>418.23737352070503</v>
      </c>
      <c r="EP168" s="62">
        <f t="shared" si="154"/>
        <v>496.10742685332968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1.1368683772161603E-13</v>
      </c>
      <c r="FF168" s="18">
        <f>FE168*VLOOKUP('Données projet'!$B$16,Paramètres!$A$1:$I$89,3,0)*VLOOKUP('Données projet'!$B$16,Paramètres!$A$1:$I$89,5,0)</f>
        <v>6.7984728957526396E-14</v>
      </c>
      <c r="FG168" s="14">
        <f t="shared" si="182"/>
        <v>1.0682447123141398E-12</v>
      </c>
      <c r="FH168" s="22">
        <f t="shared" si="183"/>
        <v>1.978932943548152E-12</v>
      </c>
      <c r="FI168" s="62">
        <f t="shared" si="131"/>
        <v>285.57033110975482</v>
      </c>
      <c r="FJ168" s="62">
        <f ca="1">AVERAGE(OFFSET($FI$3,0,0,'Données projet'!$E$16+1,1))-AVERAGE(OFFSET($H$3,0,0,'Données projet'!$E$16+1,1))</f>
        <v>341.70983624543067</v>
      </c>
      <c r="FK168" s="62">
        <f t="shared" si="156"/>
        <v>250.82562837973805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5.9380169687732593E-20</v>
      </c>
      <c r="FT168" s="24">
        <f t="shared" si="184"/>
        <v>5.9380169687732593E-20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-2.2737367544323206E-13</v>
      </c>
      <c r="GA168" s="18">
        <f>FZ168*VLOOKUP('Données projet'!$B$17,Paramètres!$A$1:$I$89,3,0)*VLOOKUP('Données projet'!$B$17,Paramètres!$A$1:$I$89,5,0)</f>
        <v>-1.064108801074326E-13</v>
      </c>
      <c r="GB168" s="14" t="e">
        <f t="shared" si="185"/>
        <v>#NUM!</v>
      </c>
      <c r="GC168" s="22" t="e">
        <f t="shared" si="186"/>
        <v>#NUM!</v>
      </c>
      <c r="GD168" s="62" t="e">
        <f t="shared" si="134"/>
        <v>#NUM!</v>
      </c>
      <c r="GE168" s="62">
        <f ca="1">AVERAGE(OFFSET($GD$3,0,0,'Données projet'!$E$17+1,1))-AVERAGE(OFFSET($H$3,0,0,'Données projet'!$E$17+1,1))</f>
        <v>368.69628434154333</v>
      </c>
      <c r="GF168" s="62">
        <f t="shared" si="158"/>
        <v>202.28197295839524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-1.1368683772161603E-13</v>
      </c>
      <c r="GV168" s="18">
        <f>GU168*VLOOKUP('Données projet'!$B$18,Paramètres!$A$1:$I$89,3,0)*VLOOKUP('Données projet'!$B$18,Paramètres!$A$1:$I$89,5,0)</f>
        <v>-9.9316821433603781E-14</v>
      </c>
      <c r="GW168" s="14" t="e">
        <f t="shared" si="188"/>
        <v>#NUM!</v>
      </c>
      <c r="GX168" s="22" t="e">
        <f t="shared" si="189"/>
        <v>#NUM!</v>
      </c>
      <c r="GY168" s="62" t="e">
        <f t="shared" si="137"/>
        <v>#NUM!</v>
      </c>
      <c r="GZ168" s="62">
        <f ca="1">AVERAGE(OFFSET($GY$3,0,0,'Données projet'!$E$18+1,1))-AVERAGE(OFFSET($H$3,0,0,'Données projet'!$E$18+1,1))</f>
        <v>378.51861272969165</v>
      </c>
      <c r="HA168" s="62">
        <f t="shared" si="160"/>
        <v>387.42368617035459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0</v>
      </c>
      <c r="HH168" s="23">
        <f>EXP(-LN(2)/25)*HH167+(1-EXP(-LN(2)/25))/(LN(2)/25)*Calculateur!HC168*Calculateur!HE168*VLOOKUP('Données projet'!$B$18,Paramètres!$A$1:$I$89,3,0)*0.475*44/12</f>
        <v>0</v>
      </c>
      <c r="HI168" s="23">
        <f>EXP(-LN(2)/2)*HI167+(1-EXP(-LN(2)/2))/(LN(2)/2)*HC168*HF168*VLOOKUP('Données projet'!$B$18,Paramètres!$A$1:$I$89,3,0)*0.475*44/12</f>
        <v>0</v>
      </c>
      <c r="HJ168" s="24">
        <f t="shared" si="190"/>
        <v>0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135.66666666666666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285.70500184286101</v>
      </c>
      <c r="S169" s="62">
        <f ca="1">AVERAGE(OFFSET($R$3,0,0,'Données projet'!$E$9+1,1))-AVERAGE(OFFSET($H$3,0,0,'Données projet'!$E$9+1,1))</f>
        <v>437.94016462147999</v>
      </c>
      <c r="T169" s="62">
        <f t="shared" si="142"/>
        <v>281.88254003380348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2.7743292757758724E-20</v>
      </c>
      <c r="AC169" s="24">
        <f t="shared" si="163"/>
        <v>2.7743292757758724E-20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1.0286385077051818E-13</v>
      </c>
      <c r="AK169" s="14">
        <f t="shared" si="164"/>
        <v>1.5402366592183556E-12</v>
      </c>
      <c r="AL169" s="22">
        <f t="shared" si="165"/>
        <v>2.8617333882306215E-12</v>
      </c>
      <c r="AM169" s="62">
        <f t="shared" si="113"/>
        <v>285.70500184286186</v>
      </c>
      <c r="AN169" s="62">
        <f ca="1">AVERAGE(OFFSET($AM$3,0,0,'Données projet'!$E$10+1,1))-AVERAGE(OFFSET($H$3,0,0,'Données projet'!$E$10+1,1))</f>
        <v>434.56763649859136</v>
      </c>
      <c r="AO169" s="62">
        <f t="shared" si="144"/>
        <v>271.90302066766264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6.7984728957526396E-14</v>
      </c>
      <c r="BF169" s="14">
        <f t="shared" si="167"/>
        <v>1.0682447123141398E-12</v>
      </c>
      <c r="BG169" s="22">
        <f t="shared" si="168"/>
        <v>1.978932943548152E-12</v>
      </c>
      <c r="BH169" s="62">
        <f t="shared" si="116"/>
        <v>285.70500184286101</v>
      </c>
      <c r="BI169" s="62">
        <f ca="1">AVERAGE(OFFSET($BH$3,0,0,'Données projet'!$E$11+1,1))-AVERAGE(OFFSET($H$3,0,0,'Données projet'!$E$11+1,1))</f>
        <v>199.65420589615553</v>
      </c>
      <c r="BJ169" s="62">
        <f t="shared" si="146"/>
        <v>477.85821088970999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3.6072556303588175</v>
      </c>
      <c r="BQ169" s="23">
        <f>EXP(-LN(2)/25)*BQ168+(1-EXP(-LN(2)/25))/(LN(2)/25)*Calculateur!BL169*Calculateur!BN169*VLOOKUP('Données projet'!$B$11,Paramètres!$A$1:$I$89,3,0)*0.475*44/12</f>
        <v>1.0123810105297391</v>
      </c>
      <c r="BR169" s="23">
        <f>EXP(-LN(2)/2)*BR168+(1-EXP(-LN(2)/2))/(LN(2)/2)*BL169*BO169*VLOOKUP('Données projet'!$B$11,Paramètres!$A$1:$I$89,3,0)*0.475*44/12</f>
        <v>1.4761204139475106E-19</v>
      </c>
      <c r="BS169" s="24">
        <f t="shared" si="169"/>
        <v>4.6196366408885563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1.1368683772161603E-13</v>
      </c>
      <c r="BZ169" s="14">
        <f>BY169*VLOOKUP('Données projet'!$B$12,Paramètres!$A$1:$I$89,3,0)*VLOOKUP('Données projet'!$B$12,Paramètres!$A$1:$I$89,5,0)</f>
        <v>6.7984728957526396E-14</v>
      </c>
      <c r="CA169" s="14">
        <f t="shared" si="170"/>
        <v>1.0682447123141398E-12</v>
      </c>
      <c r="CB169" s="22">
        <f t="shared" si="171"/>
        <v>1.978932943548152E-12</v>
      </c>
      <c r="CC169" s="62">
        <f t="shared" si="119"/>
        <v>285.70500184286101</v>
      </c>
      <c r="CD169" s="62">
        <f ca="1">AVERAGE(OFFSET($CC$3,0,0,'Données projet'!$E$12+1,1))-AVERAGE(OFFSET($H$3,0,0,'Données projet'!$E$12+1,1))</f>
        <v>437.94016462147999</v>
      </c>
      <c r="CE169" s="62">
        <f t="shared" si="148"/>
        <v>281.88254003380348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2.7743292757758724E-20</v>
      </c>
      <c r="CN169" s="24">
        <f t="shared" si="172"/>
        <v>2.7743292757758724E-20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1.1368683772161603E-13</v>
      </c>
      <c r="CU169" s="18">
        <f>CT169*VLOOKUP('Données projet'!$B$13,Paramètres!$A$1:$I$89,3,0)*VLOOKUP('Données projet'!$B$13,Paramètres!$A$1:$I$89,5,0)</f>
        <v>1.2946657079737634E-13</v>
      </c>
      <c r="CV169" s="14">
        <f t="shared" si="173"/>
        <v>1.8873591890224769E-12</v>
      </c>
      <c r="CW169" s="22">
        <f t="shared" si="174"/>
        <v>3.5126381983529106E-12</v>
      </c>
      <c r="CX169" s="62">
        <f t="shared" si="122"/>
        <v>285.70500184286254</v>
      </c>
      <c r="CY169" s="62">
        <f ca="1">AVERAGE(OFFSET($CX$3,0,0,'Données projet'!$E$13+1,1))-AVERAGE(OFFSET($H$3,0,0,'Données projet'!$E$13+1,1))</f>
        <v>520.23742527061836</v>
      </c>
      <c r="CZ169" s="62">
        <f t="shared" si="150"/>
        <v>321.35925479331274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>
        <f>DO169*VLOOKUP('Données projet'!$B$14,Paramètres!$A$1:$I$89,3,0)*VLOOKUP('Données projet'!$B$14,Paramètres!$A$1:$I$89,5,0)</f>
        <v>0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547.89540791313675</v>
      </c>
      <c r="DU169" s="62">
        <f t="shared" si="152"/>
        <v>345.19555189302378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5.6843418860808015E-14</v>
      </c>
      <c r="EK169" s="18">
        <f>EJ169*VLOOKUP('Données projet'!$B$15,Paramètres!$A$1:$I$89,3,0)*VLOOKUP('Données projet'!$B$15,Paramètres!$A$1:$I$89,5,0)</f>
        <v>5.9412741393316544E-14</v>
      </c>
      <c r="EL169" s="14">
        <f t="shared" si="179"/>
        <v>9.483138037075782E-13</v>
      </c>
      <c r="EM169" s="22">
        <f t="shared" si="180"/>
        <v>1.7551237327173916E-12</v>
      </c>
      <c r="EN169" s="62">
        <f t="shared" si="128"/>
        <v>285.70500184286078</v>
      </c>
      <c r="EO169" s="62">
        <f ca="1">AVERAGE(OFFSET($EN$3,0,0,'Données projet'!$E$15+1,1))-AVERAGE(OFFSET($H$3,0,0,'Données projet'!$E$15+1,1))</f>
        <v>418.23737352070503</v>
      </c>
      <c r="EP169" s="62">
        <f t="shared" si="154"/>
        <v>496.10742685332968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1.1368683772161603E-13</v>
      </c>
      <c r="FF169" s="18">
        <f>FE169*VLOOKUP('Données projet'!$B$16,Paramètres!$A$1:$I$89,3,0)*VLOOKUP('Données projet'!$B$16,Paramètres!$A$1:$I$89,5,0)</f>
        <v>6.7984728957526396E-14</v>
      </c>
      <c r="FG169" s="14">
        <f t="shared" si="182"/>
        <v>1.0682447123141398E-12</v>
      </c>
      <c r="FH169" s="22">
        <f t="shared" si="183"/>
        <v>1.978932943548152E-12</v>
      </c>
      <c r="FI169" s="62">
        <f t="shared" si="131"/>
        <v>285.70500184286101</v>
      </c>
      <c r="FJ169" s="62">
        <f ca="1">AVERAGE(OFFSET($FI$3,0,0,'Données projet'!$E$16+1,1))-AVERAGE(OFFSET($H$3,0,0,'Données projet'!$E$16+1,1))</f>
        <v>341.70983624543067</v>
      </c>
      <c r="FK169" s="62">
        <f t="shared" si="156"/>
        <v>250.82562837973805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4.1988120654203593E-20</v>
      </c>
      <c r="FT169" s="24">
        <f t="shared" si="184"/>
        <v>4.1988120654203593E-20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-2.2737367544323206E-13</v>
      </c>
      <c r="GA169" s="18">
        <f>FZ169*VLOOKUP('Données projet'!$B$17,Paramètres!$A$1:$I$89,3,0)*VLOOKUP('Données projet'!$B$17,Paramètres!$A$1:$I$89,5,0)</f>
        <v>-1.064108801074326E-13</v>
      </c>
      <c r="GB169" s="14" t="e">
        <f t="shared" si="185"/>
        <v>#NUM!</v>
      </c>
      <c r="GC169" s="22" t="e">
        <f t="shared" si="186"/>
        <v>#NUM!</v>
      </c>
      <c r="GD169" s="62" t="e">
        <f t="shared" si="134"/>
        <v>#NUM!</v>
      </c>
      <c r="GE169" s="62">
        <f ca="1">AVERAGE(OFFSET($GD$3,0,0,'Données projet'!$E$17+1,1))-AVERAGE(OFFSET($H$3,0,0,'Données projet'!$E$17+1,1))</f>
        <v>368.69628434154333</v>
      </c>
      <c r="GF169" s="62">
        <f t="shared" si="158"/>
        <v>202.28197295839524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-1.1368683772161603E-13</v>
      </c>
      <c r="GV169" s="18">
        <f>GU169*VLOOKUP('Données projet'!$B$18,Paramètres!$A$1:$I$89,3,0)*VLOOKUP('Données projet'!$B$18,Paramètres!$A$1:$I$89,5,0)</f>
        <v>-9.9316821433603781E-14</v>
      </c>
      <c r="GW169" s="14" t="e">
        <f t="shared" si="188"/>
        <v>#NUM!</v>
      </c>
      <c r="GX169" s="22" t="e">
        <f t="shared" si="189"/>
        <v>#NUM!</v>
      </c>
      <c r="GY169" s="62" t="e">
        <f t="shared" si="137"/>
        <v>#NUM!</v>
      </c>
      <c r="GZ169" s="62">
        <f ca="1">AVERAGE(OFFSET($GY$3,0,0,'Données projet'!$E$18+1,1))-AVERAGE(OFFSET($H$3,0,0,'Données projet'!$E$18+1,1))</f>
        <v>378.51861272969165</v>
      </c>
      <c r="HA169" s="62">
        <f t="shared" si="160"/>
        <v>387.42368617035459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0</v>
      </c>
      <c r="HH169" s="23">
        <f>EXP(-LN(2)/25)*HH168+(1-EXP(-LN(2)/25))/(LN(2)/25)*Calculateur!HC169*Calculateur!HE169*VLOOKUP('Données projet'!$B$18,Paramètres!$A$1:$I$89,3,0)*0.475*44/12</f>
        <v>0</v>
      </c>
      <c r="HI169" s="23">
        <f>EXP(-LN(2)/2)*HI168+(1-EXP(-LN(2)/2))/(LN(2)/2)*HC169*HF169*VLOOKUP('Données projet'!$B$18,Paramètres!$A$1:$I$89,3,0)*0.475*44/12</f>
        <v>0</v>
      </c>
      <c r="HJ169" s="24">
        <f t="shared" si="190"/>
        <v>0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135.66666666666666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285.83733633982649</v>
      </c>
      <c r="S170" s="62">
        <f ca="1">AVERAGE(OFFSET($R$3,0,0,'Données projet'!$E$9+1,1))-AVERAGE(OFFSET($H$3,0,0,'Données projet'!$E$9+1,1))</f>
        <v>437.94016462147999</v>
      </c>
      <c r="T170" s="62">
        <f t="shared" si="142"/>
        <v>281.88254003380348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1.9617470441454827E-20</v>
      </c>
      <c r="AC170" s="24">
        <f t="shared" si="163"/>
        <v>1.9617470441454827E-20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1.0286385077051818E-13</v>
      </c>
      <c r="AK170" s="14">
        <f t="shared" si="164"/>
        <v>1.5402366592183556E-12</v>
      </c>
      <c r="AL170" s="22">
        <f t="shared" si="165"/>
        <v>2.8617333882306215E-12</v>
      </c>
      <c r="AM170" s="62">
        <f t="shared" si="113"/>
        <v>285.83733633982735</v>
      </c>
      <c r="AN170" s="62">
        <f ca="1">AVERAGE(OFFSET($AM$3,0,0,'Données projet'!$E$10+1,1))-AVERAGE(OFFSET($H$3,0,0,'Données projet'!$E$10+1,1))</f>
        <v>434.56763649859136</v>
      </c>
      <c r="AO170" s="62">
        <f t="shared" si="144"/>
        <v>271.90302066766264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6.7984728957526396E-14</v>
      </c>
      <c r="BF170" s="14">
        <f t="shared" si="167"/>
        <v>1.0682447123141398E-12</v>
      </c>
      <c r="BG170" s="22">
        <f t="shared" si="168"/>
        <v>1.978932943548152E-12</v>
      </c>
      <c r="BH170" s="62">
        <f t="shared" si="116"/>
        <v>285.83733633982649</v>
      </c>
      <c r="BI170" s="62">
        <f ca="1">AVERAGE(OFFSET($BH$3,0,0,'Données projet'!$E$11+1,1))-AVERAGE(OFFSET($H$3,0,0,'Données projet'!$E$11+1,1))</f>
        <v>199.65420589615553</v>
      </c>
      <c r="BJ170" s="62">
        <f t="shared" si="146"/>
        <v>477.85821088970999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3.5365195476561628</v>
      </c>
      <c r="BQ170" s="23">
        <f>EXP(-LN(2)/25)*BQ169+(1-EXP(-LN(2)/25))/(LN(2)/25)*Calculateur!BL170*Calculateur!BN170*VLOOKUP('Données projet'!$B$11,Paramètres!$A$1:$I$89,3,0)*0.475*44/12</f>
        <v>0.98469739855799987</v>
      </c>
      <c r="BR170" s="23">
        <f>EXP(-LN(2)/2)*BR169+(1-EXP(-LN(2)/2))/(LN(2)/2)*BL170*BO170*VLOOKUP('Données projet'!$B$11,Paramètres!$A$1:$I$89,3,0)*0.475*44/12</f>
        <v>1.0437747545501784E-19</v>
      </c>
      <c r="BS170" s="24">
        <f t="shared" si="169"/>
        <v>4.5212169462141629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1.1368683772161603E-13</v>
      </c>
      <c r="BZ170" s="14">
        <f>BY170*VLOOKUP('Données projet'!$B$12,Paramètres!$A$1:$I$89,3,0)*VLOOKUP('Données projet'!$B$12,Paramètres!$A$1:$I$89,5,0)</f>
        <v>6.7984728957526396E-14</v>
      </c>
      <c r="CA170" s="14">
        <f t="shared" si="170"/>
        <v>1.0682447123141398E-12</v>
      </c>
      <c r="CB170" s="22">
        <f t="shared" si="171"/>
        <v>1.978932943548152E-12</v>
      </c>
      <c r="CC170" s="62">
        <f t="shared" si="119"/>
        <v>285.83733633982649</v>
      </c>
      <c r="CD170" s="62">
        <f ca="1">AVERAGE(OFFSET($CC$3,0,0,'Données projet'!$E$12+1,1))-AVERAGE(OFFSET($H$3,0,0,'Données projet'!$E$12+1,1))</f>
        <v>437.94016462147999</v>
      </c>
      <c r="CE170" s="62">
        <f t="shared" si="148"/>
        <v>281.88254003380348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1.9617470441454827E-20</v>
      </c>
      <c r="CN170" s="24">
        <f t="shared" si="172"/>
        <v>1.9617470441454827E-20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1.1368683772161603E-13</v>
      </c>
      <c r="CU170" s="18">
        <f>CT170*VLOOKUP('Données projet'!$B$13,Paramètres!$A$1:$I$89,3,0)*VLOOKUP('Données projet'!$B$13,Paramètres!$A$1:$I$89,5,0)</f>
        <v>1.2946657079737634E-13</v>
      </c>
      <c r="CV170" s="14">
        <f t="shared" si="173"/>
        <v>1.8873591890224769E-12</v>
      </c>
      <c r="CW170" s="22">
        <f t="shared" si="174"/>
        <v>3.5126381983529106E-12</v>
      </c>
      <c r="CX170" s="62">
        <f t="shared" si="122"/>
        <v>285.83733633982803</v>
      </c>
      <c r="CY170" s="62">
        <f ca="1">AVERAGE(OFFSET($CX$3,0,0,'Données projet'!$E$13+1,1))-AVERAGE(OFFSET($H$3,0,0,'Données projet'!$E$13+1,1))</f>
        <v>520.23742527061836</v>
      </c>
      <c r="CZ170" s="62">
        <f t="shared" si="150"/>
        <v>321.35925479331274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>
        <f>DO170*VLOOKUP('Données projet'!$B$14,Paramètres!$A$1:$I$89,3,0)*VLOOKUP('Données projet'!$B$14,Paramètres!$A$1:$I$89,5,0)</f>
        <v>0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547.89540791313675</v>
      </c>
      <c r="DU170" s="62">
        <f t="shared" si="152"/>
        <v>345.19555189302378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5.6843418860808015E-14</v>
      </c>
      <c r="EK170" s="18">
        <f>EJ170*VLOOKUP('Données projet'!$B$15,Paramètres!$A$1:$I$89,3,0)*VLOOKUP('Données projet'!$B$15,Paramètres!$A$1:$I$89,5,0)</f>
        <v>5.9412741393316544E-14</v>
      </c>
      <c r="EL170" s="14">
        <f t="shared" si="179"/>
        <v>9.483138037075782E-13</v>
      </c>
      <c r="EM170" s="22">
        <f t="shared" si="180"/>
        <v>1.7551237327173916E-12</v>
      </c>
      <c r="EN170" s="62">
        <f t="shared" si="128"/>
        <v>285.83733633982627</v>
      </c>
      <c r="EO170" s="62">
        <f ca="1">AVERAGE(OFFSET($EN$3,0,0,'Données projet'!$E$15+1,1))-AVERAGE(OFFSET($H$3,0,0,'Données projet'!$E$15+1,1))</f>
        <v>418.23737352070503</v>
      </c>
      <c r="EP170" s="62">
        <f t="shared" si="154"/>
        <v>496.10742685332968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1.1368683772161603E-13</v>
      </c>
      <c r="FF170" s="18">
        <f>FE170*VLOOKUP('Données projet'!$B$16,Paramètres!$A$1:$I$89,3,0)*VLOOKUP('Données projet'!$B$16,Paramètres!$A$1:$I$89,5,0)</f>
        <v>6.7984728957526396E-14</v>
      </c>
      <c r="FG170" s="14">
        <f t="shared" si="182"/>
        <v>1.0682447123141398E-12</v>
      </c>
      <c r="FH170" s="22">
        <f t="shared" si="183"/>
        <v>1.978932943548152E-12</v>
      </c>
      <c r="FI170" s="62">
        <f t="shared" si="131"/>
        <v>285.83733633982649</v>
      </c>
      <c r="FJ170" s="62">
        <f ca="1">AVERAGE(OFFSET($FI$3,0,0,'Données projet'!$E$16+1,1))-AVERAGE(OFFSET($H$3,0,0,'Données projet'!$E$16+1,1))</f>
        <v>341.70983624543067</v>
      </c>
      <c r="FK170" s="62">
        <f t="shared" si="156"/>
        <v>250.82562837973805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2.9690084843866296E-20</v>
      </c>
      <c r="FT170" s="24">
        <f t="shared" si="184"/>
        <v>2.9690084843866296E-20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-2.2737367544323206E-13</v>
      </c>
      <c r="GA170" s="18">
        <f>FZ170*VLOOKUP('Données projet'!$B$17,Paramètres!$A$1:$I$89,3,0)*VLOOKUP('Données projet'!$B$17,Paramètres!$A$1:$I$89,5,0)</f>
        <v>-1.064108801074326E-13</v>
      </c>
      <c r="GB170" s="14" t="e">
        <f t="shared" si="185"/>
        <v>#NUM!</v>
      </c>
      <c r="GC170" s="22" t="e">
        <f t="shared" si="186"/>
        <v>#NUM!</v>
      </c>
      <c r="GD170" s="62" t="e">
        <f t="shared" si="134"/>
        <v>#NUM!</v>
      </c>
      <c r="GE170" s="62">
        <f ca="1">AVERAGE(OFFSET($GD$3,0,0,'Données projet'!$E$17+1,1))-AVERAGE(OFFSET($H$3,0,0,'Données projet'!$E$17+1,1))</f>
        <v>368.69628434154333</v>
      </c>
      <c r="GF170" s="62">
        <f t="shared" si="158"/>
        <v>202.28197295839524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-1.1368683772161603E-13</v>
      </c>
      <c r="GV170" s="18">
        <f>GU170*VLOOKUP('Données projet'!$B$18,Paramètres!$A$1:$I$89,3,0)*VLOOKUP('Données projet'!$B$18,Paramètres!$A$1:$I$89,5,0)</f>
        <v>-9.9316821433603781E-14</v>
      </c>
      <c r="GW170" s="14" t="e">
        <f t="shared" si="188"/>
        <v>#NUM!</v>
      </c>
      <c r="GX170" s="22" t="e">
        <f t="shared" si="189"/>
        <v>#NUM!</v>
      </c>
      <c r="GY170" s="62" t="e">
        <f t="shared" si="137"/>
        <v>#NUM!</v>
      </c>
      <c r="GZ170" s="62">
        <f ca="1">AVERAGE(OFFSET($GY$3,0,0,'Données projet'!$E$18+1,1))-AVERAGE(OFFSET($H$3,0,0,'Données projet'!$E$18+1,1))</f>
        <v>378.51861272969165</v>
      </c>
      <c r="HA170" s="62">
        <f t="shared" si="160"/>
        <v>387.42368617035459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0</v>
      </c>
      <c r="HH170" s="23">
        <f>EXP(-LN(2)/25)*HH169+(1-EXP(-LN(2)/25))/(LN(2)/25)*Calculateur!HC170*Calculateur!HE170*VLOOKUP('Données projet'!$B$18,Paramètres!$A$1:$I$89,3,0)*0.475*44/12</f>
        <v>0</v>
      </c>
      <c r="HI170" s="23">
        <f>EXP(-LN(2)/2)*HI169+(1-EXP(-LN(2)/2))/(LN(2)/2)*HC170*HF170*VLOOKUP('Données projet'!$B$18,Paramètres!$A$1:$I$89,3,0)*0.475*44/12</f>
        <v>0</v>
      </c>
      <c r="HJ170" s="24">
        <f t="shared" si="190"/>
        <v>0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135.66666666666666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285.96737512912517</v>
      </c>
      <c r="S171" s="62">
        <f ca="1">AVERAGE(OFFSET($R$3,0,0,'Données projet'!$E$9+1,1))-AVERAGE(OFFSET($H$3,0,0,'Données projet'!$E$9+1,1))</f>
        <v>437.94016462147999</v>
      </c>
      <c r="T171" s="62">
        <f t="shared" si="142"/>
        <v>281.88254003380348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1.3871646378879362E-20</v>
      </c>
      <c r="AC171" s="24">
        <f t="shared" si="163"/>
        <v>1.3871646378879362E-20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1.0286385077051818E-13</v>
      </c>
      <c r="AK171" s="14">
        <f t="shared" si="164"/>
        <v>1.5402366592183556E-12</v>
      </c>
      <c r="AL171" s="22">
        <f t="shared" si="165"/>
        <v>2.8617333882306215E-12</v>
      </c>
      <c r="AM171" s="62">
        <f t="shared" si="113"/>
        <v>285.96737512912603</v>
      </c>
      <c r="AN171" s="62">
        <f ca="1">AVERAGE(OFFSET($AM$3,0,0,'Données projet'!$E$10+1,1))-AVERAGE(OFFSET($H$3,0,0,'Données projet'!$E$10+1,1))</f>
        <v>434.56763649859136</v>
      </c>
      <c r="AO171" s="62">
        <f t="shared" si="144"/>
        <v>271.90302066766264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6.7984728957526396E-14</v>
      </c>
      <c r="BF171" s="14">
        <f t="shared" si="167"/>
        <v>1.0682447123141398E-12</v>
      </c>
      <c r="BG171" s="22">
        <f t="shared" si="168"/>
        <v>1.978932943548152E-12</v>
      </c>
      <c r="BH171" s="62">
        <f t="shared" si="116"/>
        <v>285.96737512912517</v>
      </c>
      <c r="BI171" s="62">
        <f ca="1">AVERAGE(OFFSET($BH$3,0,0,'Données projet'!$E$11+1,1))-AVERAGE(OFFSET($H$3,0,0,'Données projet'!$E$11+1,1))</f>
        <v>199.65420589615553</v>
      </c>
      <c r="BJ171" s="62">
        <f t="shared" si="146"/>
        <v>477.85821088970999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3.467170556390557</v>
      </c>
      <c r="BQ171" s="23">
        <f>EXP(-LN(2)/25)*BQ170+(1-EXP(-LN(2)/25))/(LN(2)/25)*Calculateur!BL171*Calculateur!BN171*VLOOKUP('Données projet'!$B$11,Paramètres!$A$1:$I$89,3,0)*0.475*44/12</f>
        <v>0.95777079641144569</v>
      </c>
      <c r="BR171" s="23">
        <f>EXP(-LN(2)/2)*BR170+(1-EXP(-LN(2)/2))/(LN(2)/2)*BL171*BO171*VLOOKUP('Données projet'!$B$11,Paramètres!$A$1:$I$89,3,0)*0.475*44/12</f>
        <v>7.3806020697375531E-20</v>
      </c>
      <c r="BS171" s="24">
        <f t="shared" si="169"/>
        <v>4.4249413528020032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1.1368683772161603E-13</v>
      </c>
      <c r="BZ171" s="14">
        <f>BY171*VLOOKUP('Données projet'!$B$12,Paramètres!$A$1:$I$89,3,0)*VLOOKUP('Données projet'!$B$12,Paramètres!$A$1:$I$89,5,0)</f>
        <v>6.7984728957526396E-14</v>
      </c>
      <c r="CA171" s="14">
        <f t="shared" si="170"/>
        <v>1.0682447123141398E-12</v>
      </c>
      <c r="CB171" s="22">
        <f t="shared" si="171"/>
        <v>1.978932943548152E-12</v>
      </c>
      <c r="CC171" s="62">
        <f t="shared" si="119"/>
        <v>285.96737512912517</v>
      </c>
      <c r="CD171" s="62">
        <f ca="1">AVERAGE(OFFSET($CC$3,0,0,'Données projet'!$E$12+1,1))-AVERAGE(OFFSET($H$3,0,0,'Données projet'!$E$12+1,1))</f>
        <v>437.94016462147999</v>
      </c>
      <c r="CE171" s="62">
        <f t="shared" si="148"/>
        <v>281.88254003380348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1.3871646378879362E-20</v>
      </c>
      <c r="CN171" s="24">
        <f t="shared" si="172"/>
        <v>1.3871646378879362E-20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1.1368683772161603E-13</v>
      </c>
      <c r="CU171" s="18">
        <f>CT171*VLOOKUP('Données projet'!$B$13,Paramètres!$A$1:$I$89,3,0)*VLOOKUP('Données projet'!$B$13,Paramètres!$A$1:$I$89,5,0)</f>
        <v>1.2946657079737634E-13</v>
      </c>
      <c r="CV171" s="14">
        <f t="shared" si="173"/>
        <v>1.8873591890224769E-12</v>
      </c>
      <c r="CW171" s="22">
        <f t="shared" si="174"/>
        <v>3.5126381983529106E-12</v>
      </c>
      <c r="CX171" s="62">
        <f t="shared" si="122"/>
        <v>285.96737512912671</v>
      </c>
      <c r="CY171" s="62">
        <f ca="1">AVERAGE(OFFSET($CX$3,0,0,'Données projet'!$E$13+1,1))-AVERAGE(OFFSET($H$3,0,0,'Données projet'!$E$13+1,1))</f>
        <v>520.23742527061836</v>
      </c>
      <c r="CZ171" s="62">
        <f t="shared" si="150"/>
        <v>321.35925479331274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>
        <f>DO171*VLOOKUP('Données projet'!$B$14,Paramètres!$A$1:$I$89,3,0)*VLOOKUP('Données projet'!$B$14,Paramètres!$A$1:$I$89,5,0)</f>
        <v>0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547.89540791313675</v>
      </c>
      <c r="DU171" s="62">
        <f t="shared" si="152"/>
        <v>345.19555189302378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5.6843418860808015E-14</v>
      </c>
      <c r="EK171" s="18">
        <f>EJ171*VLOOKUP('Données projet'!$B$15,Paramètres!$A$1:$I$89,3,0)*VLOOKUP('Données projet'!$B$15,Paramètres!$A$1:$I$89,5,0)</f>
        <v>5.9412741393316544E-14</v>
      </c>
      <c r="EL171" s="14">
        <f t="shared" si="179"/>
        <v>9.483138037075782E-13</v>
      </c>
      <c r="EM171" s="22">
        <f t="shared" si="180"/>
        <v>1.7551237327173916E-12</v>
      </c>
      <c r="EN171" s="62">
        <f t="shared" si="128"/>
        <v>285.96737512912495</v>
      </c>
      <c r="EO171" s="62">
        <f ca="1">AVERAGE(OFFSET($EN$3,0,0,'Données projet'!$E$15+1,1))-AVERAGE(OFFSET($H$3,0,0,'Données projet'!$E$15+1,1))</f>
        <v>418.23737352070503</v>
      </c>
      <c r="EP171" s="62">
        <f t="shared" si="154"/>
        <v>496.10742685332968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1.1368683772161603E-13</v>
      </c>
      <c r="FF171" s="18">
        <f>FE171*VLOOKUP('Données projet'!$B$16,Paramètres!$A$1:$I$89,3,0)*VLOOKUP('Données projet'!$B$16,Paramètres!$A$1:$I$89,5,0)</f>
        <v>6.7984728957526396E-14</v>
      </c>
      <c r="FG171" s="14">
        <f t="shared" si="182"/>
        <v>1.0682447123141398E-12</v>
      </c>
      <c r="FH171" s="22">
        <f t="shared" si="183"/>
        <v>1.978932943548152E-12</v>
      </c>
      <c r="FI171" s="62">
        <f t="shared" si="131"/>
        <v>285.96737512912517</v>
      </c>
      <c r="FJ171" s="62">
        <f ca="1">AVERAGE(OFFSET($FI$3,0,0,'Données projet'!$E$16+1,1))-AVERAGE(OFFSET($H$3,0,0,'Données projet'!$E$16+1,1))</f>
        <v>341.70983624543067</v>
      </c>
      <c r="FK171" s="62">
        <f t="shared" si="156"/>
        <v>250.82562837973805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2.0994060327101796E-20</v>
      </c>
      <c r="FT171" s="24">
        <f t="shared" si="184"/>
        <v>2.0994060327101796E-20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-2.2737367544323206E-13</v>
      </c>
      <c r="GA171" s="18">
        <f>FZ171*VLOOKUP('Données projet'!$B$17,Paramètres!$A$1:$I$89,3,0)*VLOOKUP('Données projet'!$B$17,Paramètres!$A$1:$I$89,5,0)</f>
        <v>-1.064108801074326E-13</v>
      </c>
      <c r="GB171" s="14" t="e">
        <f t="shared" si="185"/>
        <v>#NUM!</v>
      </c>
      <c r="GC171" s="22" t="e">
        <f t="shared" si="186"/>
        <v>#NUM!</v>
      </c>
      <c r="GD171" s="62" t="e">
        <f t="shared" si="134"/>
        <v>#NUM!</v>
      </c>
      <c r="GE171" s="62">
        <f ca="1">AVERAGE(OFFSET($GD$3,0,0,'Données projet'!$E$17+1,1))-AVERAGE(OFFSET($H$3,0,0,'Données projet'!$E$17+1,1))</f>
        <v>368.69628434154333</v>
      </c>
      <c r="GF171" s="62">
        <f t="shared" si="158"/>
        <v>202.28197295839524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-1.1368683772161603E-13</v>
      </c>
      <c r="GV171" s="18">
        <f>GU171*VLOOKUP('Données projet'!$B$18,Paramètres!$A$1:$I$89,3,0)*VLOOKUP('Données projet'!$B$18,Paramètres!$A$1:$I$89,5,0)</f>
        <v>-9.9316821433603781E-14</v>
      </c>
      <c r="GW171" s="14" t="e">
        <f t="shared" si="188"/>
        <v>#NUM!</v>
      </c>
      <c r="GX171" s="22" t="e">
        <f t="shared" si="189"/>
        <v>#NUM!</v>
      </c>
      <c r="GY171" s="62" t="e">
        <f t="shared" si="137"/>
        <v>#NUM!</v>
      </c>
      <c r="GZ171" s="62">
        <f ca="1">AVERAGE(OFFSET($GY$3,0,0,'Données projet'!$E$18+1,1))-AVERAGE(OFFSET($H$3,0,0,'Données projet'!$E$18+1,1))</f>
        <v>378.51861272969165</v>
      </c>
      <c r="HA171" s="62">
        <f t="shared" si="160"/>
        <v>387.42368617035459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0</v>
      </c>
      <c r="HH171" s="23">
        <f>EXP(-LN(2)/25)*HH170+(1-EXP(-LN(2)/25))/(LN(2)/25)*Calculateur!HC171*Calculateur!HE171*VLOOKUP('Données projet'!$B$18,Paramètres!$A$1:$I$89,3,0)*0.475*44/12</f>
        <v>0</v>
      </c>
      <c r="HI171" s="23">
        <f>EXP(-LN(2)/2)*HI170+(1-EXP(-LN(2)/2))/(LN(2)/2)*HC171*HF171*VLOOKUP('Données projet'!$B$18,Paramètres!$A$1:$I$89,3,0)*0.475*44/12</f>
        <v>0</v>
      </c>
      <c r="HJ171" s="24">
        <f t="shared" si="190"/>
        <v>0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135.66666666666666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286.09515803615272</v>
      </c>
      <c r="S172" s="62">
        <f ca="1">AVERAGE(OFFSET($R$3,0,0,'Données projet'!$E$9+1,1))-AVERAGE(OFFSET($H$3,0,0,'Données projet'!$E$9+1,1))</f>
        <v>437.94016462147999</v>
      </c>
      <c r="T172" s="62">
        <f t="shared" si="142"/>
        <v>281.88254003380348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9.8087352207274133E-21</v>
      </c>
      <c r="AC172" s="24">
        <f t="shared" si="163"/>
        <v>9.8087352207274133E-21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1.0286385077051818E-13</v>
      </c>
      <c r="AK172" s="14">
        <f t="shared" si="164"/>
        <v>1.5402366592183556E-12</v>
      </c>
      <c r="AL172" s="22">
        <f t="shared" si="165"/>
        <v>2.8617333882306215E-12</v>
      </c>
      <c r="AM172" s="62">
        <f t="shared" si="113"/>
        <v>286.09515803615358</v>
      </c>
      <c r="AN172" s="62">
        <f ca="1">AVERAGE(OFFSET($AM$3,0,0,'Données projet'!$E$10+1,1))-AVERAGE(OFFSET($H$3,0,0,'Données projet'!$E$10+1,1))</f>
        <v>434.56763649859136</v>
      </c>
      <c r="AO172" s="62">
        <f t="shared" si="144"/>
        <v>271.90302066766264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6.7984728957526396E-14</v>
      </c>
      <c r="BF172" s="14">
        <f t="shared" si="167"/>
        <v>1.0682447123141398E-12</v>
      </c>
      <c r="BG172" s="22">
        <f t="shared" si="168"/>
        <v>1.978932943548152E-12</v>
      </c>
      <c r="BH172" s="62">
        <f t="shared" si="116"/>
        <v>286.09515803615272</v>
      </c>
      <c r="BI172" s="62">
        <f ca="1">AVERAGE(OFFSET($BH$3,0,0,'Données projet'!$E$11+1,1))-AVERAGE(OFFSET($H$3,0,0,'Données projet'!$E$11+1,1))</f>
        <v>199.65420589615553</v>
      </c>
      <c r="BJ172" s="62">
        <f t="shared" si="146"/>
        <v>477.85821088970999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3.3991814565449618</v>
      </c>
      <c r="BQ172" s="23">
        <f>EXP(-LN(2)/25)*BQ171+(1-EXP(-LN(2)/25))/(LN(2)/25)*Calculateur!BL172*Calculateur!BN172*VLOOKUP('Données projet'!$B$11,Paramètres!$A$1:$I$89,3,0)*0.475*44/12</f>
        <v>0.9315805036165975</v>
      </c>
      <c r="BR172" s="23">
        <f>EXP(-LN(2)/2)*BR171+(1-EXP(-LN(2)/2))/(LN(2)/2)*BL172*BO172*VLOOKUP('Données projet'!$B$11,Paramètres!$A$1:$I$89,3,0)*0.475*44/12</f>
        <v>5.2188737727508918E-20</v>
      </c>
      <c r="BS172" s="24">
        <f t="shared" si="169"/>
        <v>4.330761960161559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1.1368683772161603E-13</v>
      </c>
      <c r="BZ172" s="14">
        <f>BY172*VLOOKUP('Données projet'!$B$12,Paramètres!$A$1:$I$89,3,0)*VLOOKUP('Données projet'!$B$12,Paramètres!$A$1:$I$89,5,0)</f>
        <v>6.7984728957526396E-14</v>
      </c>
      <c r="CA172" s="14">
        <f t="shared" si="170"/>
        <v>1.0682447123141398E-12</v>
      </c>
      <c r="CB172" s="22">
        <f t="shared" si="171"/>
        <v>1.978932943548152E-12</v>
      </c>
      <c r="CC172" s="62">
        <f t="shared" si="119"/>
        <v>286.09515803615272</v>
      </c>
      <c r="CD172" s="62">
        <f ca="1">AVERAGE(OFFSET($CC$3,0,0,'Données projet'!$E$12+1,1))-AVERAGE(OFFSET($H$3,0,0,'Données projet'!$E$12+1,1))</f>
        <v>437.94016462147999</v>
      </c>
      <c r="CE172" s="62">
        <f t="shared" si="148"/>
        <v>281.88254003380348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9.8087352207274133E-21</v>
      </c>
      <c r="CN172" s="24">
        <f t="shared" si="172"/>
        <v>9.8087352207274133E-21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1.1368683772161603E-13</v>
      </c>
      <c r="CU172" s="18">
        <f>CT172*VLOOKUP('Données projet'!$B$13,Paramètres!$A$1:$I$89,3,0)*VLOOKUP('Données projet'!$B$13,Paramètres!$A$1:$I$89,5,0)</f>
        <v>1.2946657079737634E-13</v>
      </c>
      <c r="CV172" s="14">
        <f t="shared" si="173"/>
        <v>1.8873591890224769E-12</v>
      </c>
      <c r="CW172" s="22">
        <f t="shared" si="174"/>
        <v>3.5126381983529106E-12</v>
      </c>
      <c r="CX172" s="62">
        <f t="shared" si="122"/>
        <v>286.09515803615426</v>
      </c>
      <c r="CY172" s="62">
        <f ca="1">AVERAGE(OFFSET($CX$3,0,0,'Données projet'!$E$13+1,1))-AVERAGE(OFFSET($H$3,0,0,'Données projet'!$E$13+1,1))</f>
        <v>520.23742527061836</v>
      </c>
      <c r="CZ172" s="62">
        <f t="shared" si="150"/>
        <v>321.35925479331274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>
        <f>DO172*VLOOKUP('Données projet'!$B$14,Paramètres!$A$1:$I$89,3,0)*VLOOKUP('Données projet'!$B$14,Paramètres!$A$1:$I$89,5,0)</f>
        <v>0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547.89540791313675</v>
      </c>
      <c r="DU172" s="62">
        <f t="shared" si="152"/>
        <v>345.19555189302378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5.6843418860808015E-14</v>
      </c>
      <c r="EK172" s="18">
        <f>EJ172*VLOOKUP('Données projet'!$B$15,Paramètres!$A$1:$I$89,3,0)*VLOOKUP('Données projet'!$B$15,Paramètres!$A$1:$I$89,5,0)</f>
        <v>5.9412741393316544E-14</v>
      </c>
      <c r="EL172" s="14">
        <f t="shared" si="179"/>
        <v>9.483138037075782E-13</v>
      </c>
      <c r="EM172" s="22">
        <f t="shared" si="180"/>
        <v>1.7551237327173916E-12</v>
      </c>
      <c r="EN172" s="62">
        <f t="shared" si="128"/>
        <v>286.0951580361525</v>
      </c>
      <c r="EO172" s="62">
        <f ca="1">AVERAGE(OFFSET($EN$3,0,0,'Données projet'!$E$15+1,1))-AVERAGE(OFFSET($H$3,0,0,'Données projet'!$E$15+1,1))</f>
        <v>418.23737352070503</v>
      </c>
      <c r="EP172" s="62">
        <f t="shared" si="154"/>
        <v>496.10742685332968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1.1368683772161603E-13</v>
      </c>
      <c r="FF172" s="18">
        <f>FE172*VLOOKUP('Données projet'!$B$16,Paramètres!$A$1:$I$89,3,0)*VLOOKUP('Données projet'!$B$16,Paramètres!$A$1:$I$89,5,0)</f>
        <v>6.7984728957526396E-14</v>
      </c>
      <c r="FG172" s="14">
        <f t="shared" si="182"/>
        <v>1.0682447123141398E-12</v>
      </c>
      <c r="FH172" s="22">
        <f t="shared" si="183"/>
        <v>1.978932943548152E-12</v>
      </c>
      <c r="FI172" s="62">
        <f t="shared" si="131"/>
        <v>286.09515803615272</v>
      </c>
      <c r="FJ172" s="62">
        <f ca="1">AVERAGE(OFFSET($FI$3,0,0,'Données projet'!$E$16+1,1))-AVERAGE(OFFSET($H$3,0,0,'Données projet'!$E$16+1,1))</f>
        <v>341.70983624543067</v>
      </c>
      <c r="FK172" s="62">
        <f t="shared" si="156"/>
        <v>250.82562837973805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1.4845042421933148E-20</v>
      </c>
      <c r="FT172" s="24">
        <f t="shared" si="184"/>
        <v>1.4845042421933148E-20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-2.2737367544323206E-13</v>
      </c>
      <c r="GA172" s="18">
        <f>FZ172*VLOOKUP('Données projet'!$B$17,Paramètres!$A$1:$I$89,3,0)*VLOOKUP('Données projet'!$B$17,Paramètres!$A$1:$I$89,5,0)</f>
        <v>-1.064108801074326E-13</v>
      </c>
      <c r="GB172" s="14" t="e">
        <f t="shared" si="185"/>
        <v>#NUM!</v>
      </c>
      <c r="GC172" s="22" t="e">
        <f t="shared" si="186"/>
        <v>#NUM!</v>
      </c>
      <c r="GD172" s="62" t="e">
        <f t="shared" si="134"/>
        <v>#NUM!</v>
      </c>
      <c r="GE172" s="62">
        <f ca="1">AVERAGE(OFFSET($GD$3,0,0,'Données projet'!$E$17+1,1))-AVERAGE(OFFSET($H$3,0,0,'Données projet'!$E$17+1,1))</f>
        <v>368.69628434154333</v>
      </c>
      <c r="GF172" s="62">
        <f t="shared" si="158"/>
        <v>202.28197295839524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-1.1368683772161603E-13</v>
      </c>
      <c r="GV172" s="18">
        <f>GU172*VLOOKUP('Données projet'!$B$18,Paramètres!$A$1:$I$89,3,0)*VLOOKUP('Données projet'!$B$18,Paramètres!$A$1:$I$89,5,0)</f>
        <v>-9.9316821433603781E-14</v>
      </c>
      <c r="GW172" s="14" t="e">
        <f t="shared" si="188"/>
        <v>#NUM!</v>
      </c>
      <c r="GX172" s="22" t="e">
        <f t="shared" si="189"/>
        <v>#NUM!</v>
      </c>
      <c r="GY172" s="62" t="e">
        <f t="shared" si="137"/>
        <v>#NUM!</v>
      </c>
      <c r="GZ172" s="62">
        <f ca="1">AVERAGE(OFFSET($GY$3,0,0,'Données projet'!$E$18+1,1))-AVERAGE(OFFSET($H$3,0,0,'Données projet'!$E$18+1,1))</f>
        <v>378.51861272969165</v>
      </c>
      <c r="HA172" s="62">
        <f t="shared" si="160"/>
        <v>387.42368617035459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0</v>
      </c>
      <c r="HH172" s="23">
        <f>EXP(-LN(2)/25)*HH171+(1-EXP(-LN(2)/25))/(LN(2)/25)*Calculateur!HC172*Calculateur!HE172*VLOOKUP('Données projet'!$B$18,Paramètres!$A$1:$I$89,3,0)*0.475*44/12</f>
        <v>0</v>
      </c>
      <c r="HI172" s="23">
        <f>EXP(-LN(2)/2)*HI171+(1-EXP(-LN(2)/2))/(LN(2)/2)*HC172*HF172*VLOOKUP('Données projet'!$B$18,Paramètres!$A$1:$I$89,3,0)*0.475*44/12</f>
        <v>0</v>
      </c>
      <c r="HJ172" s="24">
        <f t="shared" si="190"/>
        <v>0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135.66666666666666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286.22072419542314</v>
      </c>
      <c r="S173" s="62">
        <f ca="1">AVERAGE(OFFSET($R$3,0,0,'Données projet'!$E$9+1,1))-AVERAGE(OFFSET($H$3,0,0,'Données projet'!$E$9+1,1))</f>
        <v>437.94016462147999</v>
      </c>
      <c r="T173" s="62">
        <f t="shared" si="142"/>
        <v>281.88254003380348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6.935823189439681E-21</v>
      </c>
      <c r="AC173" s="24">
        <f t="shared" si="163"/>
        <v>6.935823189439681E-21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1.0286385077051818E-13</v>
      </c>
      <c r="AK173" s="14">
        <f t="shared" si="164"/>
        <v>1.5402366592183556E-12</v>
      </c>
      <c r="AL173" s="22">
        <f t="shared" si="165"/>
        <v>2.8617333882306215E-12</v>
      </c>
      <c r="AM173" s="62">
        <f t="shared" si="113"/>
        <v>286.220724195424</v>
      </c>
      <c r="AN173" s="62">
        <f ca="1">AVERAGE(OFFSET($AM$3,0,0,'Données projet'!$E$10+1,1))-AVERAGE(OFFSET($H$3,0,0,'Données projet'!$E$10+1,1))</f>
        <v>434.56763649859136</v>
      </c>
      <c r="AO173" s="62">
        <f t="shared" si="144"/>
        <v>271.90302066766264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6.7984728957526396E-14</v>
      </c>
      <c r="BF173" s="14">
        <f t="shared" si="167"/>
        <v>1.0682447123141398E-12</v>
      </c>
      <c r="BG173" s="22">
        <f t="shared" si="168"/>
        <v>1.978932943548152E-12</v>
      </c>
      <c r="BH173" s="62">
        <f t="shared" si="116"/>
        <v>286.22072419542314</v>
      </c>
      <c r="BI173" s="62">
        <f ca="1">AVERAGE(OFFSET($BH$3,0,0,'Données projet'!$E$11+1,1))-AVERAGE(OFFSET($H$3,0,0,'Données projet'!$E$11+1,1))</f>
        <v>199.65420589615553</v>
      </c>
      <c r="BJ173" s="62">
        <f t="shared" si="146"/>
        <v>477.85821088970999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3.3325255814780825</v>
      </c>
      <c r="BQ173" s="23">
        <f>EXP(-LN(2)/25)*BQ172+(1-EXP(-LN(2)/25))/(LN(2)/25)*Calculateur!BL173*Calculateur!BN173*VLOOKUP('Données projet'!$B$11,Paramètres!$A$1:$I$89,3,0)*0.475*44/12</f>
        <v>0.90610638575551217</v>
      </c>
      <c r="BR173" s="23">
        <f>EXP(-LN(2)/2)*BR172+(1-EXP(-LN(2)/2))/(LN(2)/2)*BL173*BO173*VLOOKUP('Données projet'!$B$11,Paramètres!$A$1:$I$89,3,0)*0.475*44/12</f>
        <v>3.6903010348687766E-20</v>
      </c>
      <c r="BS173" s="24">
        <f t="shared" si="169"/>
        <v>4.2386319672335944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1.1368683772161603E-13</v>
      </c>
      <c r="BZ173" s="14">
        <f>BY173*VLOOKUP('Données projet'!$B$12,Paramètres!$A$1:$I$89,3,0)*VLOOKUP('Données projet'!$B$12,Paramètres!$A$1:$I$89,5,0)</f>
        <v>6.7984728957526396E-14</v>
      </c>
      <c r="CA173" s="14">
        <f t="shared" si="170"/>
        <v>1.0682447123141398E-12</v>
      </c>
      <c r="CB173" s="22">
        <f t="shared" si="171"/>
        <v>1.978932943548152E-12</v>
      </c>
      <c r="CC173" s="62">
        <f t="shared" si="119"/>
        <v>286.22072419542314</v>
      </c>
      <c r="CD173" s="62">
        <f ca="1">AVERAGE(OFFSET($CC$3,0,0,'Données projet'!$E$12+1,1))-AVERAGE(OFFSET($H$3,0,0,'Données projet'!$E$12+1,1))</f>
        <v>437.94016462147999</v>
      </c>
      <c r="CE173" s="62">
        <f t="shared" si="148"/>
        <v>281.88254003380348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6.935823189439681E-21</v>
      </c>
      <c r="CN173" s="24">
        <f t="shared" si="172"/>
        <v>6.935823189439681E-21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1.1368683772161603E-13</v>
      </c>
      <c r="CU173" s="18">
        <f>CT173*VLOOKUP('Données projet'!$B$13,Paramètres!$A$1:$I$89,3,0)*VLOOKUP('Données projet'!$B$13,Paramètres!$A$1:$I$89,5,0)</f>
        <v>1.2946657079737634E-13</v>
      </c>
      <c r="CV173" s="14">
        <f t="shared" si="173"/>
        <v>1.8873591890224769E-12</v>
      </c>
      <c r="CW173" s="22">
        <f t="shared" si="174"/>
        <v>3.5126381983529106E-12</v>
      </c>
      <c r="CX173" s="62">
        <f t="shared" si="122"/>
        <v>286.22072419542468</v>
      </c>
      <c r="CY173" s="62">
        <f ca="1">AVERAGE(OFFSET($CX$3,0,0,'Données projet'!$E$13+1,1))-AVERAGE(OFFSET($H$3,0,0,'Données projet'!$E$13+1,1))</f>
        <v>520.23742527061836</v>
      </c>
      <c r="CZ173" s="62">
        <f t="shared" si="150"/>
        <v>321.35925479331274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>
        <f>DO173*VLOOKUP('Données projet'!$B$14,Paramètres!$A$1:$I$89,3,0)*VLOOKUP('Données projet'!$B$14,Paramètres!$A$1:$I$89,5,0)</f>
        <v>0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547.89540791313675</v>
      </c>
      <c r="DU173" s="62">
        <f t="shared" si="152"/>
        <v>345.19555189302378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5.6843418860808015E-14</v>
      </c>
      <c r="EK173" s="18">
        <f>EJ173*VLOOKUP('Données projet'!$B$15,Paramètres!$A$1:$I$89,3,0)*VLOOKUP('Données projet'!$B$15,Paramètres!$A$1:$I$89,5,0)</f>
        <v>5.9412741393316544E-14</v>
      </c>
      <c r="EL173" s="14">
        <f t="shared" si="179"/>
        <v>9.483138037075782E-13</v>
      </c>
      <c r="EM173" s="22">
        <f t="shared" si="180"/>
        <v>1.7551237327173916E-12</v>
      </c>
      <c r="EN173" s="62">
        <f t="shared" si="128"/>
        <v>286.22072419542292</v>
      </c>
      <c r="EO173" s="62">
        <f ca="1">AVERAGE(OFFSET($EN$3,0,0,'Données projet'!$E$15+1,1))-AVERAGE(OFFSET($H$3,0,0,'Données projet'!$E$15+1,1))</f>
        <v>418.23737352070503</v>
      </c>
      <c r="EP173" s="62">
        <f t="shared" si="154"/>
        <v>496.10742685332968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1.1368683772161603E-13</v>
      </c>
      <c r="FF173" s="18">
        <f>FE173*VLOOKUP('Données projet'!$B$16,Paramètres!$A$1:$I$89,3,0)*VLOOKUP('Données projet'!$B$16,Paramètres!$A$1:$I$89,5,0)</f>
        <v>6.7984728957526396E-14</v>
      </c>
      <c r="FG173" s="14">
        <f t="shared" si="182"/>
        <v>1.0682447123141398E-12</v>
      </c>
      <c r="FH173" s="22">
        <f t="shared" si="183"/>
        <v>1.978932943548152E-12</v>
      </c>
      <c r="FI173" s="62">
        <f t="shared" si="131"/>
        <v>286.22072419542314</v>
      </c>
      <c r="FJ173" s="62">
        <f ca="1">AVERAGE(OFFSET($FI$3,0,0,'Données projet'!$E$16+1,1))-AVERAGE(OFFSET($H$3,0,0,'Données projet'!$E$16+1,1))</f>
        <v>341.70983624543067</v>
      </c>
      <c r="FK173" s="62">
        <f t="shared" si="156"/>
        <v>250.82562837973805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1.0497030163550898E-20</v>
      </c>
      <c r="FT173" s="24">
        <f t="shared" si="184"/>
        <v>1.0497030163550898E-20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-2.2737367544323206E-13</v>
      </c>
      <c r="GA173" s="18">
        <f>FZ173*VLOOKUP('Données projet'!$B$17,Paramètres!$A$1:$I$89,3,0)*VLOOKUP('Données projet'!$B$17,Paramètres!$A$1:$I$89,5,0)</f>
        <v>-1.064108801074326E-13</v>
      </c>
      <c r="GB173" s="14" t="e">
        <f t="shared" si="185"/>
        <v>#NUM!</v>
      </c>
      <c r="GC173" s="22" t="e">
        <f t="shared" si="186"/>
        <v>#NUM!</v>
      </c>
      <c r="GD173" s="62" t="e">
        <f t="shared" si="134"/>
        <v>#NUM!</v>
      </c>
      <c r="GE173" s="62">
        <f ca="1">AVERAGE(OFFSET($GD$3,0,0,'Données projet'!$E$17+1,1))-AVERAGE(OFFSET($H$3,0,0,'Données projet'!$E$17+1,1))</f>
        <v>368.69628434154333</v>
      </c>
      <c r="GF173" s="62">
        <f t="shared" si="158"/>
        <v>202.28197295839524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-1.1368683772161603E-13</v>
      </c>
      <c r="GV173" s="18">
        <f>GU173*VLOOKUP('Données projet'!$B$18,Paramètres!$A$1:$I$89,3,0)*VLOOKUP('Données projet'!$B$18,Paramètres!$A$1:$I$89,5,0)</f>
        <v>-9.9316821433603781E-14</v>
      </c>
      <c r="GW173" s="14" t="e">
        <f t="shared" si="188"/>
        <v>#NUM!</v>
      </c>
      <c r="GX173" s="22" t="e">
        <f t="shared" si="189"/>
        <v>#NUM!</v>
      </c>
      <c r="GY173" s="62" t="e">
        <f t="shared" si="137"/>
        <v>#NUM!</v>
      </c>
      <c r="GZ173" s="62">
        <f ca="1">AVERAGE(OFFSET($GY$3,0,0,'Données projet'!$E$18+1,1))-AVERAGE(OFFSET($H$3,0,0,'Données projet'!$E$18+1,1))</f>
        <v>378.51861272969165</v>
      </c>
      <c r="HA173" s="62">
        <f t="shared" si="160"/>
        <v>387.42368617035459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0</v>
      </c>
      <c r="HH173" s="23">
        <f>EXP(-LN(2)/25)*HH172+(1-EXP(-LN(2)/25))/(LN(2)/25)*Calculateur!HC173*Calculateur!HE173*VLOOKUP('Données projet'!$B$18,Paramètres!$A$1:$I$89,3,0)*0.475*44/12</f>
        <v>0</v>
      </c>
      <c r="HI173" s="23">
        <f>EXP(-LN(2)/2)*HI172+(1-EXP(-LN(2)/2))/(LN(2)/2)*HC173*HF173*VLOOKUP('Données projet'!$B$18,Paramètres!$A$1:$I$89,3,0)*0.475*44/12</f>
        <v>0</v>
      </c>
      <c r="HJ173" s="24">
        <f t="shared" si="190"/>
        <v>0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135.66666666666666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286.34411206255407</v>
      </c>
      <c r="S174" s="62">
        <f ca="1">AVERAGE(OFFSET($R$3,0,0,'Données projet'!$E$9+1,1))-AVERAGE(OFFSET($H$3,0,0,'Données projet'!$E$9+1,1))</f>
        <v>437.94016462147999</v>
      </c>
      <c r="T174" s="62">
        <f t="shared" si="142"/>
        <v>281.88254003380348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4.9043676103637067E-21</v>
      </c>
      <c r="AC174" s="24">
        <f t="shared" si="163"/>
        <v>4.9043676103637067E-21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1.0286385077051818E-13</v>
      </c>
      <c r="AK174" s="14">
        <f t="shared" si="164"/>
        <v>1.5402366592183556E-12</v>
      </c>
      <c r="AL174" s="22">
        <f t="shared" si="165"/>
        <v>2.8617333882306215E-12</v>
      </c>
      <c r="AM174" s="62">
        <f t="shared" si="113"/>
        <v>286.34411206255493</v>
      </c>
      <c r="AN174" s="62">
        <f ca="1">AVERAGE(OFFSET($AM$3,0,0,'Données projet'!$E$10+1,1))-AVERAGE(OFFSET($H$3,0,0,'Données projet'!$E$10+1,1))</f>
        <v>434.56763649859136</v>
      </c>
      <c r="AO174" s="62">
        <f t="shared" si="144"/>
        <v>271.90302066766264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6.7984728957526396E-14</v>
      </c>
      <c r="BF174" s="14">
        <f t="shared" si="167"/>
        <v>1.0682447123141398E-12</v>
      </c>
      <c r="BG174" s="22">
        <f t="shared" si="168"/>
        <v>1.978932943548152E-12</v>
      </c>
      <c r="BH174" s="62">
        <f t="shared" si="116"/>
        <v>286.34411206255407</v>
      </c>
      <c r="BI174" s="62">
        <f ca="1">AVERAGE(OFFSET($BH$3,0,0,'Données projet'!$E$11+1,1))-AVERAGE(OFFSET($H$3,0,0,'Données projet'!$E$11+1,1))</f>
        <v>199.65420589615553</v>
      </c>
      <c r="BJ174" s="62">
        <f t="shared" si="146"/>
        <v>477.85821088970999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3.2671767874651954</v>
      </c>
      <c r="BQ174" s="23">
        <f>EXP(-LN(2)/25)*BQ173+(1-EXP(-LN(2)/25))/(LN(2)/25)*Calculateur!BL174*Calculateur!BN174*VLOOKUP('Données projet'!$B$11,Paramètres!$A$1:$I$89,3,0)*0.475*44/12</f>
        <v>0.88132885898696378</v>
      </c>
      <c r="BR174" s="23">
        <f>EXP(-LN(2)/2)*BR173+(1-EXP(-LN(2)/2))/(LN(2)/2)*BL174*BO174*VLOOKUP('Données projet'!$B$11,Paramètres!$A$1:$I$89,3,0)*0.475*44/12</f>
        <v>2.6094368863754459E-20</v>
      </c>
      <c r="BS174" s="24">
        <f t="shared" si="169"/>
        <v>4.1485056464521595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1.1368683772161603E-13</v>
      </c>
      <c r="BZ174" s="14">
        <f>BY174*VLOOKUP('Données projet'!$B$12,Paramètres!$A$1:$I$89,3,0)*VLOOKUP('Données projet'!$B$12,Paramètres!$A$1:$I$89,5,0)</f>
        <v>6.7984728957526396E-14</v>
      </c>
      <c r="CA174" s="14">
        <f t="shared" si="170"/>
        <v>1.0682447123141398E-12</v>
      </c>
      <c r="CB174" s="22">
        <f t="shared" si="171"/>
        <v>1.978932943548152E-12</v>
      </c>
      <c r="CC174" s="62">
        <f t="shared" si="119"/>
        <v>286.34411206255407</v>
      </c>
      <c r="CD174" s="62">
        <f ca="1">AVERAGE(OFFSET($CC$3,0,0,'Données projet'!$E$12+1,1))-AVERAGE(OFFSET($H$3,0,0,'Données projet'!$E$12+1,1))</f>
        <v>437.94016462147999</v>
      </c>
      <c r="CE174" s="62">
        <f t="shared" si="148"/>
        <v>281.88254003380348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4.9043676103637067E-21</v>
      </c>
      <c r="CN174" s="24">
        <f t="shared" si="172"/>
        <v>4.9043676103637067E-21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1.1368683772161603E-13</v>
      </c>
      <c r="CU174" s="18">
        <f>CT174*VLOOKUP('Données projet'!$B$13,Paramètres!$A$1:$I$89,3,0)*VLOOKUP('Données projet'!$B$13,Paramètres!$A$1:$I$89,5,0)</f>
        <v>1.2946657079737634E-13</v>
      </c>
      <c r="CV174" s="14">
        <f t="shared" si="173"/>
        <v>1.8873591890224769E-12</v>
      </c>
      <c r="CW174" s="22">
        <f t="shared" si="174"/>
        <v>3.5126381983529106E-12</v>
      </c>
      <c r="CX174" s="62">
        <f t="shared" si="122"/>
        <v>286.34411206255561</v>
      </c>
      <c r="CY174" s="62">
        <f ca="1">AVERAGE(OFFSET($CX$3,0,0,'Données projet'!$E$13+1,1))-AVERAGE(OFFSET($H$3,0,0,'Données projet'!$E$13+1,1))</f>
        <v>520.23742527061836</v>
      </c>
      <c r="CZ174" s="62">
        <f t="shared" si="150"/>
        <v>321.35925479331274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>
        <f>DO174*VLOOKUP('Données projet'!$B$14,Paramètres!$A$1:$I$89,3,0)*VLOOKUP('Données projet'!$B$14,Paramètres!$A$1:$I$89,5,0)</f>
        <v>0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547.89540791313675</v>
      </c>
      <c r="DU174" s="62">
        <f t="shared" si="152"/>
        <v>345.19555189302378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5.6843418860808015E-14</v>
      </c>
      <c r="EK174" s="18">
        <f>EJ174*VLOOKUP('Données projet'!$B$15,Paramètres!$A$1:$I$89,3,0)*VLOOKUP('Données projet'!$B$15,Paramètres!$A$1:$I$89,5,0)</f>
        <v>5.9412741393316544E-14</v>
      </c>
      <c r="EL174" s="14">
        <f t="shared" si="179"/>
        <v>9.483138037075782E-13</v>
      </c>
      <c r="EM174" s="22">
        <f t="shared" si="180"/>
        <v>1.7551237327173916E-12</v>
      </c>
      <c r="EN174" s="62">
        <f t="shared" si="128"/>
        <v>286.34411206255385</v>
      </c>
      <c r="EO174" s="62">
        <f ca="1">AVERAGE(OFFSET($EN$3,0,0,'Données projet'!$E$15+1,1))-AVERAGE(OFFSET($H$3,0,0,'Données projet'!$E$15+1,1))</f>
        <v>418.23737352070503</v>
      </c>
      <c r="EP174" s="62">
        <f t="shared" si="154"/>
        <v>496.10742685332968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1.1368683772161603E-13</v>
      </c>
      <c r="FF174" s="18">
        <f>FE174*VLOOKUP('Données projet'!$B$16,Paramètres!$A$1:$I$89,3,0)*VLOOKUP('Données projet'!$B$16,Paramètres!$A$1:$I$89,5,0)</f>
        <v>6.7984728957526396E-14</v>
      </c>
      <c r="FG174" s="14">
        <f t="shared" si="182"/>
        <v>1.0682447123141398E-12</v>
      </c>
      <c r="FH174" s="22">
        <f t="shared" si="183"/>
        <v>1.978932943548152E-12</v>
      </c>
      <c r="FI174" s="62">
        <f t="shared" si="131"/>
        <v>286.34411206255407</v>
      </c>
      <c r="FJ174" s="62">
        <f ca="1">AVERAGE(OFFSET($FI$3,0,0,'Données projet'!$E$16+1,1))-AVERAGE(OFFSET($H$3,0,0,'Données projet'!$E$16+1,1))</f>
        <v>341.70983624543067</v>
      </c>
      <c r="FK174" s="62">
        <f t="shared" si="156"/>
        <v>250.82562837973805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7.4225212109665741E-21</v>
      </c>
      <c r="FT174" s="24">
        <f t="shared" si="184"/>
        <v>7.4225212109665741E-21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-2.2737367544323206E-13</v>
      </c>
      <c r="GA174" s="18">
        <f>FZ174*VLOOKUP('Données projet'!$B$17,Paramètres!$A$1:$I$89,3,0)*VLOOKUP('Données projet'!$B$17,Paramètres!$A$1:$I$89,5,0)</f>
        <v>-1.064108801074326E-13</v>
      </c>
      <c r="GB174" s="14" t="e">
        <f t="shared" si="185"/>
        <v>#NUM!</v>
      </c>
      <c r="GC174" s="22" t="e">
        <f t="shared" si="186"/>
        <v>#NUM!</v>
      </c>
      <c r="GD174" s="62" t="e">
        <f t="shared" si="134"/>
        <v>#NUM!</v>
      </c>
      <c r="GE174" s="62">
        <f ca="1">AVERAGE(OFFSET($GD$3,0,0,'Données projet'!$E$17+1,1))-AVERAGE(OFFSET($H$3,0,0,'Données projet'!$E$17+1,1))</f>
        <v>368.69628434154333</v>
      </c>
      <c r="GF174" s="62">
        <f t="shared" si="158"/>
        <v>202.28197295839524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-1.1368683772161603E-13</v>
      </c>
      <c r="GV174" s="18">
        <f>GU174*VLOOKUP('Données projet'!$B$18,Paramètres!$A$1:$I$89,3,0)*VLOOKUP('Données projet'!$B$18,Paramètres!$A$1:$I$89,5,0)</f>
        <v>-9.9316821433603781E-14</v>
      </c>
      <c r="GW174" s="14" t="e">
        <f t="shared" si="188"/>
        <v>#NUM!</v>
      </c>
      <c r="GX174" s="22" t="e">
        <f t="shared" si="189"/>
        <v>#NUM!</v>
      </c>
      <c r="GY174" s="62" t="e">
        <f t="shared" si="137"/>
        <v>#NUM!</v>
      </c>
      <c r="GZ174" s="62">
        <f ca="1">AVERAGE(OFFSET($GY$3,0,0,'Données projet'!$E$18+1,1))-AVERAGE(OFFSET($H$3,0,0,'Données projet'!$E$18+1,1))</f>
        <v>378.51861272969165</v>
      </c>
      <c r="HA174" s="62">
        <f t="shared" si="160"/>
        <v>387.42368617035459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0</v>
      </c>
      <c r="HH174" s="23">
        <f>EXP(-LN(2)/25)*HH173+(1-EXP(-LN(2)/25))/(LN(2)/25)*Calculateur!HC174*Calculateur!HE174*VLOOKUP('Données projet'!$B$18,Paramètres!$A$1:$I$89,3,0)*0.475*44/12</f>
        <v>0</v>
      </c>
      <c r="HI174" s="23">
        <f>EXP(-LN(2)/2)*HI173+(1-EXP(-LN(2)/2))/(LN(2)/2)*HC174*HF174*VLOOKUP('Données projet'!$B$18,Paramètres!$A$1:$I$89,3,0)*0.475*44/12</f>
        <v>0</v>
      </c>
      <c r="HJ174" s="24">
        <f t="shared" si="190"/>
        <v>0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135.66666666666666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286.4653594260443</v>
      </c>
      <c r="S175" s="62">
        <f ca="1">AVERAGE(OFFSET($R$3,0,0,'Données projet'!$E$9+1,1))-AVERAGE(OFFSET($H$3,0,0,'Données projet'!$E$9+1,1))</f>
        <v>437.94016462147999</v>
      </c>
      <c r="T175" s="62">
        <f t="shared" si="142"/>
        <v>281.88254003380348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3.4679115947198405E-21</v>
      </c>
      <c r="AC175" s="24">
        <f t="shared" si="163"/>
        <v>3.4679115947198405E-21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1.0286385077051818E-13</v>
      </c>
      <c r="AK175" s="14">
        <f t="shared" si="164"/>
        <v>1.5402366592183556E-12</v>
      </c>
      <c r="AL175" s="22">
        <f t="shared" si="165"/>
        <v>2.8617333882306215E-12</v>
      </c>
      <c r="AM175" s="62">
        <f t="shared" si="113"/>
        <v>286.46535942604515</v>
      </c>
      <c r="AN175" s="62">
        <f ca="1">AVERAGE(OFFSET($AM$3,0,0,'Données projet'!$E$10+1,1))-AVERAGE(OFFSET($H$3,0,0,'Données projet'!$E$10+1,1))</f>
        <v>434.56763649859136</v>
      </c>
      <c r="AO175" s="62">
        <f t="shared" si="144"/>
        <v>271.90302066766264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6.7984728957526396E-14</v>
      </c>
      <c r="BF175" s="14">
        <f t="shared" si="167"/>
        <v>1.0682447123141398E-12</v>
      </c>
      <c r="BG175" s="22">
        <f t="shared" si="168"/>
        <v>1.978932943548152E-12</v>
      </c>
      <c r="BH175" s="62">
        <f t="shared" si="116"/>
        <v>286.4653594260443</v>
      </c>
      <c r="BI175" s="62">
        <f ca="1">AVERAGE(OFFSET($BH$3,0,0,'Données projet'!$E$11+1,1))-AVERAGE(OFFSET($H$3,0,0,'Données projet'!$E$11+1,1))</f>
        <v>199.65420589615553</v>
      </c>
      <c r="BJ175" s="62">
        <f t="shared" si="146"/>
        <v>477.85821088970999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3.2031094434440726</v>
      </c>
      <c r="BQ175" s="23">
        <f>EXP(-LN(2)/25)*BQ174+(1-EXP(-LN(2)/25))/(LN(2)/25)*Calculateur!BL175*Calculateur!BN175*VLOOKUP('Données projet'!$B$11,Paramètres!$A$1:$I$89,3,0)*0.475*44/12</f>
        <v>0.85722887499089484</v>
      </c>
      <c r="BR175" s="23">
        <f>EXP(-LN(2)/2)*BR174+(1-EXP(-LN(2)/2))/(LN(2)/2)*BL175*BO175*VLOOKUP('Données projet'!$B$11,Paramètres!$A$1:$I$89,3,0)*0.475*44/12</f>
        <v>1.8451505174343883E-20</v>
      </c>
      <c r="BS175" s="24">
        <f t="shared" si="169"/>
        <v>4.0603383184349671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1.1368683772161603E-13</v>
      </c>
      <c r="BZ175" s="14">
        <f>BY175*VLOOKUP('Données projet'!$B$12,Paramètres!$A$1:$I$89,3,0)*VLOOKUP('Données projet'!$B$12,Paramètres!$A$1:$I$89,5,0)</f>
        <v>6.7984728957526396E-14</v>
      </c>
      <c r="CA175" s="14">
        <f t="shared" si="170"/>
        <v>1.0682447123141398E-12</v>
      </c>
      <c r="CB175" s="22">
        <f t="shared" si="171"/>
        <v>1.978932943548152E-12</v>
      </c>
      <c r="CC175" s="62">
        <f t="shared" si="119"/>
        <v>286.4653594260443</v>
      </c>
      <c r="CD175" s="62">
        <f ca="1">AVERAGE(OFFSET($CC$3,0,0,'Données projet'!$E$12+1,1))-AVERAGE(OFFSET($H$3,0,0,'Données projet'!$E$12+1,1))</f>
        <v>437.94016462147999</v>
      </c>
      <c r="CE175" s="62">
        <f t="shared" si="148"/>
        <v>281.88254003380348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3.4679115947198405E-21</v>
      </c>
      <c r="CN175" s="24">
        <f t="shared" si="172"/>
        <v>3.4679115947198405E-21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1.1368683772161603E-13</v>
      </c>
      <c r="CU175" s="18">
        <f>CT175*VLOOKUP('Données projet'!$B$13,Paramètres!$A$1:$I$89,3,0)*VLOOKUP('Données projet'!$B$13,Paramètres!$A$1:$I$89,5,0)</f>
        <v>1.2946657079737634E-13</v>
      </c>
      <c r="CV175" s="14">
        <f t="shared" si="173"/>
        <v>1.8873591890224769E-12</v>
      </c>
      <c r="CW175" s="22">
        <f t="shared" si="174"/>
        <v>3.5126381983529106E-12</v>
      </c>
      <c r="CX175" s="62">
        <f t="shared" si="122"/>
        <v>286.46535942604584</v>
      </c>
      <c r="CY175" s="62">
        <f ca="1">AVERAGE(OFFSET($CX$3,0,0,'Données projet'!$E$13+1,1))-AVERAGE(OFFSET($H$3,0,0,'Données projet'!$E$13+1,1))</f>
        <v>520.23742527061836</v>
      </c>
      <c r="CZ175" s="62">
        <f t="shared" si="150"/>
        <v>321.35925479331274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>
        <f>DO175*VLOOKUP('Données projet'!$B$14,Paramètres!$A$1:$I$89,3,0)*VLOOKUP('Données projet'!$B$14,Paramètres!$A$1:$I$89,5,0)</f>
        <v>0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547.89540791313675</v>
      </c>
      <c r="DU175" s="62">
        <f t="shared" si="152"/>
        <v>345.19555189302378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5.6843418860808015E-14</v>
      </c>
      <c r="EK175" s="18">
        <f>EJ175*VLOOKUP('Données projet'!$B$15,Paramètres!$A$1:$I$89,3,0)*VLOOKUP('Données projet'!$B$15,Paramètres!$A$1:$I$89,5,0)</f>
        <v>5.9412741393316544E-14</v>
      </c>
      <c r="EL175" s="14">
        <f t="shared" si="179"/>
        <v>9.483138037075782E-13</v>
      </c>
      <c r="EM175" s="22">
        <f t="shared" si="180"/>
        <v>1.7551237327173916E-12</v>
      </c>
      <c r="EN175" s="62">
        <f t="shared" si="128"/>
        <v>286.46535942604407</v>
      </c>
      <c r="EO175" s="62">
        <f ca="1">AVERAGE(OFFSET($EN$3,0,0,'Données projet'!$E$15+1,1))-AVERAGE(OFFSET($H$3,0,0,'Données projet'!$E$15+1,1))</f>
        <v>418.23737352070503</v>
      </c>
      <c r="EP175" s="62">
        <f t="shared" si="154"/>
        <v>496.10742685332968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1.1368683772161603E-13</v>
      </c>
      <c r="FF175" s="18">
        <f>FE175*VLOOKUP('Données projet'!$B$16,Paramètres!$A$1:$I$89,3,0)*VLOOKUP('Données projet'!$B$16,Paramètres!$A$1:$I$89,5,0)</f>
        <v>6.7984728957526396E-14</v>
      </c>
      <c r="FG175" s="14">
        <f t="shared" si="182"/>
        <v>1.0682447123141398E-12</v>
      </c>
      <c r="FH175" s="22">
        <f t="shared" si="183"/>
        <v>1.978932943548152E-12</v>
      </c>
      <c r="FI175" s="62">
        <f t="shared" si="131"/>
        <v>286.4653594260443</v>
      </c>
      <c r="FJ175" s="62">
        <f ca="1">AVERAGE(OFFSET($FI$3,0,0,'Données projet'!$E$16+1,1))-AVERAGE(OFFSET($H$3,0,0,'Données projet'!$E$16+1,1))</f>
        <v>341.70983624543067</v>
      </c>
      <c r="FK175" s="62">
        <f t="shared" si="156"/>
        <v>250.82562837973805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5.2485150817754491E-21</v>
      </c>
      <c r="FT175" s="24">
        <f t="shared" si="184"/>
        <v>5.2485150817754491E-21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-2.2737367544323206E-13</v>
      </c>
      <c r="GA175" s="18">
        <f>FZ175*VLOOKUP('Données projet'!$B$17,Paramètres!$A$1:$I$89,3,0)*VLOOKUP('Données projet'!$B$17,Paramètres!$A$1:$I$89,5,0)</f>
        <v>-1.064108801074326E-13</v>
      </c>
      <c r="GB175" s="14" t="e">
        <f t="shared" si="185"/>
        <v>#NUM!</v>
      </c>
      <c r="GC175" s="22" t="e">
        <f t="shared" si="186"/>
        <v>#NUM!</v>
      </c>
      <c r="GD175" s="62" t="e">
        <f t="shared" si="134"/>
        <v>#NUM!</v>
      </c>
      <c r="GE175" s="62">
        <f ca="1">AVERAGE(OFFSET($GD$3,0,0,'Données projet'!$E$17+1,1))-AVERAGE(OFFSET($H$3,0,0,'Données projet'!$E$17+1,1))</f>
        <v>368.69628434154333</v>
      </c>
      <c r="GF175" s="62">
        <f t="shared" si="158"/>
        <v>202.28197295839524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-1.1368683772161603E-13</v>
      </c>
      <c r="GV175" s="18">
        <f>GU175*VLOOKUP('Données projet'!$B$18,Paramètres!$A$1:$I$89,3,0)*VLOOKUP('Données projet'!$B$18,Paramètres!$A$1:$I$89,5,0)</f>
        <v>-9.9316821433603781E-14</v>
      </c>
      <c r="GW175" s="14" t="e">
        <f t="shared" si="188"/>
        <v>#NUM!</v>
      </c>
      <c r="GX175" s="22" t="e">
        <f t="shared" si="189"/>
        <v>#NUM!</v>
      </c>
      <c r="GY175" s="62" t="e">
        <f t="shared" si="137"/>
        <v>#NUM!</v>
      </c>
      <c r="GZ175" s="62">
        <f ca="1">AVERAGE(OFFSET($GY$3,0,0,'Données projet'!$E$18+1,1))-AVERAGE(OFFSET($H$3,0,0,'Données projet'!$E$18+1,1))</f>
        <v>378.51861272969165</v>
      </c>
      <c r="HA175" s="62">
        <f t="shared" si="160"/>
        <v>387.42368617035459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0</v>
      </c>
      <c r="HH175" s="23">
        <f>EXP(-LN(2)/25)*HH174+(1-EXP(-LN(2)/25))/(LN(2)/25)*Calculateur!HC175*Calculateur!HE175*VLOOKUP('Données projet'!$B$18,Paramètres!$A$1:$I$89,3,0)*0.475*44/12</f>
        <v>0</v>
      </c>
      <c r="HI175" s="23">
        <f>EXP(-LN(2)/2)*HI174+(1-EXP(-LN(2)/2))/(LN(2)/2)*HC175*HF175*VLOOKUP('Données projet'!$B$18,Paramètres!$A$1:$I$89,3,0)*0.475*44/12</f>
        <v>0</v>
      </c>
      <c r="HJ175" s="24">
        <f t="shared" si="190"/>
        <v>0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135.66666666666666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286.58450341884634</v>
      </c>
      <c r="S176" s="62">
        <f ca="1">AVERAGE(OFFSET($R$3,0,0,'Données projet'!$E$9+1,1))-AVERAGE(OFFSET($H$3,0,0,'Données projet'!$E$9+1,1))</f>
        <v>437.94016462147999</v>
      </c>
      <c r="T176" s="62">
        <f t="shared" si="142"/>
        <v>281.88254003380348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2.4521838051818533E-21</v>
      </c>
      <c r="AC176" s="24">
        <f t="shared" si="163"/>
        <v>2.4521838051818533E-21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1.0286385077051818E-13</v>
      </c>
      <c r="AK176" s="14">
        <f t="shared" si="164"/>
        <v>1.5402366592183556E-12</v>
      </c>
      <c r="AL176" s="22">
        <f t="shared" si="165"/>
        <v>2.8617333882306215E-12</v>
      </c>
      <c r="AM176" s="62">
        <f t="shared" si="113"/>
        <v>286.58450341884719</v>
      </c>
      <c r="AN176" s="62">
        <f ca="1">AVERAGE(OFFSET($AM$3,0,0,'Données projet'!$E$10+1,1))-AVERAGE(OFFSET($H$3,0,0,'Données projet'!$E$10+1,1))</f>
        <v>434.56763649859136</v>
      </c>
      <c r="AO176" s="62">
        <f t="shared" si="144"/>
        <v>271.90302066766264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6.7984728957526396E-14</v>
      </c>
      <c r="BF176" s="14">
        <f t="shared" si="167"/>
        <v>1.0682447123141398E-12</v>
      </c>
      <c r="BG176" s="22">
        <f t="shared" si="168"/>
        <v>1.978932943548152E-12</v>
      </c>
      <c r="BH176" s="62">
        <f t="shared" si="116"/>
        <v>286.58450341884634</v>
      </c>
      <c r="BI176" s="62">
        <f ca="1">AVERAGE(OFFSET($BH$3,0,0,'Données projet'!$E$11+1,1))-AVERAGE(OFFSET($H$3,0,0,'Données projet'!$E$11+1,1))</f>
        <v>199.65420589615553</v>
      </c>
      <c r="BJ176" s="62">
        <f t="shared" si="146"/>
        <v>477.85821088970999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3.1402984209619826</v>
      </c>
      <c r="BQ176" s="23">
        <f>EXP(-LN(2)/25)*BQ175+(1-EXP(-LN(2)/25))/(LN(2)/25)*Calculateur!BL176*Calculateur!BN176*VLOOKUP('Données projet'!$B$11,Paramètres!$A$1:$I$89,3,0)*0.475*44/12</f>
        <v>0.83378790632456146</v>
      </c>
      <c r="BR176" s="23">
        <f>EXP(-LN(2)/2)*BR175+(1-EXP(-LN(2)/2))/(LN(2)/2)*BL176*BO176*VLOOKUP('Données projet'!$B$11,Paramètres!$A$1:$I$89,3,0)*0.475*44/12</f>
        <v>1.3047184431877229E-20</v>
      </c>
      <c r="BS176" s="24">
        <f t="shared" si="169"/>
        <v>3.9740863272865443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1.1368683772161603E-13</v>
      </c>
      <c r="BZ176" s="14">
        <f>BY176*VLOOKUP('Données projet'!$B$12,Paramètres!$A$1:$I$89,3,0)*VLOOKUP('Données projet'!$B$12,Paramètres!$A$1:$I$89,5,0)</f>
        <v>6.7984728957526396E-14</v>
      </c>
      <c r="CA176" s="14">
        <f t="shared" si="170"/>
        <v>1.0682447123141398E-12</v>
      </c>
      <c r="CB176" s="22">
        <f t="shared" si="171"/>
        <v>1.978932943548152E-12</v>
      </c>
      <c r="CC176" s="62">
        <f t="shared" si="119"/>
        <v>286.58450341884634</v>
      </c>
      <c r="CD176" s="62">
        <f ca="1">AVERAGE(OFFSET($CC$3,0,0,'Données projet'!$E$12+1,1))-AVERAGE(OFFSET($H$3,0,0,'Données projet'!$E$12+1,1))</f>
        <v>437.94016462147999</v>
      </c>
      <c r="CE176" s="62">
        <f t="shared" si="148"/>
        <v>281.88254003380348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2.4521838051818533E-21</v>
      </c>
      <c r="CN176" s="24">
        <f t="shared" si="172"/>
        <v>2.4521838051818533E-21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1.1368683772161603E-13</v>
      </c>
      <c r="CU176" s="18">
        <f>CT176*VLOOKUP('Données projet'!$B$13,Paramètres!$A$1:$I$89,3,0)*VLOOKUP('Données projet'!$B$13,Paramètres!$A$1:$I$89,5,0)</f>
        <v>1.2946657079737634E-13</v>
      </c>
      <c r="CV176" s="14">
        <f t="shared" si="173"/>
        <v>1.8873591890224769E-12</v>
      </c>
      <c r="CW176" s="22">
        <f t="shared" si="174"/>
        <v>3.5126381983529106E-12</v>
      </c>
      <c r="CX176" s="62">
        <f t="shared" si="122"/>
        <v>286.58450341884787</v>
      </c>
      <c r="CY176" s="62">
        <f ca="1">AVERAGE(OFFSET($CX$3,0,0,'Données projet'!$E$13+1,1))-AVERAGE(OFFSET($H$3,0,0,'Données projet'!$E$13+1,1))</f>
        <v>520.23742527061836</v>
      </c>
      <c r="CZ176" s="62">
        <f t="shared" si="150"/>
        <v>321.35925479331274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>
        <f>DO176*VLOOKUP('Données projet'!$B$14,Paramètres!$A$1:$I$89,3,0)*VLOOKUP('Données projet'!$B$14,Paramètres!$A$1:$I$89,5,0)</f>
        <v>0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547.89540791313675</v>
      </c>
      <c r="DU176" s="62">
        <f t="shared" si="152"/>
        <v>345.19555189302378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5.6843418860808015E-14</v>
      </c>
      <c r="EK176" s="18">
        <f>EJ176*VLOOKUP('Données projet'!$B$15,Paramètres!$A$1:$I$89,3,0)*VLOOKUP('Données projet'!$B$15,Paramètres!$A$1:$I$89,5,0)</f>
        <v>5.9412741393316544E-14</v>
      </c>
      <c r="EL176" s="14">
        <f t="shared" si="179"/>
        <v>9.483138037075782E-13</v>
      </c>
      <c r="EM176" s="22">
        <f t="shared" si="180"/>
        <v>1.7551237327173916E-12</v>
      </c>
      <c r="EN176" s="62">
        <f t="shared" si="128"/>
        <v>286.58450341884611</v>
      </c>
      <c r="EO176" s="62">
        <f ca="1">AVERAGE(OFFSET($EN$3,0,0,'Données projet'!$E$15+1,1))-AVERAGE(OFFSET($H$3,0,0,'Données projet'!$E$15+1,1))</f>
        <v>418.23737352070503</v>
      </c>
      <c r="EP176" s="62">
        <f t="shared" si="154"/>
        <v>496.10742685332968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1.1368683772161603E-13</v>
      </c>
      <c r="FF176" s="18">
        <f>FE176*VLOOKUP('Données projet'!$B$16,Paramètres!$A$1:$I$89,3,0)*VLOOKUP('Données projet'!$B$16,Paramètres!$A$1:$I$89,5,0)</f>
        <v>6.7984728957526396E-14</v>
      </c>
      <c r="FG176" s="14">
        <f t="shared" si="182"/>
        <v>1.0682447123141398E-12</v>
      </c>
      <c r="FH176" s="22">
        <f t="shared" si="183"/>
        <v>1.978932943548152E-12</v>
      </c>
      <c r="FI176" s="62">
        <f t="shared" si="131"/>
        <v>286.58450341884634</v>
      </c>
      <c r="FJ176" s="62">
        <f ca="1">AVERAGE(OFFSET($FI$3,0,0,'Données projet'!$E$16+1,1))-AVERAGE(OFFSET($H$3,0,0,'Données projet'!$E$16+1,1))</f>
        <v>341.70983624543067</v>
      </c>
      <c r="FK176" s="62">
        <f t="shared" si="156"/>
        <v>250.82562837973805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3.711260605483287E-21</v>
      </c>
      <c r="FT176" s="24">
        <f t="shared" si="184"/>
        <v>3.711260605483287E-21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-2.2737367544323206E-13</v>
      </c>
      <c r="GA176" s="18">
        <f>FZ176*VLOOKUP('Données projet'!$B$17,Paramètres!$A$1:$I$89,3,0)*VLOOKUP('Données projet'!$B$17,Paramètres!$A$1:$I$89,5,0)</f>
        <v>-1.064108801074326E-13</v>
      </c>
      <c r="GB176" s="14" t="e">
        <f t="shared" si="185"/>
        <v>#NUM!</v>
      </c>
      <c r="GC176" s="22" t="e">
        <f t="shared" si="186"/>
        <v>#NUM!</v>
      </c>
      <c r="GD176" s="62" t="e">
        <f t="shared" si="134"/>
        <v>#NUM!</v>
      </c>
      <c r="GE176" s="62">
        <f ca="1">AVERAGE(OFFSET($GD$3,0,0,'Données projet'!$E$17+1,1))-AVERAGE(OFFSET($H$3,0,0,'Données projet'!$E$17+1,1))</f>
        <v>368.69628434154333</v>
      </c>
      <c r="GF176" s="62">
        <f t="shared" si="158"/>
        <v>202.28197295839524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-1.1368683772161603E-13</v>
      </c>
      <c r="GV176" s="18">
        <f>GU176*VLOOKUP('Données projet'!$B$18,Paramètres!$A$1:$I$89,3,0)*VLOOKUP('Données projet'!$B$18,Paramètres!$A$1:$I$89,5,0)</f>
        <v>-9.9316821433603781E-14</v>
      </c>
      <c r="GW176" s="14" t="e">
        <f t="shared" si="188"/>
        <v>#NUM!</v>
      </c>
      <c r="GX176" s="22" t="e">
        <f t="shared" si="189"/>
        <v>#NUM!</v>
      </c>
      <c r="GY176" s="62" t="e">
        <f t="shared" si="137"/>
        <v>#NUM!</v>
      </c>
      <c r="GZ176" s="62">
        <f ca="1">AVERAGE(OFFSET($GY$3,0,0,'Données projet'!$E$18+1,1))-AVERAGE(OFFSET($H$3,0,0,'Données projet'!$E$18+1,1))</f>
        <v>378.51861272969165</v>
      </c>
      <c r="HA176" s="62">
        <f t="shared" si="160"/>
        <v>387.42368617035459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0</v>
      </c>
      <c r="HH176" s="23">
        <f>EXP(-LN(2)/25)*HH175+(1-EXP(-LN(2)/25))/(LN(2)/25)*Calculateur!HC176*Calculateur!HE176*VLOOKUP('Données projet'!$B$18,Paramètres!$A$1:$I$89,3,0)*0.475*44/12</f>
        <v>0</v>
      </c>
      <c r="HI176" s="23">
        <f>EXP(-LN(2)/2)*HI175+(1-EXP(-LN(2)/2))/(LN(2)/2)*HC176*HF176*VLOOKUP('Données projet'!$B$18,Paramètres!$A$1:$I$89,3,0)*0.475*44/12</f>
        <v>0</v>
      </c>
      <c r="HJ176" s="24">
        <f t="shared" si="190"/>
        <v>0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135.66666666666666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286.70158052973943</v>
      </c>
      <c r="S177" s="62">
        <f ca="1">AVERAGE(OFFSET($R$3,0,0,'Données projet'!$E$9+1,1))-AVERAGE(OFFSET($H$3,0,0,'Données projet'!$E$9+1,1))</f>
        <v>437.94016462147999</v>
      </c>
      <c r="T177" s="62">
        <f t="shared" si="142"/>
        <v>281.88254003380348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1.7339557973599202E-21</v>
      </c>
      <c r="AC177" s="24">
        <f t="shared" si="163"/>
        <v>1.7339557973599202E-21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1.0286385077051818E-13</v>
      </c>
      <c r="AK177" s="14">
        <f t="shared" si="164"/>
        <v>1.5402366592183556E-12</v>
      </c>
      <c r="AL177" s="22">
        <f t="shared" si="165"/>
        <v>2.8617333882306215E-12</v>
      </c>
      <c r="AM177" s="62">
        <f t="shared" si="113"/>
        <v>286.70158052974028</v>
      </c>
      <c r="AN177" s="62">
        <f ca="1">AVERAGE(OFFSET($AM$3,0,0,'Données projet'!$E$10+1,1))-AVERAGE(OFFSET($H$3,0,0,'Données projet'!$E$10+1,1))</f>
        <v>434.56763649859136</v>
      </c>
      <c r="AO177" s="62">
        <f t="shared" si="144"/>
        <v>271.90302066766264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6.7984728957526396E-14</v>
      </c>
      <c r="BF177" s="14">
        <f t="shared" si="167"/>
        <v>1.0682447123141398E-12</v>
      </c>
      <c r="BG177" s="22">
        <f t="shared" si="168"/>
        <v>1.978932943548152E-12</v>
      </c>
      <c r="BH177" s="62">
        <f t="shared" si="116"/>
        <v>286.70158052973943</v>
      </c>
      <c r="BI177" s="62">
        <f ca="1">AVERAGE(OFFSET($BH$3,0,0,'Données projet'!$E$11+1,1))-AVERAGE(OFFSET($H$3,0,0,'Données projet'!$E$11+1,1))</f>
        <v>199.65420589615553</v>
      </c>
      <c r="BJ177" s="62">
        <f t="shared" si="146"/>
        <v>477.85821088970999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3.0787190843198258</v>
      </c>
      <c r="BQ177" s="23">
        <f>EXP(-LN(2)/25)*BQ176+(1-EXP(-LN(2)/25))/(LN(2)/25)*Calculateur!BL177*Calculateur!BN177*VLOOKUP('Données projet'!$B$11,Paramètres!$A$1:$I$89,3,0)*0.475*44/12</f>
        <v>0.81098793217911602</v>
      </c>
      <c r="BR177" s="23">
        <f>EXP(-LN(2)/2)*BR176+(1-EXP(-LN(2)/2))/(LN(2)/2)*BL177*BO177*VLOOKUP('Données projet'!$B$11,Paramètres!$A$1:$I$89,3,0)*0.475*44/12</f>
        <v>9.2257525871719414E-21</v>
      </c>
      <c r="BS177" s="24">
        <f t="shared" si="169"/>
        <v>3.8897070164989418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1.1368683772161603E-13</v>
      </c>
      <c r="BZ177" s="14">
        <f>BY177*VLOOKUP('Données projet'!$B$12,Paramètres!$A$1:$I$89,3,0)*VLOOKUP('Données projet'!$B$12,Paramètres!$A$1:$I$89,5,0)</f>
        <v>6.7984728957526396E-14</v>
      </c>
      <c r="CA177" s="14">
        <f t="shared" si="170"/>
        <v>1.0682447123141398E-12</v>
      </c>
      <c r="CB177" s="22">
        <f t="shared" si="171"/>
        <v>1.978932943548152E-12</v>
      </c>
      <c r="CC177" s="62">
        <f t="shared" si="119"/>
        <v>286.70158052973943</v>
      </c>
      <c r="CD177" s="62">
        <f ca="1">AVERAGE(OFFSET($CC$3,0,0,'Données projet'!$E$12+1,1))-AVERAGE(OFFSET($H$3,0,0,'Données projet'!$E$12+1,1))</f>
        <v>437.94016462147999</v>
      </c>
      <c r="CE177" s="62">
        <f t="shared" si="148"/>
        <v>281.88254003380348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1.7339557973599202E-21</v>
      </c>
      <c r="CN177" s="24">
        <f t="shared" si="172"/>
        <v>1.7339557973599202E-21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1.1368683772161603E-13</v>
      </c>
      <c r="CU177" s="18">
        <f>CT177*VLOOKUP('Données projet'!$B$13,Paramètres!$A$1:$I$89,3,0)*VLOOKUP('Données projet'!$B$13,Paramètres!$A$1:$I$89,5,0)</f>
        <v>1.2946657079737634E-13</v>
      </c>
      <c r="CV177" s="14">
        <f t="shared" si="173"/>
        <v>1.8873591890224769E-12</v>
      </c>
      <c r="CW177" s="22">
        <f t="shared" si="174"/>
        <v>3.5126381983529106E-12</v>
      </c>
      <c r="CX177" s="62">
        <f t="shared" si="122"/>
        <v>286.70158052974097</v>
      </c>
      <c r="CY177" s="62">
        <f ca="1">AVERAGE(OFFSET($CX$3,0,0,'Données projet'!$E$13+1,1))-AVERAGE(OFFSET($H$3,0,0,'Données projet'!$E$13+1,1))</f>
        <v>520.23742527061836</v>
      </c>
      <c r="CZ177" s="62">
        <f t="shared" si="150"/>
        <v>321.35925479331274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>
        <f>DO177*VLOOKUP('Données projet'!$B$14,Paramètres!$A$1:$I$89,3,0)*VLOOKUP('Données projet'!$B$14,Paramètres!$A$1:$I$89,5,0)</f>
        <v>0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547.89540791313675</v>
      </c>
      <c r="DU177" s="62">
        <f t="shared" si="152"/>
        <v>345.19555189302378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5.6843418860808015E-14</v>
      </c>
      <c r="EK177" s="18">
        <f>EJ177*VLOOKUP('Données projet'!$B$15,Paramètres!$A$1:$I$89,3,0)*VLOOKUP('Données projet'!$B$15,Paramètres!$A$1:$I$89,5,0)</f>
        <v>5.9412741393316544E-14</v>
      </c>
      <c r="EL177" s="14">
        <f t="shared" si="179"/>
        <v>9.483138037075782E-13</v>
      </c>
      <c r="EM177" s="22">
        <f t="shared" si="180"/>
        <v>1.7551237327173916E-12</v>
      </c>
      <c r="EN177" s="62">
        <f t="shared" si="128"/>
        <v>286.7015805297392</v>
      </c>
      <c r="EO177" s="62">
        <f ca="1">AVERAGE(OFFSET($EN$3,0,0,'Données projet'!$E$15+1,1))-AVERAGE(OFFSET($H$3,0,0,'Données projet'!$E$15+1,1))</f>
        <v>418.23737352070503</v>
      </c>
      <c r="EP177" s="62">
        <f t="shared" si="154"/>
        <v>496.10742685332968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1.1368683772161603E-13</v>
      </c>
      <c r="FF177" s="18">
        <f>FE177*VLOOKUP('Données projet'!$B$16,Paramètres!$A$1:$I$89,3,0)*VLOOKUP('Données projet'!$B$16,Paramètres!$A$1:$I$89,5,0)</f>
        <v>6.7984728957526396E-14</v>
      </c>
      <c r="FG177" s="14">
        <f t="shared" si="182"/>
        <v>1.0682447123141398E-12</v>
      </c>
      <c r="FH177" s="22">
        <f t="shared" si="183"/>
        <v>1.978932943548152E-12</v>
      </c>
      <c r="FI177" s="62">
        <f t="shared" si="131"/>
        <v>286.70158052973943</v>
      </c>
      <c r="FJ177" s="62">
        <f ca="1">AVERAGE(OFFSET($FI$3,0,0,'Données projet'!$E$16+1,1))-AVERAGE(OFFSET($H$3,0,0,'Données projet'!$E$16+1,1))</f>
        <v>341.70983624543067</v>
      </c>
      <c r="FK177" s="62">
        <f t="shared" si="156"/>
        <v>250.82562837973805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2.6242575408877245E-21</v>
      </c>
      <c r="FT177" s="24">
        <f t="shared" si="184"/>
        <v>2.6242575408877245E-21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-2.2737367544323206E-13</v>
      </c>
      <c r="GA177" s="18">
        <f>FZ177*VLOOKUP('Données projet'!$B$17,Paramètres!$A$1:$I$89,3,0)*VLOOKUP('Données projet'!$B$17,Paramètres!$A$1:$I$89,5,0)</f>
        <v>-1.064108801074326E-13</v>
      </c>
      <c r="GB177" s="14" t="e">
        <f t="shared" si="185"/>
        <v>#NUM!</v>
      </c>
      <c r="GC177" s="22" t="e">
        <f t="shared" si="186"/>
        <v>#NUM!</v>
      </c>
      <c r="GD177" s="62" t="e">
        <f t="shared" si="134"/>
        <v>#NUM!</v>
      </c>
      <c r="GE177" s="62">
        <f ca="1">AVERAGE(OFFSET($GD$3,0,0,'Données projet'!$E$17+1,1))-AVERAGE(OFFSET($H$3,0,0,'Données projet'!$E$17+1,1))</f>
        <v>368.69628434154333</v>
      </c>
      <c r="GF177" s="62">
        <f t="shared" si="158"/>
        <v>202.28197295839524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-1.1368683772161603E-13</v>
      </c>
      <c r="GV177" s="18">
        <f>GU177*VLOOKUP('Données projet'!$B$18,Paramètres!$A$1:$I$89,3,0)*VLOOKUP('Données projet'!$B$18,Paramètres!$A$1:$I$89,5,0)</f>
        <v>-9.9316821433603781E-14</v>
      </c>
      <c r="GW177" s="14" t="e">
        <f t="shared" si="188"/>
        <v>#NUM!</v>
      </c>
      <c r="GX177" s="22" t="e">
        <f t="shared" si="189"/>
        <v>#NUM!</v>
      </c>
      <c r="GY177" s="62" t="e">
        <f t="shared" si="137"/>
        <v>#NUM!</v>
      </c>
      <c r="GZ177" s="62">
        <f ca="1">AVERAGE(OFFSET($GY$3,0,0,'Données projet'!$E$18+1,1))-AVERAGE(OFFSET($H$3,0,0,'Données projet'!$E$18+1,1))</f>
        <v>378.51861272969165</v>
      </c>
      <c r="HA177" s="62">
        <f t="shared" si="160"/>
        <v>387.42368617035459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0</v>
      </c>
      <c r="HH177" s="23">
        <f>EXP(-LN(2)/25)*HH176+(1-EXP(-LN(2)/25))/(LN(2)/25)*Calculateur!HC177*Calculateur!HE177*VLOOKUP('Données projet'!$B$18,Paramètres!$A$1:$I$89,3,0)*0.475*44/12</f>
        <v>0</v>
      </c>
      <c r="HI177" s="23">
        <f>EXP(-LN(2)/2)*HI176+(1-EXP(-LN(2)/2))/(LN(2)/2)*HC177*HF177*VLOOKUP('Données projet'!$B$18,Paramètres!$A$1:$I$89,3,0)*0.475*44/12</f>
        <v>0</v>
      </c>
      <c r="HJ177" s="24">
        <f t="shared" si="190"/>
        <v>0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135.66666666666666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286.81662661450366</v>
      </c>
      <c r="S178" s="62">
        <f ca="1">AVERAGE(OFFSET($R$3,0,0,'Données projet'!$E$9+1,1))-AVERAGE(OFFSET($H$3,0,0,'Données projet'!$E$9+1,1))</f>
        <v>437.94016462147999</v>
      </c>
      <c r="T178" s="62">
        <f t="shared" si="142"/>
        <v>281.88254003380348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1.2260919025909267E-21</v>
      </c>
      <c r="AC178" s="24">
        <f t="shared" si="163"/>
        <v>1.2260919025909267E-21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1.0286385077051818E-13</v>
      </c>
      <c r="AK178" s="14">
        <f t="shared" si="164"/>
        <v>1.5402366592183556E-12</v>
      </c>
      <c r="AL178" s="22">
        <f t="shared" si="165"/>
        <v>2.8617333882306215E-12</v>
      </c>
      <c r="AM178" s="62">
        <f t="shared" si="113"/>
        <v>286.81662661450451</v>
      </c>
      <c r="AN178" s="62">
        <f ca="1">AVERAGE(OFFSET($AM$3,0,0,'Données projet'!$E$10+1,1))-AVERAGE(OFFSET($H$3,0,0,'Données projet'!$E$10+1,1))</f>
        <v>434.56763649859136</v>
      </c>
      <c r="AO178" s="62">
        <f t="shared" si="144"/>
        <v>271.90302066766264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6.7984728957526396E-14</v>
      </c>
      <c r="BF178" s="14">
        <f t="shared" si="167"/>
        <v>1.0682447123141398E-12</v>
      </c>
      <c r="BG178" s="22">
        <f t="shared" si="168"/>
        <v>1.978932943548152E-12</v>
      </c>
      <c r="BH178" s="62">
        <f t="shared" si="116"/>
        <v>286.81662661450366</v>
      </c>
      <c r="BI178" s="62">
        <f ca="1">AVERAGE(OFFSET($BH$3,0,0,'Données projet'!$E$11+1,1))-AVERAGE(OFFSET($H$3,0,0,'Données projet'!$E$11+1,1))</f>
        <v>199.65420589615553</v>
      </c>
      <c r="BJ178" s="62">
        <f t="shared" si="146"/>
        <v>477.85821088970999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3.0183472809095346</v>
      </c>
      <c r="BQ178" s="23">
        <f>EXP(-LN(2)/25)*BQ177+(1-EXP(-LN(2)/25))/(LN(2)/25)*Calculateur!BL178*Calculateur!BN178*VLOOKUP('Données projet'!$B$11,Paramètres!$A$1:$I$89,3,0)*0.475*44/12</f>
        <v>0.78881142452567632</v>
      </c>
      <c r="BR178" s="23">
        <f>EXP(-LN(2)/2)*BR177+(1-EXP(-LN(2)/2))/(LN(2)/2)*BL178*BO178*VLOOKUP('Données projet'!$B$11,Paramètres!$A$1:$I$89,3,0)*0.475*44/12</f>
        <v>6.5235922159386147E-21</v>
      </c>
      <c r="BS178" s="24">
        <f t="shared" si="169"/>
        <v>3.807158705435211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1.1368683772161603E-13</v>
      </c>
      <c r="BZ178" s="14">
        <f>BY178*VLOOKUP('Données projet'!$B$12,Paramètres!$A$1:$I$89,3,0)*VLOOKUP('Données projet'!$B$12,Paramètres!$A$1:$I$89,5,0)</f>
        <v>6.7984728957526396E-14</v>
      </c>
      <c r="CA178" s="14">
        <f t="shared" si="170"/>
        <v>1.0682447123141398E-12</v>
      </c>
      <c r="CB178" s="22">
        <f t="shared" si="171"/>
        <v>1.978932943548152E-12</v>
      </c>
      <c r="CC178" s="62">
        <f t="shared" si="119"/>
        <v>286.81662661450366</v>
      </c>
      <c r="CD178" s="62">
        <f ca="1">AVERAGE(OFFSET($CC$3,0,0,'Données projet'!$E$12+1,1))-AVERAGE(OFFSET($H$3,0,0,'Données projet'!$E$12+1,1))</f>
        <v>437.94016462147999</v>
      </c>
      <c r="CE178" s="62">
        <f t="shared" si="148"/>
        <v>281.88254003380348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1.2260919025909267E-21</v>
      </c>
      <c r="CN178" s="24">
        <f t="shared" si="172"/>
        <v>1.2260919025909267E-21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1.1368683772161603E-13</v>
      </c>
      <c r="CU178" s="18">
        <f>CT178*VLOOKUP('Données projet'!$B$13,Paramètres!$A$1:$I$89,3,0)*VLOOKUP('Données projet'!$B$13,Paramètres!$A$1:$I$89,5,0)</f>
        <v>1.2946657079737634E-13</v>
      </c>
      <c r="CV178" s="14">
        <f t="shared" si="173"/>
        <v>1.8873591890224769E-12</v>
      </c>
      <c r="CW178" s="22">
        <f t="shared" si="174"/>
        <v>3.5126381983529106E-12</v>
      </c>
      <c r="CX178" s="62">
        <f t="shared" si="122"/>
        <v>286.8166266145052</v>
      </c>
      <c r="CY178" s="62">
        <f ca="1">AVERAGE(OFFSET($CX$3,0,0,'Données projet'!$E$13+1,1))-AVERAGE(OFFSET($H$3,0,0,'Données projet'!$E$13+1,1))</f>
        <v>520.23742527061836</v>
      </c>
      <c r="CZ178" s="62">
        <f t="shared" si="150"/>
        <v>321.35925479331274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>
        <f>DO178*VLOOKUP('Données projet'!$B$14,Paramètres!$A$1:$I$89,3,0)*VLOOKUP('Données projet'!$B$14,Paramètres!$A$1:$I$89,5,0)</f>
        <v>0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547.89540791313675</v>
      </c>
      <c r="DU178" s="62">
        <f t="shared" si="152"/>
        <v>345.19555189302378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5.6843418860808015E-14</v>
      </c>
      <c r="EK178" s="18">
        <f>EJ178*VLOOKUP('Données projet'!$B$15,Paramètres!$A$1:$I$89,3,0)*VLOOKUP('Données projet'!$B$15,Paramètres!$A$1:$I$89,5,0)</f>
        <v>5.9412741393316544E-14</v>
      </c>
      <c r="EL178" s="14">
        <f t="shared" si="179"/>
        <v>9.483138037075782E-13</v>
      </c>
      <c r="EM178" s="22">
        <f t="shared" si="180"/>
        <v>1.7551237327173916E-12</v>
      </c>
      <c r="EN178" s="62">
        <f t="shared" si="128"/>
        <v>286.81662661450343</v>
      </c>
      <c r="EO178" s="62">
        <f ca="1">AVERAGE(OFFSET($EN$3,0,0,'Données projet'!$E$15+1,1))-AVERAGE(OFFSET($H$3,0,0,'Données projet'!$E$15+1,1))</f>
        <v>418.23737352070503</v>
      </c>
      <c r="EP178" s="62">
        <f t="shared" si="154"/>
        <v>496.10742685332968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1.1368683772161603E-13</v>
      </c>
      <c r="FF178" s="18">
        <f>FE178*VLOOKUP('Données projet'!$B$16,Paramètres!$A$1:$I$89,3,0)*VLOOKUP('Données projet'!$B$16,Paramètres!$A$1:$I$89,5,0)</f>
        <v>6.7984728957526396E-14</v>
      </c>
      <c r="FG178" s="14">
        <f t="shared" si="182"/>
        <v>1.0682447123141398E-12</v>
      </c>
      <c r="FH178" s="22">
        <f t="shared" si="183"/>
        <v>1.978932943548152E-12</v>
      </c>
      <c r="FI178" s="62">
        <f t="shared" si="131"/>
        <v>286.81662661450366</v>
      </c>
      <c r="FJ178" s="62">
        <f ca="1">AVERAGE(OFFSET($FI$3,0,0,'Données projet'!$E$16+1,1))-AVERAGE(OFFSET($H$3,0,0,'Données projet'!$E$16+1,1))</f>
        <v>341.70983624543067</v>
      </c>
      <c r="FK178" s="62">
        <f t="shared" si="156"/>
        <v>250.82562837973805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1.8556303027416435E-21</v>
      </c>
      <c r="FT178" s="24">
        <f t="shared" si="184"/>
        <v>1.8556303027416435E-21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-2.2737367544323206E-13</v>
      </c>
      <c r="GA178" s="18">
        <f>FZ178*VLOOKUP('Données projet'!$B$17,Paramètres!$A$1:$I$89,3,0)*VLOOKUP('Données projet'!$B$17,Paramètres!$A$1:$I$89,5,0)</f>
        <v>-1.064108801074326E-13</v>
      </c>
      <c r="GB178" s="14" t="e">
        <f t="shared" si="185"/>
        <v>#NUM!</v>
      </c>
      <c r="GC178" s="22" t="e">
        <f t="shared" si="186"/>
        <v>#NUM!</v>
      </c>
      <c r="GD178" s="62" t="e">
        <f t="shared" si="134"/>
        <v>#NUM!</v>
      </c>
      <c r="GE178" s="62">
        <f ca="1">AVERAGE(OFFSET($GD$3,0,0,'Données projet'!$E$17+1,1))-AVERAGE(OFFSET($H$3,0,0,'Données projet'!$E$17+1,1))</f>
        <v>368.69628434154333</v>
      </c>
      <c r="GF178" s="62">
        <f t="shared" si="158"/>
        <v>202.28197295839524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-1.1368683772161603E-13</v>
      </c>
      <c r="GV178" s="18">
        <f>GU178*VLOOKUP('Données projet'!$B$18,Paramètres!$A$1:$I$89,3,0)*VLOOKUP('Données projet'!$B$18,Paramètres!$A$1:$I$89,5,0)</f>
        <v>-9.9316821433603781E-14</v>
      </c>
      <c r="GW178" s="14" t="e">
        <f t="shared" si="188"/>
        <v>#NUM!</v>
      </c>
      <c r="GX178" s="22" t="e">
        <f t="shared" si="189"/>
        <v>#NUM!</v>
      </c>
      <c r="GY178" s="62" t="e">
        <f t="shared" si="137"/>
        <v>#NUM!</v>
      </c>
      <c r="GZ178" s="62">
        <f ca="1">AVERAGE(OFFSET($GY$3,0,0,'Données projet'!$E$18+1,1))-AVERAGE(OFFSET($H$3,0,0,'Données projet'!$E$18+1,1))</f>
        <v>378.51861272969165</v>
      </c>
      <c r="HA178" s="62">
        <f t="shared" si="160"/>
        <v>387.42368617035459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0</v>
      </c>
      <c r="HH178" s="23">
        <f>EXP(-LN(2)/25)*HH177+(1-EXP(-LN(2)/25))/(LN(2)/25)*Calculateur!HC178*Calculateur!HE178*VLOOKUP('Données projet'!$B$18,Paramètres!$A$1:$I$89,3,0)*0.475*44/12</f>
        <v>0</v>
      </c>
      <c r="HI178" s="23">
        <f>EXP(-LN(2)/2)*HI177+(1-EXP(-LN(2)/2))/(LN(2)/2)*HC178*HF178*VLOOKUP('Données projet'!$B$18,Paramètres!$A$1:$I$89,3,0)*0.475*44/12</f>
        <v>0</v>
      </c>
      <c r="HJ178" s="24">
        <f t="shared" si="190"/>
        <v>0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135.66666666666666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286.92967690690182</v>
      </c>
      <c r="S179" s="62">
        <f ca="1">AVERAGE(OFFSET($R$3,0,0,'Données projet'!$E$9+1,1))-AVERAGE(OFFSET($H$3,0,0,'Données projet'!$E$9+1,1))</f>
        <v>437.94016462147999</v>
      </c>
      <c r="T179" s="62">
        <f t="shared" si="142"/>
        <v>281.88254003380348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8.6697789867996012E-22</v>
      </c>
      <c r="AC179" s="24">
        <f t="shared" si="163"/>
        <v>8.6697789867996012E-22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1.0286385077051818E-13</v>
      </c>
      <c r="AK179" s="14">
        <f t="shared" si="164"/>
        <v>1.5402366592183556E-12</v>
      </c>
      <c r="AL179" s="22">
        <f t="shared" si="165"/>
        <v>2.8617333882306215E-12</v>
      </c>
      <c r="AM179" s="62">
        <f t="shared" si="113"/>
        <v>286.92967690690267</v>
      </c>
      <c r="AN179" s="62">
        <f ca="1">AVERAGE(OFFSET($AM$3,0,0,'Données projet'!$E$10+1,1))-AVERAGE(OFFSET($H$3,0,0,'Données projet'!$E$10+1,1))</f>
        <v>434.56763649859136</v>
      </c>
      <c r="AO179" s="62">
        <f t="shared" si="144"/>
        <v>271.90302066766264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6.7984728957526396E-14</v>
      </c>
      <c r="BF179" s="14">
        <f t="shared" si="167"/>
        <v>1.0682447123141398E-12</v>
      </c>
      <c r="BG179" s="22">
        <f t="shared" si="168"/>
        <v>1.978932943548152E-12</v>
      </c>
      <c r="BH179" s="62">
        <f t="shared" si="116"/>
        <v>286.92967690690182</v>
      </c>
      <c r="BI179" s="62">
        <f ca="1">AVERAGE(OFFSET($BH$3,0,0,'Données projet'!$E$11+1,1))-AVERAGE(OFFSET($H$3,0,0,'Données projet'!$E$11+1,1))</f>
        <v>199.65420589615553</v>
      </c>
      <c r="BJ179" s="62">
        <f t="shared" si="146"/>
        <v>477.85821088970999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2.9591593317409552</v>
      </c>
      <c r="BQ179" s="23">
        <f>EXP(-LN(2)/25)*BQ178+(1-EXP(-LN(2)/25))/(LN(2)/25)*Calculateur!BL179*Calculateur!BN179*VLOOKUP('Données projet'!$B$11,Paramètres!$A$1:$I$89,3,0)*0.475*44/12</f>
        <v>0.7672413346402317</v>
      </c>
      <c r="BR179" s="23">
        <f>EXP(-LN(2)/2)*BR178+(1-EXP(-LN(2)/2))/(LN(2)/2)*BL179*BO179*VLOOKUP('Données projet'!$B$11,Paramètres!$A$1:$I$89,3,0)*0.475*44/12</f>
        <v>4.6128762935859707E-21</v>
      </c>
      <c r="BS179" s="24">
        <f t="shared" si="169"/>
        <v>3.7264006663811871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1.1368683772161603E-13</v>
      </c>
      <c r="BZ179" s="14">
        <f>BY179*VLOOKUP('Données projet'!$B$12,Paramètres!$A$1:$I$89,3,0)*VLOOKUP('Données projet'!$B$12,Paramètres!$A$1:$I$89,5,0)</f>
        <v>6.7984728957526396E-14</v>
      </c>
      <c r="CA179" s="14">
        <f t="shared" si="170"/>
        <v>1.0682447123141398E-12</v>
      </c>
      <c r="CB179" s="22">
        <f t="shared" si="171"/>
        <v>1.978932943548152E-12</v>
      </c>
      <c r="CC179" s="62">
        <f t="shared" si="119"/>
        <v>286.92967690690182</v>
      </c>
      <c r="CD179" s="62">
        <f ca="1">AVERAGE(OFFSET($CC$3,0,0,'Données projet'!$E$12+1,1))-AVERAGE(OFFSET($H$3,0,0,'Données projet'!$E$12+1,1))</f>
        <v>437.94016462147999</v>
      </c>
      <c r="CE179" s="62">
        <f t="shared" si="148"/>
        <v>281.88254003380348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8.6697789867996012E-22</v>
      </c>
      <c r="CN179" s="24">
        <f t="shared" si="172"/>
        <v>8.6697789867996012E-22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1.1368683772161603E-13</v>
      </c>
      <c r="CU179" s="18">
        <f>CT179*VLOOKUP('Données projet'!$B$13,Paramètres!$A$1:$I$89,3,0)*VLOOKUP('Données projet'!$B$13,Paramètres!$A$1:$I$89,5,0)</f>
        <v>1.2946657079737634E-13</v>
      </c>
      <c r="CV179" s="14">
        <f t="shared" si="173"/>
        <v>1.8873591890224769E-12</v>
      </c>
      <c r="CW179" s="22">
        <f t="shared" si="174"/>
        <v>3.5126381983529106E-12</v>
      </c>
      <c r="CX179" s="62">
        <f t="shared" si="122"/>
        <v>286.92967690690335</v>
      </c>
      <c r="CY179" s="62">
        <f ca="1">AVERAGE(OFFSET($CX$3,0,0,'Données projet'!$E$13+1,1))-AVERAGE(OFFSET($H$3,0,0,'Données projet'!$E$13+1,1))</f>
        <v>520.23742527061836</v>
      </c>
      <c r="CZ179" s="62">
        <f t="shared" si="150"/>
        <v>321.35925479331274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>
        <f>DO179*VLOOKUP('Données projet'!$B$14,Paramètres!$A$1:$I$89,3,0)*VLOOKUP('Données projet'!$B$14,Paramètres!$A$1:$I$89,5,0)</f>
        <v>0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547.89540791313675</v>
      </c>
      <c r="DU179" s="62">
        <f t="shared" si="152"/>
        <v>345.19555189302378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5.6843418860808015E-14</v>
      </c>
      <c r="EK179" s="18">
        <f>EJ179*VLOOKUP('Données projet'!$B$15,Paramètres!$A$1:$I$89,3,0)*VLOOKUP('Données projet'!$B$15,Paramètres!$A$1:$I$89,5,0)</f>
        <v>5.9412741393316544E-14</v>
      </c>
      <c r="EL179" s="14">
        <f t="shared" si="179"/>
        <v>9.483138037075782E-13</v>
      </c>
      <c r="EM179" s="22">
        <f t="shared" si="180"/>
        <v>1.7551237327173916E-12</v>
      </c>
      <c r="EN179" s="62">
        <f t="shared" si="128"/>
        <v>286.92967690690159</v>
      </c>
      <c r="EO179" s="62">
        <f ca="1">AVERAGE(OFFSET($EN$3,0,0,'Données projet'!$E$15+1,1))-AVERAGE(OFFSET($H$3,0,0,'Données projet'!$E$15+1,1))</f>
        <v>418.23737352070503</v>
      </c>
      <c r="EP179" s="62">
        <f t="shared" si="154"/>
        <v>496.10742685332968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1.1368683772161603E-13</v>
      </c>
      <c r="FF179" s="18">
        <f>FE179*VLOOKUP('Données projet'!$B$16,Paramètres!$A$1:$I$89,3,0)*VLOOKUP('Données projet'!$B$16,Paramètres!$A$1:$I$89,5,0)</f>
        <v>6.7984728957526396E-14</v>
      </c>
      <c r="FG179" s="14">
        <f t="shared" si="182"/>
        <v>1.0682447123141398E-12</v>
      </c>
      <c r="FH179" s="22">
        <f t="shared" si="183"/>
        <v>1.978932943548152E-12</v>
      </c>
      <c r="FI179" s="62">
        <f t="shared" si="131"/>
        <v>286.92967690690182</v>
      </c>
      <c r="FJ179" s="62">
        <f ca="1">AVERAGE(OFFSET($FI$3,0,0,'Données projet'!$E$16+1,1))-AVERAGE(OFFSET($H$3,0,0,'Données projet'!$E$16+1,1))</f>
        <v>341.70983624543067</v>
      </c>
      <c r="FK179" s="62">
        <f t="shared" si="156"/>
        <v>250.82562837973805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1.3121287704438623E-21</v>
      </c>
      <c r="FT179" s="24">
        <f t="shared" si="184"/>
        <v>1.3121287704438623E-21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-2.2737367544323206E-13</v>
      </c>
      <c r="GA179" s="18">
        <f>FZ179*VLOOKUP('Données projet'!$B$17,Paramètres!$A$1:$I$89,3,0)*VLOOKUP('Données projet'!$B$17,Paramètres!$A$1:$I$89,5,0)</f>
        <v>-1.064108801074326E-13</v>
      </c>
      <c r="GB179" s="14" t="e">
        <f t="shared" si="185"/>
        <v>#NUM!</v>
      </c>
      <c r="GC179" s="22" t="e">
        <f t="shared" si="186"/>
        <v>#NUM!</v>
      </c>
      <c r="GD179" s="62" t="e">
        <f t="shared" si="134"/>
        <v>#NUM!</v>
      </c>
      <c r="GE179" s="62">
        <f ca="1">AVERAGE(OFFSET($GD$3,0,0,'Données projet'!$E$17+1,1))-AVERAGE(OFFSET($H$3,0,0,'Données projet'!$E$17+1,1))</f>
        <v>368.69628434154333</v>
      </c>
      <c r="GF179" s="62">
        <f t="shared" si="158"/>
        <v>202.28197295839524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-1.1368683772161603E-13</v>
      </c>
      <c r="GV179" s="18">
        <f>GU179*VLOOKUP('Données projet'!$B$18,Paramètres!$A$1:$I$89,3,0)*VLOOKUP('Données projet'!$B$18,Paramètres!$A$1:$I$89,5,0)</f>
        <v>-9.9316821433603781E-14</v>
      </c>
      <c r="GW179" s="14" t="e">
        <f t="shared" si="188"/>
        <v>#NUM!</v>
      </c>
      <c r="GX179" s="22" t="e">
        <f t="shared" si="189"/>
        <v>#NUM!</v>
      </c>
      <c r="GY179" s="62" t="e">
        <f t="shared" si="137"/>
        <v>#NUM!</v>
      </c>
      <c r="GZ179" s="62">
        <f ca="1">AVERAGE(OFFSET($GY$3,0,0,'Données projet'!$E$18+1,1))-AVERAGE(OFFSET($H$3,0,0,'Données projet'!$E$18+1,1))</f>
        <v>378.51861272969165</v>
      </c>
      <c r="HA179" s="62">
        <f t="shared" si="160"/>
        <v>387.42368617035459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0</v>
      </c>
      <c r="HH179" s="23">
        <f>EXP(-LN(2)/25)*HH178+(1-EXP(-LN(2)/25))/(LN(2)/25)*Calculateur!HC179*Calculateur!HE179*VLOOKUP('Données projet'!$B$18,Paramètres!$A$1:$I$89,3,0)*0.475*44/12</f>
        <v>0</v>
      </c>
      <c r="HI179" s="23">
        <f>EXP(-LN(2)/2)*HI178+(1-EXP(-LN(2)/2))/(LN(2)/2)*HC179*HF179*VLOOKUP('Données projet'!$B$18,Paramètres!$A$1:$I$89,3,0)*0.475*44/12</f>
        <v>0</v>
      </c>
      <c r="HJ179" s="24">
        <f t="shared" si="190"/>
        <v>0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135.66666666666666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287.04076602946941</v>
      </c>
      <c r="S180" s="62">
        <f ca="1">AVERAGE(OFFSET($R$3,0,0,'Données projet'!$E$9+1,1))-AVERAGE(OFFSET($H$3,0,0,'Données projet'!$E$9+1,1))</f>
        <v>437.94016462147999</v>
      </c>
      <c r="T180" s="62">
        <f t="shared" si="142"/>
        <v>281.88254003380348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6.1304595129546333E-22</v>
      </c>
      <c r="AC180" s="24">
        <f t="shared" si="163"/>
        <v>6.1304595129546333E-22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1.0286385077051818E-13</v>
      </c>
      <c r="AK180" s="14">
        <f t="shared" si="164"/>
        <v>1.5402366592183556E-12</v>
      </c>
      <c r="AL180" s="22">
        <f t="shared" si="165"/>
        <v>2.8617333882306215E-12</v>
      </c>
      <c r="AM180" s="62">
        <f t="shared" si="113"/>
        <v>287.04076602947026</v>
      </c>
      <c r="AN180" s="62">
        <f ca="1">AVERAGE(OFFSET($AM$3,0,0,'Données projet'!$E$10+1,1))-AVERAGE(OFFSET($H$3,0,0,'Données projet'!$E$10+1,1))</f>
        <v>434.56763649859136</v>
      </c>
      <c r="AO180" s="62">
        <f t="shared" si="144"/>
        <v>271.90302066766264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6.7984728957526396E-14</v>
      </c>
      <c r="BF180" s="14">
        <f t="shared" si="167"/>
        <v>1.0682447123141398E-12</v>
      </c>
      <c r="BG180" s="22">
        <f t="shared" si="168"/>
        <v>1.978932943548152E-12</v>
      </c>
      <c r="BH180" s="62">
        <f t="shared" si="116"/>
        <v>287.04076602946941</v>
      </c>
      <c r="BI180" s="62">
        <f ca="1">AVERAGE(OFFSET($BH$3,0,0,'Données projet'!$E$11+1,1))-AVERAGE(OFFSET($H$3,0,0,'Données projet'!$E$11+1,1))</f>
        <v>199.65420589615553</v>
      </c>
      <c r="BJ180" s="62">
        <f t="shared" si="146"/>
        <v>477.85821088970999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2.9011320221544876</v>
      </c>
      <c r="BQ180" s="23">
        <f>EXP(-LN(2)/25)*BQ179+(1-EXP(-LN(2)/25))/(LN(2)/25)*Calculateur!BL180*Calculateur!BN180*VLOOKUP('Données projet'!$B$11,Paramètres!$A$1:$I$89,3,0)*0.475*44/12</f>
        <v>0.74626107999702629</v>
      </c>
      <c r="BR180" s="23">
        <f>EXP(-LN(2)/2)*BR179+(1-EXP(-LN(2)/2))/(LN(2)/2)*BL180*BO180*VLOOKUP('Données projet'!$B$11,Paramètres!$A$1:$I$89,3,0)*0.475*44/12</f>
        <v>3.2617961079693074E-21</v>
      </c>
      <c r="BS180" s="24">
        <f t="shared" si="169"/>
        <v>3.647393102151514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1.1368683772161603E-13</v>
      </c>
      <c r="BZ180" s="14">
        <f>BY180*VLOOKUP('Données projet'!$B$12,Paramètres!$A$1:$I$89,3,0)*VLOOKUP('Données projet'!$B$12,Paramètres!$A$1:$I$89,5,0)</f>
        <v>6.7984728957526396E-14</v>
      </c>
      <c r="CA180" s="14">
        <f t="shared" si="170"/>
        <v>1.0682447123141398E-12</v>
      </c>
      <c r="CB180" s="22">
        <f t="shared" si="171"/>
        <v>1.978932943548152E-12</v>
      </c>
      <c r="CC180" s="62">
        <f t="shared" si="119"/>
        <v>287.04076602946941</v>
      </c>
      <c r="CD180" s="62">
        <f ca="1">AVERAGE(OFFSET($CC$3,0,0,'Données projet'!$E$12+1,1))-AVERAGE(OFFSET($H$3,0,0,'Données projet'!$E$12+1,1))</f>
        <v>437.94016462147999</v>
      </c>
      <c r="CE180" s="62">
        <f t="shared" si="148"/>
        <v>281.88254003380348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6.1304595129546333E-22</v>
      </c>
      <c r="CN180" s="24">
        <f t="shared" si="172"/>
        <v>6.1304595129546333E-22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1.1368683772161603E-13</v>
      </c>
      <c r="CU180" s="18">
        <f>CT180*VLOOKUP('Données projet'!$B$13,Paramètres!$A$1:$I$89,3,0)*VLOOKUP('Données projet'!$B$13,Paramètres!$A$1:$I$89,5,0)</f>
        <v>1.2946657079737634E-13</v>
      </c>
      <c r="CV180" s="14">
        <f t="shared" si="173"/>
        <v>1.8873591890224769E-12</v>
      </c>
      <c r="CW180" s="22">
        <f t="shared" si="174"/>
        <v>3.5126381983529106E-12</v>
      </c>
      <c r="CX180" s="62">
        <f t="shared" si="122"/>
        <v>287.04076602947094</v>
      </c>
      <c r="CY180" s="62">
        <f ca="1">AVERAGE(OFFSET($CX$3,0,0,'Données projet'!$E$13+1,1))-AVERAGE(OFFSET($H$3,0,0,'Données projet'!$E$13+1,1))</f>
        <v>520.23742527061836</v>
      </c>
      <c r="CZ180" s="62">
        <f t="shared" si="150"/>
        <v>321.35925479331274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>
        <f>DO180*VLOOKUP('Données projet'!$B$14,Paramètres!$A$1:$I$89,3,0)*VLOOKUP('Données projet'!$B$14,Paramètres!$A$1:$I$89,5,0)</f>
        <v>0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547.89540791313675</v>
      </c>
      <c r="DU180" s="62">
        <f t="shared" si="152"/>
        <v>345.19555189302378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5.6843418860808015E-14</v>
      </c>
      <c r="EK180" s="18">
        <f>EJ180*VLOOKUP('Données projet'!$B$15,Paramètres!$A$1:$I$89,3,0)*VLOOKUP('Données projet'!$B$15,Paramètres!$A$1:$I$89,5,0)</f>
        <v>5.9412741393316544E-14</v>
      </c>
      <c r="EL180" s="14">
        <f t="shared" si="179"/>
        <v>9.483138037075782E-13</v>
      </c>
      <c r="EM180" s="22">
        <f t="shared" si="180"/>
        <v>1.7551237327173916E-12</v>
      </c>
      <c r="EN180" s="62">
        <f t="shared" si="128"/>
        <v>287.04076602946918</v>
      </c>
      <c r="EO180" s="62">
        <f ca="1">AVERAGE(OFFSET($EN$3,0,0,'Données projet'!$E$15+1,1))-AVERAGE(OFFSET($H$3,0,0,'Données projet'!$E$15+1,1))</f>
        <v>418.23737352070503</v>
      </c>
      <c r="EP180" s="62">
        <f t="shared" si="154"/>
        <v>496.10742685332968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1.1368683772161603E-13</v>
      </c>
      <c r="FF180" s="18">
        <f>FE180*VLOOKUP('Données projet'!$B$16,Paramètres!$A$1:$I$89,3,0)*VLOOKUP('Données projet'!$B$16,Paramètres!$A$1:$I$89,5,0)</f>
        <v>6.7984728957526396E-14</v>
      </c>
      <c r="FG180" s="14">
        <f t="shared" si="182"/>
        <v>1.0682447123141398E-12</v>
      </c>
      <c r="FH180" s="22">
        <f t="shared" si="183"/>
        <v>1.978932943548152E-12</v>
      </c>
      <c r="FI180" s="62">
        <f t="shared" si="131"/>
        <v>287.04076602946941</v>
      </c>
      <c r="FJ180" s="62">
        <f ca="1">AVERAGE(OFFSET($FI$3,0,0,'Données projet'!$E$16+1,1))-AVERAGE(OFFSET($H$3,0,0,'Données projet'!$E$16+1,1))</f>
        <v>341.70983624543067</v>
      </c>
      <c r="FK180" s="62">
        <f t="shared" si="156"/>
        <v>250.82562837973805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9.2781515137082176E-22</v>
      </c>
      <c r="FT180" s="24">
        <f t="shared" si="184"/>
        <v>9.2781515137082176E-22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-2.2737367544323206E-13</v>
      </c>
      <c r="GA180" s="18">
        <f>FZ180*VLOOKUP('Données projet'!$B$17,Paramètres!$A$1:$I$89,3,0)*VLOOKUP('Données projet'!$B$17,Paramètres!$A$1:$I$89,5,0)</f>
        <v>-1.064108801074326E-13</v>
      </c>
      <c r="GB180" s="14" t="e">
        <f t="shared" si="185"/>
        <v>#NUM!</v>
      </c>
      <c r="GC180" s="22" t="e">
        <f t="shared" si="186"/>
        <v>#NUM!</v>
      </c>
      <c r="GD180" s="62" t="e">
        <f t="shared" si="134"/>
        <v>#NUM!</v>
      </c>
      <c r="GE180" s="62">
        <f ca="1">AVERAGE(OFFSET($GD$3,0,0,'Données projet'!$E$17+1,1))-AVERAGE(OFFSET($H$3,0,0,'Données projet'!$E$17+1,1))</f>
        <v>368.69628434154333</v>
      </c>
      <c r="GF180" s="62">
        <f t="shared" si="158"/>
        <v>202.28197295839524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-1.1368683772161603E-13</v>
      </c>
      <c r="GV180" s="18">
        <f>GU180*VLOOKUP('Données projet'!$B$18,Paramètres!$A$1:$I$89,3,0)*VLOOKUP('Données projet'!$B$18,Paramètres!$A$1:$I$89,5,0)</f>
        <v>-9.9316821433603781E-14</v>
      </c>
      <c r="GW180" s="14" t="e">
        <f t="shared" si="188"/>
        <v>#NUM!</v>
      </c>
      <c r="GX180" s="22" t="e">
        <f t="shared" si="189"/>
        <v>#NUM!</v>
      </c>
      <c r="GY180" s="62" t="e">
        <f t="shared" si="137"/>
        <v>#NUM!</v>
      </c>
      <c r="GZ180" s="62">
        <f ca="1">AVERAGE(OFFSET($GY$3,0,0,'Données projet'!$E$18+1,1))-AVERAGE(OFFSET($H$3,0,0,'Données projet'!$E$18+1,1))</f>
        <v>378.51861272969165</v>
      </c>
      <c r="HA180" s="62">
        <f t="shared" si="160"/>
        <v>387.42368617035459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0</v>
      </c>
      <c r="HH180" s="23">
        <f>EXP(-LN(2)/25)*HH179+(1-EXP(-LN(2)/25))/(LN(2)/25)*Calculateur!HC180*Calculateur!HE180*VLOOKUP('Données projet'!$B$18,Paramètres!$A$1:$I$89,3,0)*0.475*44/12</f>
        <v>0</v>
      </c>
      <c r="HI180" s="23">
        <f>EXP(-LN(2)/2)*HI179+(1-EXP(-LN(2)/2))/(LN(2)/2)*HC180*HF180*VLOOKUP('Données projet'!$B$18,Paramètres!$A$1:$I$89,3,0)*0.475*44/12</f>
        <v>0</v>
      </c>
      <c r="HJ180" s="24">
        <f t="shared" si="190"/>
        <v>0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135.66666666666666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287.14992800411858</v>
      </c>
      <c r="S181" s="62">
        <f ca="1">AVERAGE(OFFSET($R$3,0,0,'Données projet'!$E$9+1,1))-AVERAGE(OFFSET($H$3,0,0,'Données projet'!$E$9+1,1))</f>
        <v>437.94016462147999</v>
      </c>
      <c r="T181" s="62">
        <f t="shared" si="142"/>
        <v>281.88254003380348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4.3348894933998006E-22</v>
      </c>
      <c r="AC181" s="24">
        <f t="shared" si="163"/>
        <v>4.3348894933998006E-22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1.0286385077051818E-13</v>
      </c>
      <c r="AK181" s="14">
        <f t="shared" si="164"/>
        <v>1.5402366592183556E-12</v>
      </c>
      <c r="AL181" s="22">
        <f t="shared" si="165"/>
        <v>2.8617333882306215E-12</v>
      </c>
      <c r="AM181" s="62">
        <f t="shared" si="113"/>
        <v>287.14992800411943</v>
      </c>
      <c r="AN181" s="62">
        <f ca="1">AVERAGE(OFFSET($AM$3,0,0,'Données projet'!$E$10+1,1))-AVERAGE(OFFSET($H$3,0,0,'Données projet'!$E$10+1,1))</f>
        <v>434.56763649859136</v>
      </c>
      <c r="AO181" s="62">
        <f t="shared" si="144"/>
        <v>271.90302066766264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6.7984728957526396E-14</v>
      </c>
      <c r="BF181" s="14">
        <f t="shared" si="167"/>
        <v>1.0682447123141398E-12</v>
      </c>
      <c r="BG181" s="22">
        <f t="shared" si="168"/>
        <v>1.978932943548152E-12</v>
      </c>
      <c r="BH181" s="62">
        <f t="shared" si="116"/>
        <v>287.14992800411858</v>
      </c>
      <c r="BI181" s="62">
        <f ca="1">AVERAGE(OFFSET($BH$3,0,0,'Données projet'!$E$11+1,1))-AVERAGE(OFFSET($H$3,0,0,'Données projet'!$E$11+1,1))</f>
        <v>199.65420589615553</v>
      </c>
      <c r="BJ181" s="62">
        <f t="shared" si="146"/>
        <v>477.85821088970999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2.8442425927158466</v>
      </c>
      <c r="BQ181" s="23">
        <f>EXP(-LN(2)/25)*BQ180+(1-EXP(-LN(2)/25))/(LN(2)/25)*Calculateur!BL181*Calculateur!BN181*VLOOKUP('Données projet'!$B$11,Paramètres!$A$1:$I$89,3,0)*0.475*44/12</f>
        <v>0.72585453152034296</v>
      </c>
      <c r="BR181" s="23">
        <f>EXP(-LN(2)/2)*BR180+(1-EXP(-LN(2)/2))/(LN(2)/2)*BL181*BO181*VLOOKUP('Données projet'!$B$11,Paramètres!$A$1:$I$89,3,0)*0.475*44/12</f>
        <v>2.3064381467929853E-21</v>
      </c>
      <c r="BS181" s="24">
        <f t="shared" si="169"/>
        <v>3.5700971242361894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1.1368683772161603E-13</v>
      </c>
      <c r="BZ181" s="14">
        <f>BY181*VLOOKUP('Données projet'!$B$12,Paramètres!$A$1:$I$89,3,0)*VLOOKUP('Données projet'!$B$12,Paramètres!$A$1:$I$89,5,0)</f>
        <v>6.7984728957526396E-14</v>
      </c>
      <c r="CA181" s="14">
        <f t="shared" si="170"/>
        <v>1.0682447123141398E-12</v>
      </c>
      <c r="CB181" s="22">
        <f t="shared" si="171"/>
        <v>1.978932943548152E-12</v>
      </c>
      <c r="CC181" s="62">
        <f t="shared" si="119"/>
        <v>287.14992800411858</v>
      </c>
      <c r="CD181" s="62">
        <f ca="1">AVERAGE(OFFSET($CC$3,0,0,'Données projet'!$E$12+1,1))-AVERAGE(OFFSET($H$3,0,0,'Données projet'!$E$12+1,1))</f>
        <v>437.94016462147999</v>
      </c>
      <c r="CE181" s="62">
        <f t="shared" si="148"/>
        <v>281.88254003380348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4.3348894933998006E-22</v>
      </c>
      <c r="CN181" s="24">
        <f t="shared" si="172"/>
        <v>4.3348894933998006E-22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1.1368683772161603E-13</v>
      </c>
      <c r="CU181" s="18">
        <f>CT181*VLOOKUP('Données projet'!$B$13,Paramètres!$A$1:$I$89,3,0)*VLOOKUP('Données projet'!$B$13,Paramètres!$A$1:$I$89,5,0)</f>
        <v>1.2946657079737634E-13</v>
      </c>
      <c r="CV181" s="14">
        <f t="shared" si="173"/>
        <v>1.8873591890224769E-12</v>
      </c>
      <c r="CW181" s="22">
        <f t="shared" si="174"/>
        <v>3.5126381983529106E-12</v>
      </c>
      <c r="CX181" s="62">
        <f t="shared" si="122"/>
        <v>287.14992800412011</v>
      </c>
      <c r="CY181" s="62">
        <f ca="1">AVERAGE(OFFSET($CX$3,0,0,'Données projet'!$E$13+1,1))-AVERAGE(OFFSET($H$3,0,0,'Données projet'!$E$13+1,1))</f>
        <v>520.23742527061836</v>
      </c>
      <c r="CZ181" s="62">
        <f t="shared" si="150"/>
        <v>321.35925479331274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>
        <f>DO181*VLOOKUP('Données projet'!$B$14,Paramètres!$A$1:$I$89,3,0)*VLOOKUP('Données projet'!$B$14,Paramètres!$A$1:$I$89,5,0)</f>
        <v>0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547.89540791313675</v>
      </c>
      <c r="DU181" s="62">
        <f t="shared" si="152"/>
        <v>345.19555189302378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5.6843418860808015E-14</v>
      </c>
      <c r="EK181" s="18">
        <f>EJ181*VLOOKUP('Données projet'!$B$15,Paramètres!$A$1:$I$89,3,0)*VLOOKUP('Données projet'!$B$15,Paramètres!$A$1:$I$89,5,0)</f>
        <v>5.9412741393316544E-14</v>
      </c>
      <c r="EL181" s="14">
        <f t="shared" si="179"/>
        <v>9.483138037075782E-13</v>
      </c>
      <c r="EM181" s="22">
        <f t="shared" si="180"/>
        <v>1.7551237327173916E-12</v>
      </c>
      <c r="EN181" s="62">
        <f t="shared" si="128"/>
        <v>287.14992800411835</v>
      </c>
      <c r="EO181" s="62">
        <f ca="1">AVERAGE(OFFSET($EN$3,0,0,'Données projet'!$E$15+1,1))-AVERAGE(OFFSET($H$3,0,0,'Données projet'!$E$15+1,1))</f>
        <v>418.23737352070503</v>
      </c>
      <c r="EP181" s="62">
        <f t="shared" si="154"/>
        <v>496.10742685332968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1.1368683772161603E-13</v>
      </c>
      <c r="FF181" s="18">
        <f>FE181*VLOOKUP('Données projet'!$B$16,Paramètres!$A$1:$I$89,3,0)*VLOOKUP('Données projet'!$B$16,Paramètres!$A$1:$I$89,5,0)</f>
        <v>6.7984728957526396E-14</v>
      </c>
      <c r="FG181" s="14">
        <f t="shared" si="182"/>
        <v>1.0682447123141398E-12</v>
      </c>
      <c r="FH181" s="22">
        <f t="shared" si="183"/>
        <v>1.978932943548152E-12</v>
      </c>
      <c r="FI181" s="62">
        <f t="shared" si="131"/>
        <v>287.14992800411858</v>
      </c>
      <c r="FJ181" s="62">
        <f ca="1">AVERAGE(OFFSET($FI$3,0,0,'Données projet'!$E$16+1,1))-AVERAGE(OFFSET($H$3,0,0,'Données projet'!$E$16+1,1))</f>
        <v>341.70983624543067</v>
      </c>
      <c r="FK181" s="62">
        <f t="shared" si="156"/>
        <v>250.82562837973805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6.5606438522193113E-22</v>
      </c>
      <c r="FT181" s="24">
        <f t="shared" si="184"/>
        <v>6.5606438522193113E-22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-2.2737367544323206E-13</v>
      </c>
      <c r="GA181" s="18">
        <f>FZ181*VLOOKUP('Données projet'!$B$17,Paramètres!$A$1:$I$89,3,0)*VLOOKUP('Données projet'!$B$17,Paramètres!$A$1:$I$89,5,0)</f>
        <v>-1.064108801074326E-13</v>
      </c>
      <c r="GB181" s="14" t="e">
        <f t="shared" si="185"/>
        <v>#NUM!</v>
      </c>
      <c r="GC181" s="22" t="e">
        <f t="shared" si="186"/>
        <v>#NUM!</v>
      </c>
      <c r="GD181" s="62" t="e">
        <f t="shared" si="134"/>
        <v>#NUM!</v>
      </c>
      <c r="GE181" s="62">
        <f ca="1">AVERAGE(OFFSET($GD$3,0,0,'Données projet'!$E$17+1,1))-AVERAGE(OFFSET($H$3,0,0,'Données projet'!$E$17+1,1))</f>
        <v>368.69628434154333</v>
      </c>
      <c r="GF181" s="62">
        <f t="shared" si="158"/>
        <v>202.28197295839524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-1.1368683772161603E-13</v>
      </c>
      <c r="GV181" s="18">
        <f>GU181*VLOOKUP('Données projet'!$B$18,Paramètres!$A$1:$I$89,3,0)*VLOOKUP('Données projet'!$B$18,Paramètres!$A$1:$I$89,5,0)</f>
        <v>-9.9316821433603781E-14</v>
      </c>
      <c r="GW181" s="14" t="e">
        <f t="shared" si="188"/>
        <v>#NUM!</v>
      </c>
      <c r="GX181" s="22" t="e">
        <f t="shared" si="189"/>
        <v>#NUM!</v>
      </c>
      <c r="GY181" s="62" t="e">
        <f t="shared" si="137"/>
        <v>#NUM!</v>
      </c>
      <c r="GZ181" s="62">
        <f ca="1">AVERAGE(OFFSET($GY$3,0,0,'Données projet'!$E$18+1,1))-AVERAGE(OFFSET($H$3,0,0,'Données projet'!$E$18+1,1))</f>
        <v>378.51861272969165</v>
      </c>
      <c r="HA181" s="62">
        <f t="shared" si="160"/>
        <v>387.42368617035459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0</v>
      </c>
      <c r="HH181" s="23">
        <f>EXP(-LN(2)/25)*HH180+(1-EXP(-LN(2)/25))/(LN(2)/25)*Calculateur!HC181*Calculateur!HE181*VLOOKUP('Données projet'!$B$18,Paramètres!$A$1:$I$89,3,0)*0.475*44/12</f>
        <v>0</v>
      </c>
      <c r="HI181" s="23">
        <f>EXP(-LN(2)/2)*HI180+(1-EXP(-LN(2)/2))/(LN(2)/2)*HC181*HF181*VLOOKUP('Données projet'!$B$18,Paramètres!$A$1:$I$89,3,0)*0.475*44/12</f>
        <v>0</v>
      </c>
      <c r="HJ181" s="24">
        <f t="shared" si="190"/>
        <v>0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135.66666666666666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287.2571962625571</v>
      </c>
      <c r="S182" s="62">
        <f ca="1">AVERAGE(OFFSET($R$3,0,0,'Données projet'!$E$9+1,1))-AVERAGE(OFFSET($H$3,0,0,'Données projet'!$E$9+1,1))</f>
        <v>437.94016462147999</v>
      </c>
      <c r="T182" s="62">
        <f t="shared" si="142"/>
        <v>281.88254003380348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3.0652297564773167E-22</v>
      </c>
      <c r="AC182" s="24">
        <f t="shared" si="163"/>
        <v>3.0652297564773167E-22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1.0286385077051818E-13</v>
      </c>
      <c r="AK182" s="14">
        <f t="shared" si="164"/>
        <v>1.5402366592183556E-12</v>
      </c>
      <c r="AL182" s="22">
        <f t="shared" si="165"/>
        <v>2.8617333882306215E-12</v>
      </c>
      <c r="AM182" s="62">
        <f t="shared" si="113"/>
        <v>287.25719626255795</v>
      </c>
      <c r="AN182" s="62">
        <f ca="1">AVERAGE(OFFSET($AM$3,0,0,'Données projet'!$E$10+1,1))-AVERAGE(OFFSET($H$3,0,0,'Données projet'!$E$10+1,1))</f>
        <v>434.56763649859136</v>
      </c>
      <c r="AO182" s="62">
        <f t="shared" si="144"/>
        <v>271.90302066766264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6.7984728957526396E-14</v>
      </c>
      <c r="BF182" s="14">
        <f t="shared" si="167"/>
        <v>1.0682447123141398E-12</v>
      </c>
      <c r="BG182" s="22">
        <f t="shared" si="168"/>
        <v>1.978932943548152E-12</v>
      </c>
      <c r="BH182" s="62">
        <f t="shared" si="116"/>
        <v>287.2571962625571</v>
      </c>
      <c r="BI182" s="62">
        <f ca="1">AVERAGE(OFFSET($BH$3,0,0,'Données projet'!$E$11+1,1))-AVERAGE(OFFSET($H$3,0,0,'Données projet'!$E$11+1,1))</f>
        <v>199.65420589615553</v>
      </c>
      <c r="BJ182" s="62">
        <f t="shared" si="146"/>
        <v>477.85821088970999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2.7884687302893716</v>
      </c>
      <c r="BQ182" s="23">
        <f>EXP(-LN(2)/25)*BQ181+(1-EXP(-LN(2)/25))/(LN(2)/25)*Calculateur!BL182*Calculateur!BN182*VLOOKUP('Données projet'!$B$11,Paramètres!$A$1:$I$89,3,0)*0.475*44/12</f>
        <v>0.70600600118488832</v>
      </c>
      <c r="BR182" s="23">
        <f>EXP(-LN(2)/2)*BR181+(1-EXP(-LN(2)/2))/(LN(2)/2)*BL182*BO182*VLOOKUP('Données projet'!$B$11,Paramètres!$A$1:$I$89,3,0)*0.475*44/12</f>
        <v>1.6308980539846537E-21</v>
      </c>
      <c r="BS182" s="24">
        <f t="shared" si="169"/>
        <v>3.4944747314742601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1.1368683772161603E-13</v>
      </c>
      <c r="BZ182" s="14">
        <f>BY182*VLOOKUP('Données projet'!$B$12,Paramètres!$A$1:$I$89,3,0)*VLOOKUP('Données projet'!$B$12,Paramètres!$A$1:$I$89,5,0)</f>
        <v>6.7984728957526396E-14</v>
      </c>
      <c r="CA182" s="14">
        <f t="shared" si="170"/>
        <v>1.0682447123141398E-12</v>
      </c>
      <c r="CB182" s="22">
        <f t="shared" si="171"/>
        <v>1.978932943548152E-12</v>
      </c>
      <c r="CC182" s="62">
        <f t="shared" si="119"/>
        <v>287.2571962625571</v>
      </c>
      <c r="CD182" s="62">
        <f ca="1">AVERAGE(OFFSET($CC$3,0,0,'Données projet'!$E$12+1,1))-AVERAGE(OFFSET($H$3,0,0,'Données projet'!$E$12+1,1))</f>
        <v>437.94016462147999</v>
      </c>
      <c r="CE182" s="62">
        <f t="shared" si="148"/>
        <v>281.88254003380348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3.0652297564773167E-22</v>
      </c>
      <c r="CN182" s="24">
        <f t="shared" si="172"/>
        <v>3.0652297564773167E-22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1.1368683772161603E-13</v>
      </c>
      <c r="CU182" s="18">
        <f>CT182*VLOOKUP('Données projet'!$B$13,Paramètres!$A$1:$I$89,3,0)*VLOOKUP('Données projet'!$B$13,Paramètres!$A$1:$I$89,5,0)</f>
        <v>1.2946657079737634E-13</v>
      </c>
      <c r="CV182" s="14">
        <f t="shared" si="173"/>
        <v>1.8873591890224769E-12</v>
      </c>
      <c r="CW182" s="22">
        <f t="shared" si="174"/>
        <v>3.5126381983529106E-12</v>
      </c>
      <c r="CX182" s="62">
        <f t="shared" si="122"/>
        <v>287.25719626255864</v>
      </c>
      <c r="CY182" s="62">
        <f ca="1">AVERAGE(OFFSET($CX$3,0,0,'Données projet'!$E$13+1,1))-AVERAGE(OFFSET($H$3,0,0,'Données projet'!$E$13+1,1))</f>
        <v>520.23742527061836</v>
      </c>
      <c r="CZ182" s="62">
        <f t="shared" si="150"/>
        <v>321.35925479331274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>
        <f>DO182*VLOOKUP('Données projet'!$B$14,Paramètres!$A$1:$I$89,3,0)*VLOOKUP('Données projet'!$B$14,Paramètres!$A$1:$I$89,5,0)</f>
        <v>0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547.89540791313675</v>
      </c>
      <c r="DU182" s="62">
        <f t="shared" si="152"/>
        <v>345.19555189302378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5.6843418860808015E-14</v>
      </c>
      <c r="EK182" s="18">
        <f>EJ182*VLOOKUP('Données projet'!$B$15,Paramètres!$A$1:$I$89,3,0)*VLOOKUP('Données projet'!$B$15,Paramètres!$A$1:$I$89,5,0)</f>
        <v>5.9412741393316544E-14</v>
      </c>
      <c r="EL182" s="14">
        <f t="shared" si="179"/>
        <v>9.483138037075782E-13</v>
      </c>
      <c r="EM182" s="22">
        <f t="shared" si="180"/>
        <v>1.7551237327173916E-12</v>
      </c>
      <c r="EN182" s="62">
        <f t="shared" si="128"/>
        <v>287.25719626255687</v>
      </c>
      <c r="EO182" s="62">
        <f ca="1">AVERAGE(OFFSET($EN$3,0,0,'Données projet'!$E$15+1,1))-AVERAGE(OFFSET($H$3,0,0,'Données projet'!$E$15+1,1))</f>
        <v>418.23737352070503</v>
      </c>
      <c r="EP182" s="62">
        <f t="shared" si="154"/>
        <v>496.10742685332968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1.1368683772161603E-13</v>
      </c>
      <c r="FF182" s="18">
        <f>FE182*VLOOKUP('Données projet'!$B$16,Paramètres!$A$1:$I$89,3,0)*VLOOKUP('Données projet'!$B$16,Paramètres!$A$1:$I$89,5,0)</f>
        <v>6.7984728957526396E-14</v>
      </c>
      <c r="FG182" s="14">
        <f t="shared" si="182"/>
        <v>1.0682447123141398E-12</v>
      </c>
      <c r="FH182" s="22">
        <f t="shared" si="183"/>
        <v>1.978932943548152E-12</v>
      </c>
      <c r="FI182" s="62">
        <f t="shared" si="131"/>
        <v>287.2571962625571</v>
      </c>
      <c r="FJ182" s="62">
        <f ca="1">AVERAGE(OFFSET($FI$3,0,0,'Données projet'!$E$16+1,1))-AVERAGE(OFFSET($H$3,0,0,'Données projet'!$E$16+1,1))</f>
        <v>341.70983624543067</v>
      </c>
      <c r="FK182" s="62">
        <f t="shared" si="156"/>
        <v>250.82562837973805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4.6390757568541088E-22</v>
      </c>
      <c r="FT182" s="24">
        <f t="shared" si="184"/>
        <v>4.6390757568541088E-22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-2.2737367544323206E-13</v>
      </c>
      <c r="GA182" s="18">
        <f>FZ182*VLOOKUP('Données projet'!$B$17,Paramètres!$A$1:$I$89,3,0)*VLOOKUP('Données projet'!$B$17,Paramètres!$A$1:$I$89,5,0)</f>
        <v>-1.064108801074326E-13</v>
      </c>
      <c r="GB182" s="14" t="e">
        <f t="shared" si="185"/>
        <v>#NUM!</v>
      </c>
      <c r="GC182" s="22" t="e">
        <f t="shared" si="186"/>
        <v>#NUM!</v>
      </c>
      <c r="GD182" s="62" t="e">
        <f t="shared" si="134"/>
        <v>#NUM!</v>
      </c>
      <c r="GE182" s="62">
        <f ca="1">AVERAGE(OFFSET($GD$3,0,0,'Données projet'!$E$17+1,1))-AVERAGE(OFFSET($H$3,0,0,'Données projet'!$E$17+1,1))</f>
        <v>368.69628434154333</v>
      </c>
      <c r="GF182" s="62">
        <f t="shared" si="158"/>
        <v>202.28197295839524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-1.1368683772161603E-13</v>
      </c>
      <c r="GV182" s="18">
        <f>GU182*VLOOKUP('Données projet'!$B$18,Paramètres!$A$1:$I$89,3,0)*VLOOKUP('Données projet'!$B$18,Paramètres!$A$1:$I$89,5,0)</f>
        <v>-9.9316821433603781E-14</v>
      </c>
      <c r="GW182" s="14" t="e">
        <f t="shared" si="188"/>
        <v>#NUM!</v>
      </c>
      <c r="GX182" s="22" t="e">
        <f t="shared" si="189"/>
        <v>#NUM!</v>
      </c>
      <c r="GY182" s="62" t="e">
        <f t="shared" si="137"/>
        <v>#NUM!</v>
      </c>
      <c r="GZ182" s="62">
        <f ca="1">AVERAGE(OFFSET($GY$3,0,0,'Données projet'!$E$18+1,1))-AVERAGE(OFFSET($H$3,0,0,'Données projet'!$E$18+1,1))</f>
        <v>378.51861272969165</v>
      </c>
      <c r="HA182" s="62">
        <f t="shared" si="160"/>
        <v>387.42368617035459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0</v>
      </c>
      <c r="HH182" s="23">
        <f>EXP(-LN(2)/25)*HH181+(1-EXP(-LN(2)/25))/(LN(2)/25)*Calculateur!HC182*Calculateur!HE182*VLOOKUP('Données projet'!$B$18,Paramètres!$A$1:$I$89,3,0)*0.475*44/12</f>
        <v>0</v>
      </c>
      <c r="HI182" s="23">
        <f>EXP(-LN(2)/2)*HI181+(1-EXP(-LN(2)/2))/(LN(2)/2)*HC182*HF182*VLOOKUP('Données projet'!$B$18,Paramètres!$A$1:$I$89,3,0)*0.475*44/12</f>
        <v>0</v>
      </c>
      <c r="HJ182" s="24">
        <f t="shared" si="190"/>
        <v>0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135.66666666666666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287.36260365652771</v>
      </c>
      <c r="S183" s="62">
        <f ca="1">AVERAGE(OFFSET($R$3,0,0,'Données projet'!$E$9+1,1))-AVERAGE(OFFSET($H$3,0,0,'Données projet'!$E$9+1,1))</f>
        <v>437.94016462147999</v>
      </c>
      <c r="T183" s="62">
        <f t="shared" si="142"/>
        <v>281.88254003380348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2.1674447466999003E-22</v>
      </c>
      <c r="AC183" s="24">
        <f t="shared" si="163"/>
        <v>2.1674447466999003E-22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1.0286385077051818E-13</v>
      </c>
      <c r="AK183" s="14">
        <f t="shared" si="164"/>
        <v>1.5402366592183556E-12</v>
      </c>
      <c r="AL183" s="22">
        <f t="shared" si="165"/>
        <v>2.8617333882306215E-12</v>
      </c>
      <c r="AM183" s="62">
        <f t="shared" si="113"/>
        <v>287.36260365652856</v>
      </c>
      <c r="AN183" s="62">
        <f ca="1">AVERAGE(OFFSET($AM$3,0,0,'Données projet'!$E$10+1,1))-AVERAGE(OFFSET($H$3,0,0,'Données projet'!$E$10+1,1))</f>
        <v>434.56763649859136</v>
      </c>
      <c r="AO183" s="62">
        <f t="shared" si="144"/>
        <v>271.90302066766264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6.7984728957526396E-14</v>
      </c>
      <c r="BF183" s="14">
        <f t="shared" si="167"/>
        <v>1.0682447123141398E-12</v>
      </c>
      <c r="BG183" s="22">
        <f t="shared" si="168"/>
        <v>1.978932943548152E-12</v>
      </c>
      <c r="BH183" s="62">
        <f t="shared" si="116"/>
        <v>287.36260365652771</v>
      </c>
      <c r="BI183" s="62">
        <f ca="1">AVERAGE(OFFSET($BH$3,0,0,'Données projet'!$E$11+1,1))-AVERAGE(OFFSET($H$3,0,0,'Données projet'!$E$11+1,1))</f>
        <v>199.65420589615553</v>
      </c>
      <c r="BJ183" s="62">
        <f t="shared" si="146"/>
        <v>477.85821088970999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2.7337885592863826</v>
      </c>
      <c r="BQ183" s="23">
        <f>EXP(-LN(2)/25)*BQ182+(1-EXP(-LN(2)/25))/(LN(2)/25)*Calculateur!BL183*Calculateur!BN183*VLOOKUP('Données projet'!$B$11,Paramètres!$A$1:$I$89,3,0)*0.475*44/12</f>
        <v>0.6867002299552456</v>
      </c>
      <c r="BR183" s="23">
        <f>EXP(-LN(2)/2)*BR182+(1-EXP(-LN(2)/2))/(LN(2)/2)*BL183*BO183*VLOOKUP('Données projet'!$B$11,Paramètres!$A$1:$I$89,3,0)*0.475*44/12</f>
        <v>1.1532190733964927E-21</v>
      </c>
      <c r="BS183" s="24">
        <f t="shared" si="169"/>
        <v>3.4204887892416282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1.1368683772161603E-13</v>
      </c>
      <c r="BZ183" s="14">
        <f>BY183*VLOOKUP('Données projet'!$B$12,Paramètres!$A$1:$I$89,3,0)*VLOOKUP('Données projet'!$B$12,Paramètres!$A$1:$I$89,5,0)</f>
        <v>6.7984728957526396E-14</v>
      </c>
      <c r="CA183" s="14">
        <f t="shared" si="170"/>
        <v>1.0682447123141398E-12</v>
      </c>
      <c r="CB183" s="22">
        <f t="shared" si="171"/>
        <v>1.978932943548152E-12</v>
      </c>
      <c r="CC183" s="62">
        <f t="shared" si="119"/>
        <v>287.36260365652771</v>
      </c>
      <c r="CD183" s="62">
        <f ca="1">AVERAGE(OFFSET($CC$3,0,0,'Données projet'!$E$12+1,1))-AVERAGE(OFFSET($H$3,0,0,'Données projet'!$E$12+1,1))</f>
        <v>437.94016462147999</v>
      </c>
      <c r="CE183" s="62">
        <f t="shared" si="148"/>
        <v>281.88254003380348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2.1674447466999003E-22</v>
      </c>
      <c r="CN183" s="24">
        <f t="shared" si="172"/>
        <v>2.1674447466999003E-22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1.1368683772161603E-13</v>
      </c>
      <c r="CU183" s="18">
        <f>CT183*VLOOKUP('Données projet'!$B$13,Paramètres!$A$1:$I$89,3,0)*VLOOKUP('Données projet'!$B$13,Paramètres!$A$1:$I$89,5,0)</f>
        <v>1.2946657079737634E-13</v>
      </c>
      <c r="CV183" s="14">
        <f t="shared" si="173"/>
        <v>1.8873591890224769E-12</v>
      </c>
      <c r="CW183" s="22">
        <f t="shared" si="174"/>
        <v>3.5126381983529106E-12</v>
      </c>
      <c r="CX183" s="62">
        <f t="shared" si="122"/>
        <v>287.36260365652925</v>
      </c>
      <c r="CY183" s="62">
        <f ca="1">AVERAGE(OFFSET($CX$3,0,0,'Données projet'!$E$13+1,1))-AVERAGE(OFFSET($H$3,0,0,'Données projet'!$E$13+1,1))</f>
        <v>520.23742527061836</v>
      </c>
      <c r="CZ183" s="62">
        <f t="shared" si="150"/>
        <v>321.35925479331274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>
        <f>DO183*VLOOKUP('Données projet'!$B$14,Paramètres!$A$1:$I$89,3,0)*VLOOKUP('Données projet'!$B$14,Paramètres!$A$1:$I$89,5,0)</f>
        <v>0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547.89540791313675</v>
      </c>
      <c r="DU183" s="62">
        <f t="shared" si="152"/>
        <v>345.19555189302378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5.6843418860808015E-14</v>
      </c>
      <c r="EK183" s="18">
        <f>EJ183*VLOOKUP('Données projet'!$B$15,Paramètres!$A$1:$I$89,3,0)*VLOOKUP('Données projet'!$B$15,Paramètres!$A$1:$I$89,5,0)</f>
        <v>5.9412741393316544E-14</v>
      </c>
      <c r="EL183" s="14">
        <f t="shared" si="179"/>
        <v>9.483138037075782E-13</v>
      </c>
      <c r="EM183" s="22">
        <f t="shared" si="180"/>
        <v>1.7551237327173916E-12</v>
      </c>
      <c r="EN183" s="62">
        <f t="shared" si="128"/>
        <v>287.36260365652748</v>
      </c>
      <c r="EO183" s="62">
        <f ca="1">AVERAGE(OFFSET($EN$3,0,0,'Données projet'!$E$15+1,1))-AVERAGE(OFFSET($H$3,0,0,'Données projet'!$E$15+1,1))</f>
        <v>418.23737352070503</v>
      </c>
      <c r="EP183" s="62">
        <f t="shared" si="154"/>
        <v>496.10742685332968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1.1368683772161603E-13</v>
      </c>
      <c r="FF183" s="18">
        <f>FE183*VLOOKUP('Données projet'!$B$16,Paramètres!$A$1:$I$89,3,0)*VLOOKUP('Données projet'!$B$16,Paramètres!$A$1:$I$89,5,0)</f>
        <v>6.7984728957526396E-14</v>
      </c>
      <c r="FG183" s="14">
        <f t="shared" si="182"/>
        <v>1.0682447123141398E-12</v>
      </c>
      <c r="FH183" s="22">
        <f t="shared" si="183"/>
        <v>1.978932943548152E-12</v>
      </c>
      <c r="FI183" s="62">
        <f t="shared" si="131"/>
        <v>287.36260365652771</v>
      </c>
      <c r="FJ183" s="62">
        <f ca="1">AVERAGE(OFFSET($FI$3,0,0,'Données projet'!$E$16+1,1))-AVERAGE(OFFSET($H$3,0,0,'Données projet'!$E$16+1,1))</f>
        <v>341.70983624543067</v>
      </c>
      <c r="FK183" s="62">
        <f t="shared" si="156"/>
        <v>250.82562837973805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3.2803219261096557E-22</v>
      </c>
      <c r="FT183" s="24">
        <f t="shared" si="184"/>
        <v>3.2803219261096557E-22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-2.2737367544323206E-13</v>
      </c>
      <c r="GA183" s="18">
        <f>FZ183*VLOOKUP('Données projet'!$B$17,Paramètres!$A$1:$I$89,3,0)*VLOOKUP('Données projet'!$B$17,Paramètres!$A$1:$I$89,5,0)</f>
        <v>-1.064108801074326E-13</v>
      </c>
      <c r="GB183" s="14" t="e">
        <f t="shared" si="185"/>
        <v>#NUM!</v>
      </c>
      <c r="GC183" s="22" t="e">
        <f t="shared" si="186"/>
        <v>#NUM!</v>
      </c>
      <c r="GD183" s="62" t="e">
        <f t="shared" si="134"/>
        <v>#NUM!</v>
      </c>
      <c r="GE183" s="62">
        <f ca="1">AVERAGE(OFFSET($GD$3,0,0,'Données projet'!$E$17+1,1))-AVERAGE(OFFSET($H$3,0,0,'Données projet'!$E$17+1,1))</f>
        <v>368.69628434154333</v>
      </c>
      <c r="GF183" s="62">
        <f t="shared" si="158"/>
        <v>202.28197295839524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-1.1368683772161603E-13</v>
      </c>
      <c r="GV183" s="18">
        <f>GU183*VLOOKUP('Données projet'!$B$18,Paramètres!$A$1:$I$89,3,0)*VLOOKUP('Données projet'!$B$18,Paramètres!$A$1:$I$89,5,0)</f>
        <v>-9.9316821433603781E-14</v>
      </c>
      <c r="GW183" s="14" t="e">
        <f t="shared" si="188"/>
        <v>#NUM!</v>
      </c>
      <c r="GX183" s="22" t="e">
        <f t="shared" si="189"/>
        <v>#NUM!</v>
      </c>
      <c r="GY183" s="62" t="e">
        <f t="shared" si="137"/>
        <v>#NUM!</v>
      </c>
      <c r="GZ183" s="62">
        <f ca="1">AVERAGE(OFFSET($GY$3,0,0,'Données projet'!$E$18+1,1))-AVERAGE(OFFSET($H$3,0,0,'Données projet'!$E$18+1,1))</f>
        <v>378.51861272969165</v>
      </c>
      <c r="HA183" s="62">
        <f t="shared" si="160"/>
        <v>387.42368617035459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0</v>
      </c>
      <c r="HH183" s="23">
        <f>EXP(-LN(2)/25)*HH182+(1-EXP(-LN(2)/25))/(LN(2)/25)*Calculateur!HC183*Calculateur!HE183*VLOOKUP('Données projet'!$B$18,Paramètres!$A$1:$I$89,3,0)*0.475*44/12</f>
        <v>0</v>
      </c>
      <c r="HI183" s="23">
        <f>EXP(-LN(2)/2)*HI182+(1-EXP(-LN(2)/2))/(LN(2)/2)*HC183*HF183*VLOOKUP('Données projet'!$B$18,Paramètres!$A$1:$I$89,3,0)*0.475*44/12</f>
        <v>0</v>
      </c>
      <c r="HJ183" s="24">
        <f t="shared" si="190"/>
        <v>0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135.66666666666666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287.46618246786852</v>
      </c>
      <c r="S184" s="62">
        <f ca="1">AVERAGE(OFFSET($R$3,0,0,'Données projet'!$E$9+1,1))-AVERAGE(OFFSET($H$3,0,0,'Données projet'!$E$9+1,1))</f>
        <v>437.94016462147999</v>
      </c>
      <c r="T184" s="62">
        <f t="shared" si="142"/>
        <v>281.88254003380348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1.5326148782386583E-22</v>
      </c>
      <c r="AC184" s="24">
        <f t="shared" si="163"/>
        <v>1.5326148782386583E-22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1.0286385077051818E-13</v>
      </c>
      <c r="AK184" s="14">
        <f t="shared" si="164"/>
        <v>1.5402366592183556E-12</v>
      </c>
      <c r="AL184" s="22">
        <f t="shared" si="165"/>
        <v>2.8617333882306215E-12</v>
      </c>
      <c r="AM184" s="62">
        <f t="shared" si="113"/>
        <v>287.46618246786937</v>
      </c>
      <c r="AN184" s="62">
        <f ca="1">AVERAGE(OFFSET($AM$3,0,0,'Données projet'!$E$10+1,1))-AVERAGE(OFFSET($H$3,0,0,'Données projet'!$E$10+1,1))</f>
        <v>434.56763649859136</v>
      </c>
      <c r="AO184" s="62">
        <f t="shared" si="144"/>
        <v>271.90302066766264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6.7984728957526396E-14</v>
      </c>
      <c r="BF184" s="14">
        <f t="shared" si="167"/>
        <v>1.0682447123141398E-12</v>
      </c>
      <c r="BG184" s="22">
        <f t="shared" si="168"/>
        <v>1.978932943548152E-12</v>
      </c>
      <c r="BH184" s="62">
        <f t="shared" si="116"/>
        <v>287.46618246786852</v>
      </c>
      <c r="BI184" s="62">
        <f ca="1">AVERAGE(OFFSET($BH$3,0,0,'Données projet'!$E$11+1,1))-AVERAGE(OFFSET($H$3,0,0,'Données projet'!$E$11+1,1))</f>
        <v>199.65420589615553</v>
      </c>
      <c r="BJ184" s="62">
        <f t="shared" si="146"/>
        <v>477.85821088970999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2.680180633085151</v>
      </c>
      <c r="BQ184" s="23">
        <f>EXP(-LN(2)/25)*BQ183+(1-EXP(-LN(2)/25))/(LN(2)/25)*Calculateur!BL184*Calculateur!BN184*VLOOKUP('Données projet'!$B$11,Paramètres!$A$1:$I$89,3,0)*0.475*44/12</f>
        <v>0.66792237605512383</v>
      </c>
      <c r="BR184" s="23">
        <f>EXP(-LN(2)/2)*BR183+(1-EXP(-LN(2)/2))/(LN(2)/2)*BL184*BO184*VLOOKUP('Données projet'!$B$11,Paramètres!$A$1:$I$89,3,0)*0.475*44/12</f>
        <v>8.1544902699232684E-22</v>
      </c>
      <c r="BS184" s="24">
        <f t="shared" si="169"/>
        <v>3.3481030091402748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1.1368683772161603E-13</v>
      </c>
      <c r="BZ184" s="14">
        <f>BY184*VLOOKUP('Données projet'!$B$12,Paramètres!$A$1:$I$89,3,0)*VLOOKUP('Données projet'!$B$12,Paramètres!$A$1:$I$89,5,0)</f>
        <v>6.7984728957526396E-14</v>
      </c>
      <c r="CA184" s="14">
        <f t="shared" si="170"/>
        <v>1.0682447123141398E-12</v>
      </c>
      <c r="CB184" s="22">
        <f t="shared" si="171"/>
        <v>1.978932943548152E-12</v>
      </c>
      <c r="CC184" s="62">
        <f t="shared" si="119"/>
        <v>287.46618246786852</v>
      </c>
      <c r="CD184" s="62">
        <f ca="1">AVERAGE(OFFSET($CC$3,0,0,'Données projet'!$E$12+1,1))-AVERAGE(OFFSET($H$3,0,0,'Données projet'!$E$12+1,1))</f>
        <v>437.94016462147999</v>
      </c>
      <c r="CE184" s="62">
        <f t="shared" si="148"/>
        <v>281.88254003380348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1.5326148782386583E-22</v>
      </c>
      <c r="CN184" s="24">
        <f t="shared" si="172"/>
        <v>1.5326148782386583E-22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1.1368683772161603E-13</v>
      </c>
      <c r="CU184" s="18">
        <f>CT184*VLOOKUP('Données projet'!$B$13,Paramètres!$A$1:$I$89,3,0)*VLOOKUP('Données projet'!$B$13,Paramètres!$A$1:$I$89,5,0)</f>
        <v>1.2946657079737634E-13</v>
      </c>
      <c r="CV184" s="14">
        <f t="shared" si="173"/>
        <v>1.8873591890224769E-12</v>
      </c>
      <c r="CW184" s="22">
        <f t="shared" si="174"/>
        <v>3.5126381983529106E-12</v>
      </c>
      <c r="CX184" s="62">
        <f t="shared" si="122"/>
        <v>287.46618246787006</v>
      </c>
      <c r="CY184" s="62">
        <f ca="1">AVERAGE(OFFSET($CX$3,0,0,'Données projet'!$E$13+1,1))-AVERAGE(OFFSET($H$3,0,0,'Données projet'!$E$13+1,1))</f>
        <v>520.23742527061836</v>
      </c>
      <c r="CZ184" s="62">
        <f t="shared" si="150"/>
        <v>321.35925479331274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>
        <f>DO184*VLOOKUP('Données projet'!$B$14,Paramètres!$A$1:$I$89,3,0)*VLOOKUP('Données projet'!$B$14,Paramètres!$A$1:$I$89,5,0)</f>
        <v>0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547.89540791313675</v>
      </c>
      <c r="DU184" s="62">
        <f t="shared" si="152"/>
        <v>345.19555189302378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5.6843418860808015E-14</v>
      </c>
      <c r="EK184" s="18">
        <f>EJ184*VLOOKUP('Données projet'!$B$15,Paramètres!$A$1:$I$89,3,0)*VLOOKUP('Données projet'!$B$15,Paramètres!$A$1:$I$89,5,0)</f>
        <v>5.9412741393316544E-14</v>
      </c>
      <c r="EL184" s="14">
        <f t="shared" si="179"/>
        <v>9.483138037075782E-13</v>
      </c>
      <c r="EM184" s="22">
        <f t="shared" si="180"/>
        <v>1.7551237327173916E-12</v>
      </c>
      <c r="EN184" s="62">
        <f t="shared" si="128"/>
        <v>287.46618246786829</v>
      </c>
      <c r="EO184" s="62">
        <f ca="1">AVERAGE(OFFSET($EN$3,0,0,'Données projet'!$E$15+1,1))-AVERAGE(OFFSET($H$3,0,0,'Données projet'!$E$15+1,1))</f>
        <v>418.23737352070503</v>
      </c>
      <c r="EP184" s="62">
        <f t="shared" si="154"/>
        <v>496.10742685332968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1.1368683772161603E-13</v>
      </c>
      <c r="FF184" s="18">
        <f>FE184*VLOOKUP('Données projet'!$B$16,Paramètres!$A$1:$I$89,3,0)*VLOOKUP('Données projet'!$B$16,Paramètres!$A$1:$I$89,5,0)</f>
        <v>6.7984728957526396E-14</v>
      </c>
      <c r="FG184" s="14">
        <f t="shared" si="182"/>
        <v>1.0682447123141398E-12</v>
      </c>
      <c r="FH184" s="22">
        <f t="shared" si="183"/>
        <v>1.978932943548152E-12</v>
      </c>
      <c r="FI184" s="62">
        <f t="shared" si="131"/>
        <v>287.46618246786852</v>
      </c>
      <c r="FJ184" s="62">
        <f ca="1">AVERAGE(OFFSET($FI$3,0,0,'Données projet'!$E$16+1,1))-AVERAGE(OFFSET($H$3,0,0,'Données projet'!$E$16+1,1))</f>
        <v>341.70983624543067</v>
      </c>
      <c r="FK184" s="62">
        <f t="shared" si="156"/>
        <v>250.82562837973805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2.3195378784270544E-22</v>
      </c>
      <c r="FT184" s="24">
        <f t="shared" si="184"/>
        <v>2.3195378784270544E-22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-2.2737367544323206E-13</v>
      </c>
      <c r="GA184" s="18">
        <f>FZ184*VLOOKUP('Données projet'!$B$17,Paramètres!$A$1:$I$89,3,0)*VLOOKUP('Données projet'!$B$17,Paramètres!$A$1:$I$89,5,0)</f>
        <v>-1.064108801074326E-13</v>
      </c>
      <c r="GB184" s="14" t="e">
        <f t="shared" si="185"/>
        <v>#NUM!</v>
      </c>
      <c r="GC184" s="22" t="e">
        <f t="shared" si="186"/>
        <v>#NUM!</v>
      </c>
      <c r="GD184" s="62" t="e">
        <f t="shared" si="134"/>
        <v>#NUM!</v>
      </c>
      <c r="GE184" s="62">
        <f ca="1">AVERAGE(OFFSET($GD$3,0,0,'Données projet'!$E$17+1,1))-AVERAGE(OFFSET($H$3,0,0,'Données projet'!$E$17+1,1))</f>
        <v>368.69628434154333</v>
      </c>
      <c r="GF184" s="62">
        <f t="shared" si="158"/>
        <v>202.28197295839524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-1.1368683772161603E-13</v>
      </c>
      <c r="GV184" s="18">
        <f>GU184*VLOOKUP('Données projet'!$B$18,Paramètres!$A$1:$I$89,3,0)*VLOOKUP('Données projet'!$B$18,Paramètres!$A$1:$I$89,5,0)</f>
        <v>-9.9316821433603781E-14</v>
      </c>
      <c r="GW184" s="14" t="e">
        <f t="shared" si="188"/>
        <v>#NUM!</v>
      </c>
      <c r="GX184" s="22" t="e">
        <f t="shared" si="189"/>
        <v>#NUM!</v>
      </c>
      <c r="GY184" s="62" t="e">
        <f t="shared" si="137"/>
        <v>#NUM!</v>
      </c>
      <c r="GZ184" s="62">
        <f ca="1">AVERAGE(OFFSET($GY$3,0,0,'Données projet'!$E$18+1,1))-AVERAGE(OFFSET($H$3,0,0,'Données projet'!$E$18+1,1))</f>
        <v>378.51861272969165</v>
      </c>
      <c r="HA184" s="62">
        <f t="shared" si="160"/>
        <v>387.42368617035459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0</v>
      </c>
      <c r="HH184" s="23">
        <f>EXP(-LN(2)/25)*HH183+(1-EXP(-LN(2)/25))/(LN(2)/25)*Calculateur!HC184*Calculateur!HE184*VLOOKUP('Données projet'!$B$18,Paramètres!$A$1:$I$89,3,0)*0.475*44/12</f>
        <v>0</v>
      </c>
      <c r="HI184" s="23">
        <f>EXP(-LN(2)/2)*HI183+(1-EXP(-LN(2)/2))/(LN(2)/2)*HC184*HF184*VLOOKUP('Données projet'!$B$18,Paramètres!$A$1:$I$89,3,0)*0.475*44/12</f>
        <v>0</v>
      </c>
      <c r="HJ184" s="24">
        <f t="shared" si="190"/>
        <v>0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135.66666666666666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287.56796441840009</v>
      </c>
      <c r="S185" s="62">
        <f ca="1">AVERAGE(OFFSET($R$3,0,0,'Données projet'!$E$9+1,1))-AVERAGE(OFFSET($H$3,0,0,'Données projet'!$E$9+1,1))</f>
        <v>437.94016462147999</v>
      </c>
      <c r="T185" s="62">
        <f t="shared" si="142"/>
        <v>281.88254003380348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1.0837223733499501E-22</v>
      </c>
      <c r="AC185" s="24">
        <f t="shared" si="163"/>
        <v>1.0837223733499501E-22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1.0286385077051818E-13</v>
      </c>
      <c r="AK185" s="14">
        <f t="shared" si="164"/>
        <v>1.5402366592183556E-12</v>
      </c>
      <c r="AL185" s="22">
        <f t="shared" si="165"/>
        <v>2.8617333882306215E-12</v>
      </c>
      <c r="AM185" s="62">
        <f t="shared" si="113"/>
        <v>287.56796441840095</v>
      </c>
      <c r="AN185" s="62">
        <f ca="1">AVERAGE(OFFSET($AM$3,0,0,'Données projet'!$E$10+1,1))-AVERAGE(OFFSET($H$3,0,0,'Données projet'!$E$10+1,1))</f>
        <v>434.56763649859136</v>
      </c>
      <c r="AO185" s="62">
        <f t="shared" si="144"/>
        <v>271.90302066766264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6.7984728957526396E-14</v>
      </c>
      <c r="BF185" s="14">
        <f t="shared" si="167"/>
        <v>1.0682447123141398E-12</v>
      </c>
      <c r="BG185" s="22">
        <f t="shared" si="168"/>
        <v>1.978932943548152E-12</v>
      </c>
      <c r="BH185" s="62">
        <f t="shared" si="116"/>
        <v>287.56796441840009</v>
      </c>
      <c r="BI185" s="62">
        <f ca="1">AVERAGE(OFFSET($BH$3,0,0,'Données projet'!$E$11+1,1))-AVERAGE(OFFSET($H$3,0,0,'Données projet'!$E$11+1,1))</f>
        <v>199.65420589615553</v>
      </c>
      <c r="BJ185" s="62">
        <f t="shared" si="146"/>
        <v>477.85821088970999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2.6276239256191194</v>
      </c>
      <c r="BQ185" s="23">
        <f>EXP(-LN(2)/25)*BQ184+(1-EXP(-LN(2)/25))/(LN(2)/25)*Calculateur!BL185*Calculateur!BN185*VLOOKUP('Données projet'!$B$11,Paramètres!$A$1:$I$89,3,0)*0.475*44/12</f>
        <v>0.64965800355738523</v>
      </c>
      <c r="BR185" s="23">
        <f>EXP(-LN(2)/2)*BR184+(1-EXP(-LN(2)/2))/(LN(2)/2)*BL185*BO185*VLOOKUP('Données projet'!$B$11,Paramètres!$A$1:$I$89,3,0)*0.475*44/12</f>
        <v>5.7660953669824634E-22</v>
      </c>
      <c r="BS185" s="24">
        <f t="shared" si="169"/>
        <v>3.2772819291765045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1.1368683772161603E-13</v>
      </c>
      <c r="BZ185" s="14">
        <f>BY185*VLOOKUP('Données projet'!$B$12,Paramètres!$A$1:$I$89,3,0)*VLOOKUP('Données projet'!$B$12,Paramètres!$A$1:$I$89,5,0)</f>
        <v>6.7984728957526396E-14</v>
      </c>
      <c r="CA185" s="14">
        <f t="shared" si="170"/>
        <v>1.0682447123141398E-12</v>
      </c>
      <c r="CB185" s="22">
        <f t="shared" si="171"/>
        <v>1.978932943548152E-12</v>
      </c>
      <c r="CC185" s="62">
        <f t="shared" si="119"/>
        <v>287.56796441840009</v>
      </c>
      <c r="CD185" s="62">
        <f ca="1">AVERAGE(OFFSET($CC$3,0,0,'Données projet'!$E$12+1,1))-AVERAGE(OFFSET($H$3,0,0,'Données projet'!$E$12+1,1))</f>
        <v>437.94016462147999</v>
      </c>
      <c r="CE185" s="62">
        <f t="shared" si="148"/>
        <v>281.88254003380348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1.0837223733499501E-22</v>
      </c>
      <c r="CN185" s="24">
        <f t="shared" si="172"/>
        <v>1.0837223733499501E-22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1.1368683772161603E-13</v>
      </c>
      <c r="CU185" s="18">
        <f>CT185*VLOOKUP('Données projet'!$B$13,Paramètres!$A$1:$I$89,3,0)*VLOOKUP('Données projet'!$B$13,Paramètres!$A$1:$I$89,5,0)</f>
        <v>1.2946657079737634E-13</v>
      </c>
      <c r="CV185" s="14">
        <f t="shared" si="173"/>
        <v>1.8873591890224769E-12</v>
      </c>
      <c r="CW185" s="22">
        <f t="shared" si="174"/>
        <v>3.5126381983529106E-12</v>
      </c>
      <c r="CX185" s="62">
        <f t="shared" si="122"/>
        <v>287.56796441840163</v>
      </c>
      <c r="CY185" s="62">
        <f ca="1">AVERAGE(OFFSET($CX$3,0,0,'Données projet'!$E$13+1,1))-AVERAGE(OFFSET($H$3,0,0,'Données projet'!$E$13+1,1))</f>
        <v>520.23742527061836</v>
      </c>
      <c r="CZ185" s="62">
        <f t="shared" si="150"/>
        <v>321.35925479331274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>
        <f>DO185*VLOOKUP('Données projet'!$B$14,Paramètres!$A$1:$I$89,3,0)*VLOOKUP('Données projet'!$B$14,Paramètres!$A$1:$I$89,5,0)</f>
        <v>0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547.89540791313675</v>
      </c>
      <c r="DU185" s="62">
        <f t="shared" si="152"/>
        <v>345.19555189302378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5.6843418860808015E-14</v>
      </c>
      <c r="EK185" s="18">
        <f>EJ185*VLOOKUP('Données projet'!$B$15,Paramètres!$A$1:$I$89,3,0)*VLOOKUP('Données projet'!$B$15,Paramètres!$A$1:$I$89,5,0)</f>
        <v>5.9412741393316544E-14</v>
      </c>
      <c r="EL185" s="14">
        <f t="shared" si="179"/>
        <v>9.483138037075782E-13</v>
      </c>
      <c r="EM185" s="22">
        <f t="shared" si="180"/>
        <v>1.7551237327173916E-12</v>
      </c>
      <c r="EN185" s="62">
        <f t="shared" si="128"/>
        <v>287.56796441839987</v>
      </c>
      <c r="EO185" s="62">
        <f ca="1">AVERAGE(OFFSET($EN$3,0,0,'Données projet'!$E$15+1,1))-AVERAGE(OFFSET($H$3,0,0,'Données projet'!$E$15+1,1))</f>
        <v>418.23737352070503</v>
      </c>
      <c r="EP185" s="62">
        <f t="shared" si="154"/>
        <v>496.10742685332968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1.1368683772161603E-13</v>
      </c>
      <c r="FF185" s="18">
        <f>FE185*VLOOKUP('Données projet'!$B$16,Paramètres!$A$1:$I$89,3,0)*VLOOKUP('Données projet'!$B$16,Paramètres!$A$1:$I$89,5,0)</f>
        <v>6.7984728957526396E-14</v>
      </c>
      <c r="FG185" s="14">
        <f t="shared" si="182"/>
        <v>1.0682447123141398E-12</v>
      </c>
      <c r="FH185" s="22">
        <f t="shared" si="183"/>
        <v>1.978932943548152E-12</v>
      </c>
      <c r="FI185" s="62">
        <f t="shared" si="131"/>
        <v>287.56796441840009</v>
      </c>
      <c r="FJ185" s="62">
        <f ca="1">AVERAGE(OFFSET($FI$3,0,0,'Données projet'!$E$16+1,1))-AVERAGE(OFFSET($H$3,0,0,'Données projet'!$E$16+1,1))</f>
        <v>341.70983624543067</v>
      </c>
      <c r="FK185" s="62">
        <f t="shared" si="156"/>
        <v>250.82562837973805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1.6401609630548278E-22</v>
      </c>
      <c r="FT185" s="24">
        <f t="shared" si="184"/>
        <v>1.6401609630548278E-22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-2.2737367544323206E-13</v>
      </c>
      <c r="GA185" s="18">
        <f>FZ185*VLOOKUP('Données projet'!$B$17,Paramètres!$A$1:$I$89,3,0)*VLOOKUP('Données projet'!$B$17,Paramètres!$A$1:$I$89,5,0)</f>
        <v>-1.064108801074326E-13</v>
      </c>
      <c r="GB185" s="14" t="e">
        <f t="shared" si="185"/>
        <v>#NUM!</v>
      </c>
      <c r="GC185" s="22" t="e">
        <f t="shared" si="186"/>
        <v>#NUM!</v>
      </c>
      <c r="GD185" s="62" t="e">
        <f t="shared" si="134"/>
        <v>#NUM!</v>
      </c>
      <c r="GE185" s="62">
        <f ca="1">AVERAGE(OFFSET($GD$3,0,0,'Données projet'!$E$17+1,1))-AVERAGE(OFFSET($H$3,0,0,'Données projet'!$E$17+1,1))</f>
        <v>368.69628434154333</v>
      </c>
      <c r="GF185" s="62">
        <f t="shared" si="158"/>
        <v>202.28197295839524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-1.1368683772161603E-13</v>
      </c>
      <c r="GV185" s="18">
        <f>GU185*VLOOKUP('Données projet'!$B$18,Paramètres!$A$1:$I$89,3,0)*VLOOKUP('Données projet'!$B$18,Paramètres!$A$1:$I$89,5,0)</f>
        <v>-9.9316821433603781E-14</v>
      </c>
      <c r="GW185" s="14" t="e">
        <f t="shared" si="188"/>
        <v>#NUM!</v>
      </c>
      <c r="GX185" s="22" t="e">
        <f t="shared" si="189"/>
        <v>#NUM!</v>
      </c>
      <c r="GY185" s="62" t="e">
        <f t="shared" si="137"/>
        <v>#NUM!</v>
      </c>
      <c r="GZ185" s="62">
        <f ca="1">AVERAGE(OFFSET($GY$3,0,0,'Données projet'!$E$18+1,1))-AVERAGE(OFFSET($H$3,0,0,'Données projet'!$E$18+1,1))</f>
        <v>378.51861272969165</v>
      </c>
      <c r="HA185" s="62">
        <f t="shared" si="160"/>
        <v>387.42368617035459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0</v>
      </c>
      <c r="HH185" s="23">
        <f>EXP(-LN(2)/25)*HH184+(1-EXP(-LN(2)/25))/(LN(2)/25)*Calculateur!HC185*Calculateur!HE185*VLOOKUP('Données projet'!$B$18,Paramètres!$A$1:$I$89,3,0)*0.475*44/12</f>
        <v>0</v>
      </c>
      <c r="HI185" s="23">
        <f>EXP(-LN(2)/2)*HI184+(1-EXP(-LN(2)/2))/(LN(2)/2)*HC185*HF185*VLOOKUP('Données projet'!$B$18,Paramètres!$A$1:$I$89,3,0)*0.475*44/12</f>
        <v>0</v>
      </c>
      <c r="HJ185" s="24">
        <f t="shared" si="190"/>
        <v>0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135.66666666666666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287.66798067964032</v>
      </c>
      <c r="S186" s="62">
        <f ca="1">AVERAGE(OFFSET($R$3,0,0,'Données projet'!$E$9+1,1))-AVERAGE(OFFSET($H$3,0,0,'Données projet'!$E$9+1,1))</f>
        <v>437.94016462147999</v>
      </c>
      <c r="T186" s="62">
        <f t="shared" si="142"/>
        <v>281.88254003380348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7.6630743911932916E-23</v>
      </c>
      <c r="AC186" s="24">
        <f t="shared" si="163"/>
        <v>7.6630743911932916E-23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1.0286385077051818E-13</v>
      </c>
      <c r="AK186" s="14">
        <f t="shared" si="164"/>
        <v>1.5402366592183556E-12</v>
      </c>
      <c r="AL186" s="22">
        <f t="shared" si="165"/>
        <v>2.8617333882306215E-12</v>
      </c>
      <c r="AM186" s="62">
        <f t="shared" si="113"/>
        <v>287.66798067964118</v>
      </c>
      <c r="AN186" s="62">
        <f ca="1">AVERAGE(OFFSET($AM$3,0,0,'Données projet'!$E$10+1,1))-AVERAGE(OFFSET($H$3,0,0,'Données projet'!$E$10+1,1))</f>
        <v>434.56763649859136</v>
      </c>
      <c r="AO186" s="62">
        <f t="shared" si="144"/>
        <v>271.90302066766264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6.7984728957526396E-14</v>
      </c>
      <c r="BF186" s="14">
        <f t="shared" si="167"/>
        <v>1.0682447123141398E-12</v>
      </c>
      <c r="BG186" s="22">
        <f t="shared" si="168"/>
        <v>1.978932943548152E-12</v>
      </c>
      <c r="BH186" s="62">
        <f t="shared" si="116"/>
        <v>287.66798067964032</v>
      </c>
      <c r="BI186" s="62">
        <f ca="1">AVERAGE(OFFSET($BH$3,0,0,'Données projet'!$E$11+1,1))-AVERAGE(OFFSET($H$3,0,0,'Données projet'!$E$11+1,1))</f>
        <v>199.65420589615553</v>
      </c>
      <c r="BJ186" s="62">
        <f t="shared" si="146"/>
        <v>477.85821088970999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2.5760978231300702</v>
      </c>
      <c r="BQ186" s="23">
        <f>EXP(-LN(2)/25)*BQ185+(1-EXP(-LN(2)/25))/(LN(2)/25)*Calculateur!BL186*Calculateur!BN186*VLOOKUP('Données projet'!$B$11,Paramètres!$A$1:$I$89,3,0)*0.475*44/12</f>
        <v>0.63189307128607897</v>
      </c>
      <c r="BR186" s="23">
        <f>EXP(-LN(2)/2)*BR185+(1-EXP(-LN(2)/2))/(LN(2)/2)*BL186*BO186*VLOOKUP('Données projet'!$B$11,Paramètres!$A$1:$I$89,3,0)*0.475*44/12</f>
        <v>4.0772451349616342E-22</v>
      </c>
      <c r="BS186" s="24">
        <f t="shared" si="169"/>
        <v>3.2079908944161493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1.1368683772161603E-13</v>
      </c>
      <c r="BZ186" s="14">
        <f>BY186*VLOOKUP('Données projet'!$B$12,Paramètres!$A$1:$I$89,3,0)*VLOOKUP('Données projet'!$B$12,Paramètres!$A$1:$I$89,5,0)</f>
        <v>6.7984728957526396E-14</v>
      </c>
      <c r="CA186" s="14">
        <f t="shared" si="170"/>
        <v>1.0682447123141398E-12</v>
      </c>
      <c r="CB186" s="22">
        <f t="shared" si="171"/>
        <v>1.978932943548152E-12</v>
      </c>
      <c r="CC186" s="62">
        <f t="shared" si="119"/>
        <v>287.66798067964032</v>
      </c>
      <c r="CD186" s="62">
        <f ca="1">AVERAGE(OFFSET($CC$3,0,0,'Données projet'!$E$12+1,1))-AVERAGE(OFFSET($H$3,0,0,'Données projet'!$E$12+1,1))</f>
        <v>437.94016462147999</v>
      </c>
      <c r="CE186" s="62">
        <f t="shared" si="148"/>
        <v>281.88254003380348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7.6630743911932916E-23</v>
      </c>
      <c r="CN186" s="24">
        <f t="shared" si="172"/>
        <v>7.6630743911932916E-23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1.1368683772161603E-13</v>
      </c>
      <c r="CU186" s="18">
        <f>CT186*VLOOKUP('Données projet'!$B$13,Paramètres!$A$1:$I$89,3,0)*VLOOKUP('Données projet'!$B$13,Paramètres!$A$1:$I$89,5,0)</f>
        <v>1.2946657079737634E-13</v>
      </c>
      <c r="CV186" s="14">
        <f t="shared" si="173"/>
        <v>1.8873591890224769E-12</v>
      </c>
      <c r="CW186" s="22">
        <f t="shared" si="174"/>
        <v>3.5126381983529106E-12</v>
      </c>
      <c r="CX186" s="62">
        <f t="shared" si="122"/>
        <v>287.66798067964186</v>
      </c>
      <c r="CY186" s="62">
        <f ca="1">AVERAGE(OFFSET($CX$3,0,0,'Données projet'!$E$13+1,1))-AVERAGE(OFFSET($H$3,0,0,'Données projet'!$E$13+1,1))</f>
        <v>520.23742527061836</v>
      </c>
      <c r="CZ186" s="62">
        <f t="shared" si="150"/>
        <v>321.35925479331274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>
        <f>DO186*VLOOKUP('Données projet'!$B$14,Paramètres!$A$1:$I$89,3,0)*VLOOKUP('Données projet'!$B$14,Paramètres!$A$1:$I$89,5,0)</f>
        <v>0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547.89540791313675</v>
      </c>
      <c r="DU186" s="62">
        <f t="shared" si="152"/>
        <v>345.19555189302378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5.6843418860808015E-14</v>
      </c>
      <c r="EK186" s="18">
        <f>EJ186*VLOOKUP('Données projet'!$B$15,Paramètres!$A$1:$I$89,3,0)*VLOOKUP('Données projet'!$B$15,Paramètres!$A$1:$I$89,5,0)</f>
        <v>5.9412741393316544E-14</v>
      </c>
      <c r="EL186" s="14">
        <f t="shared" si="179"/>
        <v>9.483138037075782E-13</v>
      </c>
      <c r="EM186" s="22">
        <f t="shared" si="180"/>
        <v>1.7551237327173916E-12</v>
      </c>
      <c r="EN186" s="62">
        <f t="shared" si="128"/>
        <v>287.6679806796401</v>
      </c>
      <c r="EO186" s="62">
        <f ca="1">AVERAGE(OFFSET($EN$3,0,0,'Données projet'!$E$15+1,1))-AVERAGE(OFFSET($H$3,0,0,'Données projet'!$E$15+1,1))</f>
        <v>418.23737352070503</v>
      </c>
      <c r="EP186" s="62">
        <f t="shared" si="154"/>
        <v>496.10742685332968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1.1368683772161603E-13</v>
      </c>
      <c r="FF186" s="18">
        <f>FE186*VLOOKUP('Données projet'!$B$16,Paramètres!$A$1:$I$89,3,0)*VLOOKUP('Données projet'!$B$16,Paramètres!$A$1:$I$89,5,0)</f>
        <v>6.7984728957526396E-14</v>
      </c>
      <c r="FG186" s="14">
        <f t="shared" si="182"/>
        <v>1.0682447123141398E-12</v>
      </c>
      <c r="FH186" s="22">
        <f t="shared" si="183"/>
        <v>1.978932943548152E-12</v>
      </c>
      <c r="FI186" s="62">
        <f t="shared" si="131"/>
        <v>287.66798067964032</v>
      </c>
      <c r="FJ186" s="62">
        <f ca="1">AVERAGE(OFFSET($FI$3,0,0,'Données projet'!$E$16+1,1))-AVERAGE(OFFSET($H$3,0,0,'Données projet'!$E$16+1,1))</f>
        <v>341.70983624543067</v>
      </c>
      <c r="FK186" s="62">
        <f t="shared" si="156"/>
        <v>250.82562837973805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1.1597689392135272E-22</v>
      </c>
      <c r="FT186" s="24">
        <f t="shared" si="184"/>
        <v>1.1597689392135272E-22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-2.2737367544323206E-13</v>
      </c>
      <c r="GA186" s="18">
        <f>FZ186*VLOOKUP('Données projet'!$B$17,Paramètres!$A$1:$I$89,3,0)*VLOOKUP('Données projet'!$B$17,Paramètres!$A$1:$I$89,5,0)</f>
        <v>-1.064108801074326E-13</v>
      </c>
      <c r="GB186" s="14" t="e">
        <f t="shared" si="185"/>
        <v>#NUM!</v>
      </c>
      <c r="GC186" s="22" t="e">
        <f t="shared" si="186"/>
        <v>#NUM!</v>
      </c>
      <c r="GD186" s="62" t="e">
        <f t="shared" si="134"/>
        <v>#NUM!</v>
      </c>
      <c r="GE186" s="62">
        <f ca="1">AVERAGE(OFFSET($GD$3,0,0,'Données projet'!$E$17+1,1))-AVERAGE(OFFSET($H$3,0,0,'Données projet'!$E$17+1,1))</f>
        <v>368.69628434154333</v>
      </c>
      <c r="GF186" s="62">
        <f t="shared" si="158"/>
        <v>202.28197295839524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-1.1368683772161603E-13</v>
      </c>
      <c r="GV186" s="18">
        <f>GU186*VLOOKUP('Données projet'!$B$18,Paramètres!$A$1:$I$89,3,0)*VLOOKUP('Données projet'!$B$18,Paramètres!$A$1:$I$89,5,0)</f>
        <v>-9.9316821433603781E-14</v>
      </c>
      <c r="GW186" s="14" t="e">
        <f t="shared" si="188"/>
        <v>#NUM!</v>
      </c>
      <c r="GX186" s="22" t="e">
        <f t="shared" si="189"/>
        <v>#NUM!</v>
      </c>
      <c r="GY186" s="62" t="e">
        <f t="shared" si="137"/>
        <v>#NUM!</v>
      </c>
      <c r="GZ186" s="62">
        <f ca="1">AVERAGE(OFFSET($GY$3,0,0,'Données projet'!$E$18+1,1))-AVERAGE(OFFSET($H$3,0,0,'Données projet'!$E$18+1,1))</f>
        <v>378.51861272969165</v>
      </c>
      <c r="HA186" s="62">
        <f t="shared" si="160"/>
        <v>387.42368617035459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0</v>
      </c>
      <c r="HH186" s="23">
        <f>EXP(-LN(2)/25)*HH185+(1-EXP(-LN(2)/25))/(LN(2)/25)*Calculateur!HC186*Calculateur!HE186*VLOOKUP('Données projet'!$B$18,Paramètres!$A$1:$I$89,3,0)*0.475*44/12</f>
        <v>0</v>
      </c>
      <c r="HI186" s="23">
        <f>EXP(-LN(2)/2)*HI185+(1-EXP(-LN(2)/2))/(LN(2)/2)*HC186*HF186*VLOOKUP('Données projet'!$B$18,Paramètres!$A$1:$I$89,3,0)*0.475*44/12</f>
        <v>0</v>
      </c>
      <c r="HJ186" s="24">
        <f t="shared" si="190"/>
        <v>0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135.66666666666666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287.76626188235082</v>
      </c>
      <c r="S187" s="62">
        <f ca="1">AVERAGE(OFFSET($R$3,0,0,'Données projet'!$E$9+1,1))-AVERAGE(OFFSET($H$3,0,0,'Données projet'!$E$9+1,1))</f>
        <v>437.94016462147999</v>
      </c>
      <c r="T187" s="62">
        <f t="shared" si="142"/>
        <v>281.88254003380348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5.4186118667497507E-23</v>
      </c>
      <c r="AC187" s="24">
        <f t="shared" si="163"/>
        <v>5.4186118667497507E-23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1.0286385077051818E-13</v>
      </c>
      <c r="AK187" s="14">
        <f t="shared" si="164"/>
        <v>1.5402366592183556E-12</v>
      </c>
      <c r="AL187" s="22">
        <f t="shared" si="165"/>
        <v>2.8617333882306215E-12</v>
      </c>
      <c r="AM187" s="62">
        <f t="shared" si="113"/>
        <v>287.76626188235167</v>
      </c>
      <c r="AN187" s="62">
        <f ca="1">AVERAGE(OFFSET($AM$3,0,0,'Données projet'!$E$10+1,1))-AVERAGE(OFFSET($H$3,0,0,'Données projet'!$E$10+1,1))</f>
        <v>434.56763649859136</v>
      </c>
      <c r="AO187" s="62">
        <f t="shared" si="144"/>
        <v>271.90302066766264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6.7984728957526396E-14</v>
      </c>
      <c r="BF187" s="14">
        <f t="shared" si="167"/>
        <v>1.0682447123141398E-12</v>
      </c>
      <c r="BG187" s="22">
        <f t="shared" si="168"/>
        <v>1.978932943548152E-12</v>
      </c>
      <c r="BH187" s="62">
        <f t="shared" si="116"/>
        <v>287.76626188235082</v>
      </c>
      <c r="BI187" s="62">
        <f ca="1">AVERAGE(OFFSET($BH$3,0,0,'Données projet'!$E$11+1,1))-AVERAGE(OFFSET($H$3,0,0,'Données projet'!$E$11+1,1))</f>
        <v>199.65420589615553</v>
      </c>
      <c r="BJ187" s="62">
        <f t="shared" si="146"/>
        <v>477.85821088970999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2.5255821160830121</v>
      </c>
      <c r="BQ187" s="23">
        <f>EXP(-LN(2)/25)*BQ186+(1-EXP(-LN(2)/25))/(LN(2)/25)*Calculateur!BL187*Calculateur!BN187*VLOOKUP('Données projet'!$B$11,Paramètres!$A$1:$I$89,3,0)*0.475*44/12</f>
        <v>0.61461392202194876</v>
      </c>
      <c r="BR187" s="23">
        <f>EXP(-LN(2)/2)*BR186+(1-EXP(-LN(2)/2))/(LN(2)/2)*BL187*BO187*VLOOKUP('Données projet'!$B$11,Paramètres!$A$1:$I$89,3,0)*0.475*44/12</f>
        <v>2.8830476834912317E-22</v>
      </c>
      <c r="BS187" s="24">
        <f t="shared" si="169"/>
        <v>3.140196038104961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1.1368683772161603E-13</v>
      </c>
      <c r="BZ187" s="14">
        <f>BY187*VLOOKUP('Données projet'!$B$12,Paramètres!$A$1:$I$89,3,0)*VLOOKUP('Données projet'!$B$12,Paramètres!$A$1:$I$89,5,0)</f>
        <v>6.7984728957526396E-14</v>
      </c>
      <c r="CA187" s="14">
        <f t="shared" si="170"/>
        <v>1.0682447123141398E-12</v>
      </c>
      <c r="CB187" s="22">
        <f t="shared" si="171"/>
        <v>1.978932943548152E-12</v>
      </c>
      <c r="CC187" s="62">
        <f t="shared" si="119"/>
        <v>287.76626188235082</v>
      </c>
      <c r="CD187" s="62">
        <f ca="1">AVERAGE(OFFSET($CC$3,0,0,'Données projet'!$E$12+1,1))-AVERAGE(OFFSET($H$3,0,0,'Données projet'!$E$12+1,1))</f>
        <v>437.94016462147999</v>
      </c>
      <c r="CE187" s="62">
        <f t="shared" si="148"/>
        <v>281.88254003380348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5.4186118667497507E-23</v>
      </c>
      <c r="CN187" s="24">
        <f t="shared" si="172"/>
        <v>5.4186118667497507E-23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1.1368683772161603E-13</v>
      </c>
      <c r="CU187" s="18">
        <f>CT187*VLOOKUP('Données projet'!$B$13,Paramètres!$A$1:$I$89,3,0)*VLOOKUP('Données projet'!$B$13,Paramètres!$A$1:$I$89,5,0)</f>
        <v>1.2946657079737634E-13</v>
      </c>
      <c r="CV187" s="14">
        <f t="shared" si="173"/>
        <v>1.8873591890224769E-12</v>
      </c>
      <c r="CW187" s="22">
        <f t="shared" si="174"/>
        <v>3.5126381983529106E-12</v>
      </c>
      <c r="CX187" s="62">
        <f t="shared" si="122"/>
        <v>287.76626188235235</v>
      </c>
      <c r="CY187" s="62">
        <f ca="1">AVERAGE(OFFSET($CX$3,0,0,'Données projet'!$E$13+1,1))-AVERAGE(OFFSET($H$3,0,0,'Données projet'!$E$13+1,1))</f>
        <v>520.23742527061836</v>
      </c>
      <c r="CZ187" s="62">
        <f t="shared" si="150"/>
        <v>321.35925479331274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>
        <f>DO187*VLOOKUP('Données projet'!$B$14,Paramètres!$A$1:$I$89,3,0)*VLOOKUP('Données projet'!$B$14,Paramètres!$A$1:$I$89,5,0)</f>
        <v>0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547.89540791313675</v>
      </c>
      <c r="DU187" s="62">
        <f t="shared" si="152"/>
        <v>345.19555189302378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5.6843418860808015E-14</v>
      </c>
      <c r="EK187" s="18">
        <f>EJ187*VLOOKUP('Données projet'!$B$15,Paramètres!$A$1:$I$89,3,0)*VLOOKUP('Données projet'!$B$15,Paramètres!$A$1:$I$89,5,0)</f>
        <v>5.9412741393316544E-14</v>
      </c>
      <c r="EL187" s="14">
        <f t="shared" si="179"/>
        <v>9.483138037075782E-13</v>
      </c>
      <c r="EM187" s="22">
        <f t="shared" si="180"/>
        <v>1.7551237327173916E-12</v>
      </c>
      <c r="EN187" s="62">
        <f t="shared" si="128"/>
        <v>287.76626188235059</v>
      </c>
      <c r="EO187" s="62">
        <f ca="1">AVERAGE(OFFSET($EN$3,0,0,'Données projet'!$E$15+1,1))-AVERAGE(OFFSET($H$3,0,0,'Données projet'!$E$15+1,1))</f>
        <v>418.23737352070503</v>
      </c>
      <c r="EP187" s="62">
        <f t="shared" si="154"/>
        <v>496.10742685332968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1.1368683772161603E-13</v>
      </c>
      <c r="FF187" s="18">
        <f>FE187*VLOOKUP('Données projet'!$B$16,Paramètres!$A$1:$I$89,3,0)*VLOOKUP('Données projet'!$B$16,Paramètres!$A$1:$I$89,5,0)</f>
        <v>6.7984728957526396E-14</v>
      </c>
      <c r="FG187" s="14">
        <f t="shared" si="182"/>
        <v>1.0682447123141398E-12</v>
      </c>
      <c r="FH187" s="22">
        <f t="shared" si="183"/>
        <v>1.978932943548152E-12</v>
      </c>
      <c r="FI187" s="62">
        <f t="shared" si="131"/>
        <v>287.76626188235082</v>
      </c>
      <c r="FJ187" s="62">
        <f ca="1">AVERAGE(OFFSET($FI$3,0,0,'Données projet'!$E$16+1,1))-AVERAGE(OFFSET($H$3,0,0,'Données projet'!$E$16+1,1))</f>
        <v>341.70983624543067</v>
      </c>
      <c r="FK187" s="62">
        <f t="shared" si="156"/>
        <v>250.82562837973805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8.2008048152741392E-23</v>
      </c>
      <c r="FT187" s="24">
        <f t="shared" si="184"/>
        <v>8.2008048152741392E-23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-2.2737367544323206E-13</v>
      </c>
      <c r="GA187" s="18">
        <f>FZ187*VLOOKUP('Données projet'!$B$17,Paramètres!$A$1:$I$89,3,0)*VLOOKUP('Données projet'!$B$17,Paramètres!$A$1:$I$89,5,0)</f>
        <v>-1.064108801074326E-13</v>
      </c>
      <c r="GB187" s="14" t="e">
        <f t="shared" si="185"/>
        <v>#NUM!</v>
      </c>
      <c r="GC187" s="22" t="e">
        <f t="shared" si="186"/>
        <v>#NUM!</v>
      </c>
      <c r="GD187" s="62" t="e">
        <f t="shared" si="134"/>
        <v>#NUM!</v>
      </c>
      <c r="GE187" s="62">
        <f ca="1">AVERAGE(OFFSET($GD$3,0,0,'Données projet'!$E$17+1,1))-AVERAGE(OFFSET($H$3,0,0,'Données projet'!$E$17+1,1))</f>
        <v>368.69628434154333</v>
      </c>
      <c r="GF187" s="62">
        <f t="shared" si="158"/>
        <v>202.28197295839524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-1.1368683772161603E-13</v>
      </c>
      <c r="GV187" s="18">
        <f>GU187*VLOOKUP('Données projet'!$B$18,Paramètres!$A$1:$I$89,3,0)*VLOOKUP('Données projet'!$B$18,Paramètres!$A$1:$I$89,5,0)</f>
        <v>-9.9316821433603781E-14</v>
      </c>
      <c r="GW187" s="14" t="e">
        <f t="shared" si="188"/>
        <v>#NUM!</v>
      </c>
      <c r="GX187" s="22" t="e">
        <f t="shared" si="189"/>
        <v>#NUM!</v>
      </c>
      <c r="GY187" s="62" t="e">
        <f t="shared" si="137"/>
        <v>#NUM!</v>
      </c>
      <c r="GZ187" s="62">
        <f ca="1">AVERAGE(OFFSET($GY$3,0,0,'Données projet'!$E$18+1,1))-AVERAGE(OFFSET($H$3,0,0,'Données projet'!$E$18+1,1))</f>
        <v>378.51861272969165</v>
      </c>
      <c r="HA187" s="62">
        <f t="shared" si="160"/>
        <v>387.42368617035459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0</v>
      </c>
      <c r="HH187" s="23">
        <f>EXP(-LN(2)/25)*HH186+(1-EXP(-LN(2)/25))/(LN(2)/25)*Calculateur!HC187*Calculateur!HE187*VLOOKUP('Données projet'!$B$18,Paramètres!$A$1:$I$89,3,0)*0.475*44/12</f>
        <v>0</v>
      </c>
      <c r="HI187" s="23">
        <f>EXP(-LN(2)/2)*HI186+(1-EXP(-LN(2)/2))/(LN(2)/2)*HC187*HF187*VLOOKUP('Données projet'!$B$18,Paramètres!$A$1:$I$89,3,0)*0.475*44/12</f>
        <v>0</v>
      </c>
      <c r="HJ187" s="24">
        <f t="shared" si="190"/>
        <v>0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135.66666666666666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287.86283812591824</v>
      </c>
      <c r="S188" s="62">
        <f ca="1">AVERAGE(OFFSET($R$3,0,0,'Données projet'!$E$9+1,1))-AVERAGE(OFFSET($H$3,0,0,'Données projet'!$E$9+1,1))</f>
        <v>437.94016462147999</v>
      </c>
      <c r="T188" s="62">
        <f t="shared" si="142"/>
        <v>281.88254003380348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3.8315371955966458E-23</v>
      </c>
      <c r="AC188" s="24">
        <f t="shared" si="163"/>
        <v>3.8315371955966458E-23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1.0286385077051818E-13</v>
      </c>
      <c r="AK188" s="14">
        <f t="shared" si="164"/>
        <v>1.5402366592183556E-12</v>
      </c>
      <c r="AL188" s="22">
        <f t="shared" si="165"/>
        <v>2.8617333882306215E-12</v>
      </c>
      <c r="AM188" s="62">
        <f t="shared" si="113"/>
        <v>287.8628381259191</v>
      </c>
      <c r="AN188" s="62">
        <f ca="1">AVERAGE(OFFSET($AM$3,0,0,'Données projet'!$E$10+1,1))-AVERAGE(OFFSET($H$3,0,0,'Données projet'!$E$10+1,1))</f>
        <v>434.56763649859136</v>
      </c>
      <c r="AO188" s="62">
        <f t="shared" si="144"/>
        <v>271.90302066766264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6.7984728957526396E-14</v>
      </c>
      <c r="BF188" s="14">
        <f t="shared" si="167"/>
        <v>1.0682447123141398E-12</v>
      </c>
      <c r="BG188" s="22">
        <f t="shared" si="168"/>
        <v>1.978932943548152E-12</v>
      </c>
      <c r="BH188" s="62">
        <f t="shared" si="116"/>
        <v>287.86283812591824</v>
      </c>
      <c r="BI188" s="62">
        <f ca="1">AVERAGE(OFFSET($BH$3,0,0,'Données projet'!$E$11+1,1))-AVERAGE(OFFSET($H$3,0,0,'Données projet'!$E$11+1,1))</f>
        <v>199.65420589615553</v>
      </c>
      <c r="BJ188" s="62">
        <f t="shared" si="146"/>
        <v>477.85821088970999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2.476056991239608</v>
      </c>
      <c r="BQ188" s="23">
        <f>EXP(-LN(2)/25)*BQ187+(1-EXP(-LN(2)/25))/(LN(2)/25)*Calculateur!BL188*Calculateur!BN188*VLOOKUP('Données projet'!$B$11,Paramètres!$A$1:$I$89,3,0)*0.475*44/12</f>
        <v>0.59780727200311712</v>
      </c>
      <c r="BR188" s="23">
        <f>EXP(-LN(2)/2)*BR187+(1-EXP(-LN(2)/2))/(LN(2)/2)*BL188*BO188*VLOOKUP('Données projet'!$B$11,Paramètres!$A$1:$I$89,3,0)*0.475*44/12</f>
        <v>2.0386225674808171E-22</v>
      </c>
      <c r="BS188" s="24">
        <f t="shared" si="169"/>
        <v>3.0738642632427249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1.1368683772161603E-13</v>
      </c>
      <c r="BZ188" s="14">
        <f>BY188*VLOOKUP('Données projet'!$B$12,Paramètres!$A$1:$I$89,3,0)*VLOOKUP('Données projet'!$B$12,Paramètres!$A$1:$I$89,5,0)</f>
        <v>6.7984728957526396E-14</v>
      </c>
      <c r="CA188" s="14">
        <f t="shared" si="170"/>
        <v>1.0682447123141398E-12</v>
      </c>
      <c r="CB188" s="22">
        <f t="shared" si="171"/>
        <v>1.978932943548152E-12</v>
      </c>
      <c r="CC188" s="62">
        <f t="shared" si="119"/>
        <v>287.86283812591824</v>
      </c>
      <c r="CD188" s="62">
        <f ca="1">AVERAGE(OFFSET($CC$3,0,0,'Données projet'!$E$12+1,1))-AVERAGE(OFFSET($H$3,0,0,'Données projet'!$E$12+1,1))</f>
        <v>437.94016462147999</v>
      </c>
      <c r="CE188" s="62">
        <f t="shared" si="148"/>
        <v>281.88254003380348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3.8315371955966458E-23</v>
      </c>
      <c r="CN188" s="24">
        <f t="shared" si="172"/>
        <v>3.8315371955966458E-23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1.1368683772161603E-13</v>
      </c>
      <c r="CU188" s="18">
        <f>CT188*VLOOKUP('Données projet'!$B$13,Paramètres!$A$1:$I$89,3,0)*VLOOKUP('Données projet'!$B$13,Paramètres!$A$1:$I$89,5,0)</f>
        <v>1.2946657079737634E-13</v>
      </c>
      <c r="CV188" s="14">
        <f t="shared" si="173"/>
        <v>1.8873591890224769E-12</v>
      </c>
      <c r="CW188" s="22">
        <f t="shared" si="174"/>
        <v>3.5126381983529106E-12</v>
      </c>
      <c r="CX188" s="62">
        <f t="shared" si="122"/>
        <v>287.86283812591978</v>
      </c>
      <c r="CY188" s="62">
        <f ca="1">AVERAGE(OFFSET($CX$3,0,0,'Données projet'!$E$13+1,1))-AVERAGE(OFFSET($H$3,0,0,'Données projet'!$E$13+1,1))</f>
        <v>520.23742527061836</v>
      </c>
      <c r="CZ188" s="62">
        <f t="shared" si="150"/>
        <v>321.35925479331274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>
        <f>DO188*VLOOKUP('Données projet'!$B$14,Paramètres!$A$1:$I$89,3,0)*VLOOKUP('Données projet'!$B$14,Paramètres!$A$1:$I$89,5,0)</f>
        <v>0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547.89540791313675</v>
      </c>
      <c r="DU188" s="62">
        <f t="shared" si="152"/>
        <v>345.19555189302378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5.6843418860808015E-14</v>
      </c>
      <c r="EK188" s="18">
        <f>EJ188*VLOOKUP('Données projet'!$B$15,Paramètres!$A$1:$I$89,3,0)*VLOOKUP('Données projet'!$B$15,Paramètres!$A$1:$I$89,5,0)</f>
        <v>5.9412741393316544E-14</v>
      </c>
      <c r="EL188" s="14">
        <f t="shared" si="179"/>
        <v>9.483138037075782E-13</v>
      </c>
      <c r="EM188" s="22">
        <f t="shared" si="180"/>
        <v>1.7551237327173916E-12</v>
      </c>
      <c r="EN188" s="62">
        <f t="shared" si="128"/>
        <v>287.86283812591802</v>
      </c>
      <c r="EO188" s="62">
        <f ca="1">AVERAGE(OFFSET($EN$3,0,0,'Données projet'!$E$15+1,1))-AVERAGE(OFFSET($H$3,0,0,'Données projet'!$E$15+1,1))</f>
        <v>418.23737352070503</v>
      </c>
      <c r="EP188" s="62">
        <f t="shared" si="154"/>
        <v>496.10742685332968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1.1368683772161603E-13</v>
      </c>
      <c r="FF188" s="18">
        <f>FE188*VLOOKUP('Données projet'!$B$16,Paramètres!$A$1:$I$89,3,0)*VLOOKUP('Données projet'!$B$16,Paramètres!$A$1:$I$89,5,0)</f>
        <v>6.7984728957526396E-14</v>
      </c>
      <c r="FG188" s="14">
        <f t="shared" si="182"/>
        <v>1.0682447123141398E-12</v>
      </c>
      <c r="FH188" s="22">
        <f t="shared" si="183"/>
        <v>1.978932943548152E-12</v>
      </c>
      <c r="FI188" s="62">
        <f t="shared" si="131"/>
        <v>287.86283812591824</v>
      </c>
      <c r="FJ188" s="62">
        <f ca="1">AVERAGE(OFFSET($FI$3,0,0,'Données projet'!$E$16+1,1))-AVERAGE(OFFSET($H$3,0,0,'Données projet'!$E$16+1,1))</f>
        <v>341.70983624543067</v>
      </c>
      <c r="FK188" s="62">
        <f t="shared" si="156"/>
        <v>250.82562837973805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5.798844696067636E-23</v>
      </c>
      <c r="FT188" s="24">
        <f t="shared" si="184"/>
        <v>5.798844696067636E-23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-2.2737367544323206E-13</v>
      </c>
      <c r="GA188" s="18">
        <f>FZ188*VLOOKUP('Données projet'!$B$17,Paramètres!$A$1:$I$89,3,0)*VLOOKUP('Données projet'!$B$17,Paramètres!$A$1:$I$89,5,0)</f>
        <v>-1.064108801074326E-13</v>
      </c>
      <c r="GB188" s="14" t="e">
        <f t="shared" si="185"/>
        <v>#NUM!</v>
      </c>
      <c r="GC188" s="22" t="e">
        <f t="shared" si="186"/>
        <v>#NUM!</v>
      </c>
      <c r="GD188" s="62" t="e">
        <f t="shared" si="134"/>
        <v>#NUM!</v>
      </c>
      <c r="GE188" s="62">
        <f ca="1">AVERAGE(OFFSET($GD$3,0,0,'Données projet'!$E$17+1,1))-AVERAGE(OFFSET($H$3,0,0,'Données projet'!$E$17+1,1))</f>
        <v>368.69628434154333</v>
      </c>
      <c r="GF188" s="62">
        <f t="shared" si="158"/>
        <v>202.28197295839524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-1.1368683772161603E-13</v>
      </c>
      <c r="GV188" s="18">
        <f>GU188*VLOOKUP('Données projet'!$B$18,Paramètres!$A$1:$I$89,3,0)*VLOOKUP('Données projet'!$B$18,Paramètres!$A$1:$I$89,5,0)</f>
        <v>-9.9316821433603781E-14</v>
      </c>
      <c r="GW188" s="14" t="e">
        <f t="shared" si="188"/>
        <v>#NUM!</v>
      </c>
      <c r="GX188" s="22" t="e">
        <f t="shared" si="189"/>
        <v>#NUM!</v>
      </c>
      <c r="GY188" s="62" t="e">
        <f t="shared" si="137"/>
        <v>#NUM!</v>
      </c>
      <c r="GZ188" s="62">
        <f ca="1">AVERAGE(OFFSET($GY$3,0,0,'Données projet'!$E$18+1,1))-AVERAGE(OFFSET($H$3,0,0,'Données projet'!$E$18+1,1))</f>
        <v>378.51861272969165</v>
      </c>
      <c r="HA188" s="62">
        <f t="shared" si="160"/>
        <v>387.42368617035459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0</v>
      </c>
      <c r="HH188" s="23">
        <f>EXP(-LN(2)/25)*HH187+(1-EXP(-LN(2)/25))/(LN(2)/25)*Calculateur!HC188*Calculateur!HE188*VLOOKUP('Données projet'!$B$18,Paramètres!$A$1:$I$89,3,0)*0.475*44/12</f>
        <v>0</v>
      </c>
      <c r="HI188" s="23">
        <f>EXP(-LN(2)/2)*HI187+(1-EXP(-LN(2)/2))/(LN(2)/2)*HC188*HF188*VLOOKUP('Données projet'!$B$18,Paramètres!$A$1:$I$89,3,0)*0.475*44/12</f>
        <v>0</v>
      </c>
      <c r="HJ188" s="24">
        <f t="shared" si="190"/>
        <v>0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135.66666666666666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287.95773898757182</v>
      </c>
      <c r="S189" s="62">
        <f ca="1">AVERAGE(OFFSET($R$3,0,0,'Données projet'!$E$9+1,1))-AVERAGE(OFFSET($H$3,0,0,'Données projet'!$E$9+1,1))</f>
        <v>437.94016462147999</v>
      </c>
      <c r="T189" s="62">
        <f t="shared" si="142"/>
        <v>281.88254003380348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2.7093059333748754E-23</v>
      </c>
      <c r="AC189" s="24">
        <f t="shared" si="163"/>
        <v>2.7093059333748754E-23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1.0286385077051818E-13</v>
      </c>
      <c r="AK189" s="14">
        <f t="shared" si="164"/>
        <v>1.5402366592183556E-12</v>
      </c>
      <c r="AL189" s="22">
        <f t="shared" si="165"/>
        <v>2.8617333882306215E-12</v>
      </c>
      <c r="AM189" s="62">
        <f t="shared" si="113"/>
        <v>287.95773898757267</v>
      </c>
      <c r="AN189" s="62">
        <f ca="1">AVERAGE(OFFSET($AM$3,0,0,'Données projet'!$E$10+1,1))-AVERAGE(OFFSET($H$3,0,0,'Données projet'!$E$10+1,1))</f>
        <v>434.56763649859136</v>
      </c>
      <c r="AO189" s="62">
        <f t="shared" si="144"/>
        <v>271.90302066766264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6.7984728957526396E-14</v>
      </c>
      <c r="BF189" s="14">
        <f t="shared" si="167"/>
        <v>1.0682447123141398E-12</v>
      </c>
      <c r="BG189" s="22">
        <f t="shared" si="168"/>
        <v>1.978932943548152E-12</v>
      </c>
      <c r="BH189" s="62">
        <f t="shared" si="116"/>
        <v>287.95773898757182</v>
      </c>
      <c r="BI189" s="62">
        <f ca="1">AVERAGE(OFFSET($BH$3,0,0,'Données projet'!$E$11+1,1))-AVERAGE(OFFSET($H$3,0,0,'Données projet'!$E$11+1,1))</f>
        <v>199.65420589615553</v>
      </c>
      <c r="BJ189" s="62">
        <f t="shared" si="146"/>
        <v>477.85821088970999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2.4275030238870396</v>
      </c>
      <c r="BQ189" s="23">
        <f>EXP(-LN(2)/25)*BQ188+(1-EXP(-LN(2)/25))/(LN(2)/25)*Calculateur!BL189*Calculateur!BN189*VLOOKUP('Données projet'!$B$11,Paramètres!$A$1:$I$89,3,0)*0.475*44/12</f>
        <v>0.58146020071287374</v>
      </c>
      <c r="BR189" s="23">
        <f>EXP(-LN(2)/2)*BR188+(1-EXP(-LN(2)/2))/(LN(2)/2)*BL189*BO189*VLOOKUP('Données projet'!$B$11,Paramètres!$A$1:$I$89,3,0)*0.475*44/12</f>
        <v>1.4415238417456158E-22</v>
      </c>
      <c r="BS189" s="24">
        <f t="shared" si="169"/>
        <v>3.0089632245999134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1.1368683772161603E-13</v>
      </c>
      <c r="BZ189" s="14">
        <f>BY189*VLOOKUP('Données projet'!$B$12,Paramètres!$A$1:$I$89,3,0)*VLOOKUP('Données projet'!$B$12,Paramètres!$A$1:$I$89,5,0)</f>
        <v>6.7984728957526396E-14</v>
      </c>
      <c r="CA189" s="14">
        <f t="shared" si="170"/>
        <v>1.0682447123141398E-12</v>
      </c>
      <c r="CB189" s="22">
        <f t="shared" si="171"/>
        <v>1.978932943548152E-12</v>
      </c>
      <c r="CC189" s="62">
        <f t="shared" si="119"/>
        <v>287.95773898757182</v>
      </c>
      <c r="CD189" s="62">
        <f ca="1">AVERAGE(OFFSET($CC$3,0,0,'Données projet'!$E$12+1,1))-AVERAGE(OFFSET($H$3,0,0,'Données projet'!$E$12+1,1))</f>
        <v>437.94016462147999</v>
      </c>
      <c r="CE189" s="62">
        <f t="shared" si="148"/>
        <v>281.88254003380348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2.7093059333748754E-23</v>
      </c>
      <c r="CN189" s="24">
        <f t="shared" si="172"/>
        <v>2.7093059333748754E-23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1.1368683772161603E-13</v>
      </c>
      <c r="CU189" s="18">
        <f>CT189*VLOOKUP('Données projet'!$B$13,Paramètres!$A$1:$I$89,3,0)*VLOOKUP('Données projet'!$B$13,Paramètres!$A$1:$I$89,5,0)</f>
        <v>1.2946657079737634E-13</v>
      </c>
      <c r="CV189" s="14">
        <f t="shared" si="173"/>
        <v>1.8873591890224769E-12</v>
      </c>
      <c r="CW189" s="22">
        <f t="shared" si="174"/>
        <v>3.5126381983529106E-12</v>
      </c>
      <c r="CX189" s="62">
        <f t="shared" si="122"/>
        <v>287.95773898757335</v>
      </c>
      <c r="CY189" s="62">
        <f ca="1">AVERAGE(OFFSET($CX$3,0,0,'Données projet'!$E$13+1,1))-AVERAGE(OFFSET($H$3,0,0,'Données projet'!$E$13+1,1))</f>
        <v>520.23742527061836</v>
      </c>
      <c r="CZ189" s="62">
        <f t="shared" si="150"/>
        <v>321.35925479331274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>
        <f>DO189*VLOOKUP('Données projet'!$B$14,Paramètres!$A$1:$I$89,3,0)*VLOOKUP('Données projet'!$B$14,Paramètres!$A$1:$I$89,5,0)</f>
        <v>0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547.89540791313675</v>
      </c>
      <c r="DU189" s="62">
        <f t="shared" si="152"/>
        <v>345.19555189302378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5.6843418860808015E-14</v>
      </c>
      <c r="EK189" s="18">
        <f>EJ189*VLOOKUP('Données projet'!$B$15,Paramètres!$A$1:$I$89,3,0)*VLOOKUP('Données projet'!$B$15,Paramètres!$A$1:$I$89,5,0)</f>
        <v>5.9412741393316544E-14</v>
      </c>
      <c r="EL189" s="14">
        <f t="shared" si="179"/>
        <v>9.483138037075782E-13</v>
      </c>
      <c r="EM189" s="22">
        <f t="shared" si="180"/>
        <v>1.7551237327173916E-12</v>
      </c>
      <c r="EN189" s="62">
        <f t="shared" si="128"/>
        <v>287.95773898757159</v>
      </c>
      <c r="EO189" s="62">
        <f ca="1">AVERAGE(OFFSET($EN$3,0,0,'Données projet'!$E$15+1,1))-AVERAGE(OFFSET($H$3,0,0,'Données projet'!$E$15+1,1))</f>
        <v>418.23737352070503</v>
      </c>
      <c r="EP189" s="62">
        <f t="shared" si="154"/>
        <v>496.10742685332968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1.1368683772161603E-13</v>
      </c>
      <c r="FF189" s="18">
        <f>FE189*VLOOKUP('Données projet'!$B$16,Paramètres!$A$1:$I$89,3,0)*VLOOKUP('Données projet'!$B$16,Paramètres!$A$1:$I$89,5,0)</f>
        <v>6.7984728957526396E-14</v>
      </c>
      <c r="FG189" s="14">
        <f t="shared" si="182"/>
        <v>1.0682447123141398E-12</v>
      </c>
      <c r="FH189" s="22">
        <f t="shared" si="183"/>
        <v>1.978932943548152E-12</v>
      </c>
      <c r="FI189" s="62">
        <f t="shared" si="131"/>
        <v>287.95773898757182</v>
      </c>
      <c r="FJ189" s="62">
        <f ca="1">AVERAGE(OFFSET($FI$3,0,0,'Données projet'!$E$16+1,1))-AVERAGE(OFFSET($H$3,0,0,'Données projet'!$E$16+1,1))</f>
        <v>341.70983624543067</v>
      </c>
      <c r="FK189" s="62">
        <f t="shared" si="156"/>
        <v>250.82562837973805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4.1004024076370696E-23</v>
      </c>
      <c r="FT189" s="24">
        <f t="shared" si="184"/>
        <v>4.1004024076370696E-23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-2.2737367544323206E-13</v>
      </c>
      <c r="GA189" s="18">
        <f>FZ189*VLOOKUP('Données projet'!$B$17,Paramètres!$A$1:$I$89,3,0)*VLOOKUP('Données projet'!$B$17,Paramètres!$A$1:$I$89,5,0)</f>
        <v>-1.064108801074326E-13</v>
      </c>
      <c r="GB189" s="14" t="e">
        <f t="shared" si="185"/>
        <v>#NUM!</v>
      </c>
      <c r="GC189" s="22" t="e">
        <f t="shared" si="186"/>
        <v>#NUM!</v>
      </c>
      <c r="GD189" s="62" t="e">
        <f t="shared" si="134"/>
        <v>#NUM!</v>
      </c>
      <c r="GE189" s="62">
        <f ca="1">AVERAGE(OFFSET($GD$3,0,0,'Données projet'!$E$17+1,1))-AVERAGE(OFFSET($H$3,0,0,'Données projet'!$E$17+1,1))</f>
        <v>368.69628434154333</v>
      </c>
      <c r="GF189" s="62">
        <f t="shared" si="158"/>
        <v>202.28197295839524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-1.1368683772161603E-13</v>
      </c>
      <c r="GV189" s="18">
        <f>GU189*VLOOKUP('Données projet'!$B$18,Paramètres!$A$1:$I$89,3,0)*VLOOKUP('Données projet'!$B$18,Paramètres!$A$1:$I$89,5,0)</f>
        <v>-9.9316821433603781E-14</v>
      </c>
      <c r="GW189" s="14" t="e">
        <f t="shared" si="188"/>
        <v>#NUM!</v>
      </c>
      <c r="GX189" s="22" t="e">
        <f t="shared" si="189"/>
        <v>#NUM!</v>
      </c>
      <c r="GY189" s="62" t="e">
        <f t="shared" si="137"/>
        <v>#NUM!</v>
      </c>
      <c r="GZ189" s="62">
        <f ca="1">AVERAGE(OFFSET($GY$3,0,0,'Données projet'!$E$18+1,1))-AVERAGE(OFFSET($H$3,0,0,'Données projet'!$E$18+1,1))</f>
        <v>378.51861272969165</v>
      </c>
      <c r="HA189" s="62">
        <f t="shared" si="160"/>
        <v>387.42368617035459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0</v>
      </c>
      <c r="HH189" s="23">
        <f>EXP(-LN(2)/25)*HH188+(1-EXP(-LN(2)/25))/(LN(2)/25)*Calculateur!HC189*Calculateur!HE189*VLOOKUP('Données projet'!$B$18,Paramètres!$A$1:$I$89,3,0)*0.475*44/12</f>
        <v>0</v>
      </c>
      <c r="HI189" s="23">
        <f>EXP(-LN(2)/2)*HI188+(1-EXP(-LN(2)/2))/(LN(2)/2)*HC189*HF189*VLOOKUP('Données projet'!$B$18,Paramètres!$A$1:$I$89,3,0)*0.475*44/12</f>
        <v>0</v>
      </c>
      <c r="HJ189" s="24">
        <f t="shared" si="190"/>
        <v>0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135.66666666666666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288.05099353144237</v>
      </c>
      <c r="S190" s="62">
        <f ca="1">AVERAGE(OFFSET($R$3,0,0,'Données projet'!$E$9+1,1))-AVERAGE(OFFSET($H$3,0,0,'Données projet'!$E$9+1,1))</f>
        <v>437.94016462147999</v>
      </c>
      <c r="T190" s="62">
        <f t="shared" si="142"/>
        <v>281.88254003380348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1.9157685977983229E-23</v>
      </c>
      <c r="AC190" s="24">
        <f t="shared" si="163"/>
        <v>1.9157685977983229E-23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1.0286385077051818E-13</v>
      </c>
      <c r="AK190" s="14">
        <f t="shared" si="164"/>
        <v>1.5402366592183556E-12</v>
      </c>
      <c r="AL190" s="22">
        <f t="shared" si="165"/>
        <v>2.8617333882306215E-12</v>
      </c>
      <c r="AM190" s="62">
        <f t="shared" si="113"/>
        <v>288.05099353144323</v>
      </c>
      <c r="AN190" s="62">
        <f ca="1">AVERAGE(OFFSET($AM$3,0,0,'Données projet'!$E$10+1,1))-AVERAGE(OFFSET($H$3,0,0,'Données projet'!$E$10+1,1))</f>
        <v>434.56763649859136</v>
      </c>
      <c r="AO190" s="62">
        <f t="shared" si="144"/>
        <v>271.90302066766264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6.7984728957526396E-14</v>
      </c>
      <c r="BF190" s="14">
        <f t="shared" si="167"/>
        <v>1.0682447123141398E-12</v>
      </c>
      <c r="BG190" s="22">
        <f t="shared" si="168"/>
        <v>1.978932943548152E-12</v>
      </c>
      <c r="BH190" s="62">
        <f t="shared" si="116"/>
        <v>288.05099353144237</v>
      </c>
      <c r="BI190" s="62">
        <f ca="1">AVERAGE(OFFSET($BH$3,0,0,'Données projet'!$E$11+1,1))-AVERAGE(OFFSET($H$3,0,0,'Données projet'!$E$11+1,1))</f>
        <v>199.65420589615553</v>
      </c>
      <c r="BJ190" s="62">
        <f t="shared" si="146"/>
        <v>477.85821088970999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2.3799011702192594</v>
      </c>
      <c r="BQ190" s="23">
        <f>EXP(-LN(2)/25)*BQ189+(1-EXP(-LN(2)/25))/(LN(2)/25)*Calculateur!BL190*Calculateur!BN190*VLOOKUP('Données projet'!$B$11,Paramètres!$A$1:$I$89,3,0)*0.475*44/12</f>
        <v>0.56556014094671725</v>
      </c>
      <c r="BR190" s="23">
        <f>EXP(-LN(2)/2)*BR189+(1-EXP(-LN(2)/2))/(LN(2)/2)*BL190*BO190*VLOOKUP('Données projet'!$B$11,Paramètres!$A$1:$I$89,3,0)*0.475*44/12</f>
        <v>1.0193112837404086E-22</v>
      </c>
      <c r="BS190" s="24">
        <f t="shared" si="169"/>
        <v>2.9454613111659764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1.1368683772161603E-13</v>
      </c>
      <c r="BZ190" s="14">
        <f>BY190*VLOOKUP('Données projet'!$B$12,Paramètres!$A$1:$I$89,3,0)*VLOOKUP('Données projet'!$B$12,Paramètres!$A$1:$I$89,5,0)</f>
        <v>6.7984728957526396E-14</v>
      </c>
      <c r="CA190" s="14">
        <f t="shared" si="170"/>
        <v>1.0682447123141398E-12</v>
      </c>
      <c r="CB190" s="22">
        <f t="shared" si="171"/>
        <v>1.978932943548152E-12</v>
      </c>
      <c r="CC190" s="62">
        <f t="shared" si="119"/>
        <v>288.05099353144237</v>
      </c>
      <c r="CD190" s="62">
        <f ca="1">AVERAGE(OFFSET($CC$3,0,0,'Données projet'!$E$12+1,1))-AVERAGE(OFFSET($H$3,0,0,'Données projet'!$E$12+1,1))</f>
        <v>437.94016462147999</v>
      </c>
      <c r="CE190" s="62">
        <f t="shared" si="148"/>
        <v>281.88254003380348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1.9157685977983229E-23</v>
      </c>
      <c r="CN190" s="24">
        <f t="shared" si="172"/>
        <v>1.9157685977983229E-23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1.1368683772161603E-13</v>
      </c>
      <c r="CU190" s="18">
        <f>CT190*VLOOKUP('Données projet'!$B$13,Paramètres!$A$1:$I$89,3,0)*VLOOKUP('Données projet'!$B$13,Paramètres!$A$1:$I$89,5,0)</f>
        <v>1.2946657079737634E-13</v>
      </c>
      <c r="CV190" s="14">
        <f t="shared" si="173"/>
        <v>1.8873591890224769E-12</v>
      </c>
      <c r="CW190" s="22">
        <f t="shared" si="174"/>
        <v>3.5126381983529106E-12</v>
      </c>
      <c r="CX190" s="62">
        <f t="shared" si="122"/>
        <v>288.05099353144391</v>
      </c>
      <c r="CY190" s="62">
        <f ca="1">AVERAGE(OFFSET($CX$3,0,0,'Données projet'!$E$13+1,1))-AVERAGE(OFFSET($H$3,0,0,'Données projet'!$E$13+1,1))</f>
        <v>520.23742527061836</v>
      </c>
      <c r="CZ190" s="62">
        <f t="shared" si="150"/>
        <v>321.35925479331274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>
        <f>DO190*VLOOKUP('Données projet'!$B$14,Paramètres!$A$1:$I$89,3,0)*VLOOKUP('Données projet'!$B$14,Paramètres!$A$1:$I$89,5,0)</f>
        <v>0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547.89540791313675</v>
      </c>
      <c r="DU190" s="62">
        <f t="shared" si="152"/>
        <v>345.19555189302378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5.6843418860808015E-14</v>
      </c>
      <c r="EK190" s="18">
        <f>EJ190*VLOOKUP('Données projet'!$B$15,Paramètres!$A$1:$I$89,3,0)*VLOOKUP('Données projet'!$B$15,Paramètres!$A$1:$I$89,5,0)</f>
        <v>5.9412741393316544E-14</v>
      </c>
      <c r="EL190" s="14">
        <f t="shared" si="179"/>
        <v>9.483138037075782E-13</v>
      </c>
      <c r="EM190" s="22">
        <f t="shared" si="180"/>
        <v>1.7551237327173916E-12</v>
      </c>
      <c r="EN190" s="62">
        <f t="shared" si="128"/>
        <v>288.05099353144215</v>
      </c>
      <c r="EO190" s="62">
        <f ca="1">AVERAGE(OFFSET($EN$3,0,0,'Données projet'!$E$15+1,1))-AVERAGE(OFFSET($H$3,0,0,'Données projet'!$E$15+1,1))</f>
        <v>418.23737352070503</v>
      </c>
      <c r="EP190" s="62">
        <f t="shared" si="154"/>
        <v>496.10742685332968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1.1368683772161603E-13</v>
      </c>
      <c r="FF190" s="18">
        <f>FE190*VLOOKUP('Données projet'!$B$16,Paramètres!$A$1:$I$89,3,0)*VLOOKUP('Données projet'!$B$16,Paramètres!$A$1:$I$89,5,0)</f>
        <v>6.7984728957526396E-14</v>
      </c>
      <c r="FG190" s="14">
        <f t="shared" si="182"/>
        <v>1.0682447123141398E-12</v>
      </c>
      <c r="FH190" s="22">
        <f t="shared" si="183"/>
        <v>1.978932943548152E-12</v>
      </c>
      <c r="FI190" s="62">
        <f t="shared" si="131"/>
        <v>288.05099353144237</v>
      </c>
      <c r="FJ190" s="62">
        <f ca="1">AVERAGE(OFFSET($FI$3,0,0,'Données projet'!$E$16+1,1))-AVERAGE(OFFSET($H$3,0,0,'Données projet'!$E$16+1,1))</f>
        <v>341.70983624543067</v>
      </c>
      <c r="FK190" s="62">
        <f t="shared" si="156"/>
        <v>250.82562837973805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2.899422348033818E-23</v>
      </c>
      <c r="FT190" s="24">
        <f t="shared" si="184"/>
        <v>2.899422348033818E-23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-2.2737367544323206E-13</v>
      </c>
      <c r="GA190" s="18">
        <f>FZ190*VLOOKUP('Données projet'!$B$17,Paramètres!$A$1:$I$89,3,0)*VLOOKUP('Données projet'!$B$17,Paramètres!$A$1:$I$89,5,0)</f>
        <v>-1.064108801074326E-13</v>
      </c>
      <c r="GB190" s="14" t="e">
        <f t="shared" si="185"/>
        <v>#NUM!</v>
      </c>
      <c r="GC190" s="22" t="e">
        <f t="shared" si="186"/>
        <v>#NUM!</v>
      </c>
      <c r="GD190" s="62" t="e">
        <f t="shared" si="134"/>
        <v>#NUM!</v>
      </c>
      <c r="GE190" s="62">
        <f ca="1">AVERAGE(OFFSET($GD$3,0,0,'Données projet'!$E$17+1,1))-AVERAGE(OFFSET($H$3,0,0,'Données projet'!$E$17+1,1))</f>
        <v>368.69628434154333</v>
      </c>
      <c r="GF190" s="62">
        <f t="shared" si="158"/>
        <v>202.28197295839524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-1.1368683772161603E-13</v>
      </c>
      <c r="GV190" s="18">
        <f>GU190*VLOOKUP('Données projet'!$B$18,Paramètres!$A$1:$I$89,3,0)*VLOOKUP('Données projet'!$B$18,Paramètres!$A$1:$I$89,5,0)</f>
        <v>-9.9316821433603781E-14</v>
      </c>
      <c r="GW190" s="14" t="e">
        <f t="shared" si="188"/>
        <v>#NUM!</v>
      </c>
      <c r="GX190" s="22" t="e">
        <f t="shared" si="189"/>
        <v>#NUM!</v>
      </c>
      <c r="GY190" s="62" t="e">
        <f t="shared" si="137"/>
        <v>#NUM!</v>
      </c>
      <c r="GZ190" s="62">
        <f ca="1">AVERAGE(OFFSET($GY$3,0,0,'Données projet'!$E$18+1,1))-AVERAGE(OFFSET($H$3,0,0,'Données projet'!$E$18+1,1))</f>
        <v>378.51861272969165</v>
      </c>
      <c r="HA190" s="62">
        <f t="shared" si="160"/>
        <v>387.42368617035459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0</v>
      </c>
      <c r="HH190" s="23">
        <f>EXP(-LN(2)/25)*HH189+(1-EXP(-LN(2)/25))/(LN(2)/25)*Calculateur!HC190*Calculateur!HE190*VLOOKUP('Données projet'!$B$18,Paramètres!$A$1:$I$89,3,0)*0.475*44/12</f>
        <v>0</v>
      </c>
      <c r="HI190" s="23">
        <f>EXP(-LN(2)/2)*HI189+(1-EXP(-LN(2)/2))/(LN(2)/2)*HC190*HF190*VLOOKUP('Données projet'!$B$18,Paramètres!$A$1:$I$89,3,0)*0.475*44/12</f>
        <v>0</v>
      </c>
      <c r="HJ190" s="24">
        <f t="shared" si="190"/>
        <v>0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135.66666666666666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288.14263031746259</v>
      </c>
      <c r="S191" s="62">
        <f ca="1">AVERAGE(OFFSET($R$3,0,0,'Données projet'!$E$9+1,1))-AVERAGE(OFFSET($H$3,0,0,'Données projet'!$E$9+1,1))</f>
        <v>437.94016462147999</v>
      </c>
      <c r="T191" s="62">
        <f t="shared" si="142"/>
        <v>281.88254003380348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1.3546529666874377E-23</v>
      </c>
      <c r="AC191" s="24">
        <f t="shared" si="163"/>
        <v>1.3546529666874377E-23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1.0286385077051818E-13</v>
      </c>
      <c r="AK191" s="14">
        <f t="shared" si="164"/>
        <v>1.5402366592183556E-12</v>
      </c>
      <c r="AL191" s="22">
        <f t="shared" si="165"/>
        <v>2.8617333882306215E-12</v>
      </c>
      <c r="AM191" s="62">
        <f t="shared" si="113"/>
        <v>288.14263031746344</v>
      </c>
      <c r="AN191" s="62">
        <f ca="1">AVERAGE(OFFSET($AM$3,0,0,'Données projet'!$E$10+1,1))-AVERAGE(OFFSET($H$3,0,0,'Données projet'!$E$10+1,1))</f>
        <v>434.56763649859136</v>
      </c>
      <c r="AO191" s="62">
        <f t="shared" si="144"/>
        <v>271.90302066766264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6.7984728957526396E-14</v>
      </c>
      <c r="BF191" s="14">
        <f t="shared" si="167"/>
        <v>1.0682447123141398E-12</v>
      </c>
      <c r="BG191" s="22">
        <f t="shared" si="168"/>
        <v>1.978932943548152E-12</v>
      </c>
      <c r="BH191" s="62">
        <f t="shared" si="116"/>
        <v>288.14263031746259</v>
      </c>
      <c r="BI191" s="62">
        <f ca="1">AVERAGE(OFFSET($BH$3,0,0,'Données projet'!$E$11+1,1))-AVERAGE(OFFSET($H$3,0,0,'Données projet'!$E$11+1,1))</f>
        <v>199.65420589615553</v>
      </c>
      <c r="BJ191" s="62">
        <f t="shared" si="146"/>
        <v>477.85821088970999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2.3332327598676401</v>
      </c>
      <c r="BQ191" s="23">
        <f>EXP(-LN(2)/25)*BQ190+(1-EXP(-LN(2)/25))/(LN(2)/25)*Calculateur!BL191*Calculateur!BN191*VLOOKUP('Données projet'!$B$11,Paramètres!$A$1:$I$89,3,0)*0.475*44/12</f>
        <v>0.55009486915101402</v>
      </c>
      <c r="BR191" s="23">
        <f>EXP(-LN(2)/2)*BR190+(1-EXP(-LN(2)/2))/(LN(2)/2)*BL191*BO191*VLOOKUP('Données projet'!$B$11,Paramètres!$A$1:$I$89,3,0)*0.475*44/12</f>
        <v>7.2076192087280792E-23</v>
      </c>
      <c r="BS191" s="24">
        <f t="shared" si="169"/>
        <v>2.883327629018654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1.1368683772161603E-13</v>
      </c>
      <c r="BZ191" s="14">
        <f>BY191*VLOOKUP('Données projet'!$B$12,Paramètres!$A$1:$I$89,3,0)*VLOOKUP('Données projet'!$B$12,Paramètres!$A$1:$I$89,5,0)</f>
        <v>6.7984728957526396E-14</v>
      </c>
      <c r="CA191" s="14">
        <f t="shared" si="170"/>
        <v>1.0682447123141398E-12</v>
      </c>
      <c r="CB191" s="22">
        <f t="shared" si="171"/>
        <v>1.978932943548152E-12</v>
      </c>
      <c r="CC191" s="62">
        <f t="shared" si="119"/>
        <v>288.14263031746259</v>
      </c>
      <c r="CD191" s="62">
        <f ca="1">AVERAGE(OFFSET($CC$3,0,0,'Données projet'!$E$12+1,1))-AVERAGE(OFFSET($H$3,0,0,'Données projet'!$E$12+1,1))</f>
        <v>437.94016462147999</v>
      </c>
      <c r="CE191" s="62">
        <f t="shared" si="148"/>
        <v>281.88254003380348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1.3546529666874377E-23</v>
      </c>
      <c r="CN191" s="24">
        <f t="shared" si="172"/>
        <v>1.3546529666874377E-23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1.1368683772161603E-13</v>
      </c>
      <c r="CU191" s="18">
        <f>CT191*VLOOKUP('Données projet'!$B$13,Paramètres!$A$1:$I$89,3,0)*VLOOKUP('Données projet'!$B$13,Paramètres!$A$1:$I$89,5,0)</f>
        <v>1.2946657079737634E-13</v>
      </c>
      <c r="CV191" s="14">
        <f t="shared" si="173"/>
        <v>1.8873591890224769E-12</v>
      </c>
      <c r="CW191" s="22">
        <f t="shared" si="174"/>
        <v>3.5126381983529106E-12</v>
      </c>
      <c r="CX191" s="62">
        <f t="shared" si="122"/>
        <v>288.14263031746412</v>
      </c>
      <c r="CY191" s="62">
        <f ca="1">AVERAGE(OFFSET($CX$3,0,0,'Données projet'!$E$13+1,1))-AVERAGE(OFFSET($H$3,0,0,'Données projet'!$E$13+1,1))</f>
        <v>520.23742527061836</v>
      </c>
      <c r="CZ191" s="62">
        <f t="shared" si="150"/>
        <v>321.35925479331274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>
        <f>DO191*VLOOKUP('Données projet'!$B$14,Paramètres!$A$1:$I$89,3,0)*VLOOKUP('Données projet'!$B$14,Paramètres!$A$1:$I$89,5,0)</f>
        <v>0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547.89540791313675</v>
      </c>
      <c r="DU191" s="62">
        <f t="shared" si="152"/>
        <v>345.19555189302378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5.6843418860808015E-14</v>
      </c>
      <c r="EK191" s="18">
        <f>EJ191*VLOOKUP('Données projet'!$B$15,Paramètres!$A$1:$I$89,3,0)*VLOOKUP('Données projet'!$B$15,Paramètres!$A$1:$I$89,5,0)</f>
        <v>5.9412741393316544E-14</v>
      </c>
      <c r="EL191" s="14">
        <f t="shared" si="179"/>
        <v>9.483138037075782E-13</v>
      </c>
      <c r="EM191" s="22">
        <f t="shared" si="180"/>
        <v>1.7551237327173916E-12</v>
      </c>
      <c r="EN191" s="62">
        <f t="shared" si="128"/>
        <v>288.14263031746236</v>
      </c>
      <c r="EO191" s="62">
        <f ca="1">AVERAGE(OFFSET($EN$3,0,0,'Données projet'!$E$15+1,1))-AVERAGE(OFFSET($H$3,0,0,'Données projet'!$E$15+1,1))</f>
        <v>418.23737352070503</v>
      </c>
      <c r="EP191" s="62">
        <f t="shared" si="154"/>
        <v>496.10742685332968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1.1368683772161603E-13</v>
      </c>
      <c r="FF191" s="18">
        <f>FE191*VLOOKUP('Données projet'!$B$16,Paramètres!$A$1:$I$89,3,0)*VLOOKUP('Données projet'!$B$16,Paramètres!$A$1:$I$89,5,0)</f>
        <v>6.7984728957526396E-14</v>
      </c>
      <c r="FG191" s="14">
        <f t="shared" si="182"/>
        <v>1.0682447123141398E-12</v>
      </c>
      <c r="FH191" s="22">
        <f t="shared" si="183"/>
        <v>1.978932943548152E-12</v>
      </c>
      <c r="FI191" s="62">
        <f t="shared" si="131"/>
        <v>288.14263031746259</v>
      </c>
      <c r="FJ191" s="62">
        <f ca="1">AVERAGE(OFFSET($FI$3,0,0,'Données projet'!$E$16+1,1))-AVERAGE(OFFSET($H$3,0,0,'Données projet'!$E$16+1,1))</f>
        <v>341.70983624543067</v>
      </c>
      <c r="FK191" s="62">
        <f t="shared" si="156"/>
        <v>250.82562837973805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2.0502012038185348E-23</v>
      </c>
      <c r="FT191" s="24">
        <f t="shared" si="184"/>
        <v>2.0502012038185348E-23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-2.2737367544323206E-13</v>
      </c>
      <c r="GA191" s="18">
        <f>FZ191*VLOOKUP('Données projet'!$B$17,Paramètres!$A$1:$I$89,3,0)*VLOOKUP('Données projet'!$B$17,Paramètres!$A$1:$I$89,5,0)</f>
        <v>-1.064108801074326E-13</v>
      </c>
      <c r="GB191" s="14" t="e">
        <f t="shared" si="185"/>
        <v>#NUM!</v>
      </c>
      <c r="GC191" s="22" t="e">
        <f t="shared" si="186"/>
        <v>#NUM!</v>
      </c>
      <c r="GD191" s="62" t="e">
        <f t="shared" si="134"/>
        <v>#NUM!</v>
      </c>
      <c r="GE191" s="62">
        <f ca="1">AVERAGE(OFFSET($GD$3,0,0,'Données projet'!$E$17+1,1))-AVERAGE(OFFSET($H$3,0,0,'Données projet'!$E$17+1,1))</f>
        <v>368.69628434154333</v>
      </c>
      <c r="GF191" s="62">
        <f t="shared" si="158"/>
        <v>202.28197295839524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-1.1368683772161603E-13</v>
      </c>
      <c r="GV191" s="18">
        <f>GU191*VLOOKUP('Données projet'!$B$18,Paramètres!$A$1:$I$89,3,0)*VLOOKUP('Données projet'!$B$18,Paramètres!$A$1:$I$89,5,0)</f>
        <v>-9.9316821433603781E-14</v>
      </c>
      <c r="GW191" s="14" t="e">
        <f t="shared" si="188"/>
        <v>#NUM!</v>
      </c>
      <c r="GX191" s="22" t="e">
        <f t="shared" si="189"/>
        <v>#NUM!</v>
      </c>
      <c r="GY191" s="62" t="e">
        <f t="shared" si="137"/>
        <v>#NUM!</v>
      </c>
      <c r="GZ191" s="62">
        <f ca="1">AVERAGE(OFFSET($GY$3,0,0,'Données projet'!$E$18+1,1))-AVERAGE(OFFSET($H$3,0,0,'Données projet'!$E$18+1,1))</f>
        <v>378.51861272969165</v>
      </c>
      <c r="HA191" s="62">
        <f t="shared" si="160"/>
        <v>387.42368617035459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0</v>
      </c>
      <c r="HH191" s="23">
        <f>EXP(-LN(2)/25)*HH190+(1-EXP(-LN(2)/25))/(LN(2)/25)*Calculateur!HC191*Calculateur!HE191*VLOOKUP('Données projet'!$B$18,Paramètres!$A$1:$I$89,3,0)*0.475*44/12</f>
        <v>0</v>
      </c>
      <c r="HI191" s="23">
        <f>EXP(-LN(2)/2)*HI190+(1-EXP(-LN(2)/2))/(LN(2)/2)*HC191*HF191*VLOOKUP('Données projet'!$B$18,Paramètres!$A$1:$I$89,3,0)*0.475*44/12</f>
        <v>0</v>
      </c>
      <c r="HJ191" s="24">
        <f t="shared" si="190"/>
        <v>0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135.66666666666666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288.23267741011455</v>
      </c>
      <c r="S192" s="62">
        <f ca="1">AVERAGE(OFFSET($R$3,0,0,'Données projet'!$E$9+1,1))-AVERAGE(OFFSET($H$3,0,0,'Données projet'!$E$9+1,1))</f>
        <v>437.94016462147999</v>
      </c>
      <c r="T192" s="62">
        <f t="shared" si="142"/>
        <v>281.88254003380348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9.5788429889916146E-24</v>
      </c>
      <c r="AC192" s="24">
        <f t="shared" si="163"/>
        <v>9.5788429889916146E-24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1.0286385077051818E-13</v>
      </c>
      <c r="AK192" s="14">
        <f t="shared" si="164"/>
        <v>1.5402366592183556E-12</v>
      </c>
      <c r="AL192" s="22">
        <f t="shared" si="165"/>
        <v>2.8617333882306215E-12</v>
      </c>
      <c r="AM192" s="62">
        <f t="shared" si="113"/>
        <v>288.2326774101154</v>
      </c>
      <c r="AN192" s="62">
        <f ca="1">AVERAGE(OFFSET($AM$3,0,0,'Données projet'!$E$10+1,1))-AVERAGE(OFFSET($H$3,0,0,'Données projet'!$E$10+1,1))</f>
        <v>434.56763649859136</v>
      </c>
      <c r="AO192" s="62">
        <f t="shared" si="144"/>
        <v>271.90302066766264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6.7984728957526396E-14</v>
      </c>
      <c r="BF192" s="14">
        <f t="shared" si="167"/>
        <v>1.0682447123141398E-12</v>
      </c>
      <c r="BG192" s="22">
        <f t="shared" si="168"/>
        <v>1.978932943548152E-12</v>
      </c>
      <c r="BH192" s="62">
        <f t="shared" si="116"/>
        <v>288.23267741011455</v>
      </c>
      <c r="BI192" s="62">
        <f ca="1">AVERAGE(OFFSET($BH$3,0,0,'Données projet'!$E$11+1,1))-AVERAGE(OFFSET($H$3,0,0,'Données projet'!$E$11+1,1))</f>
        <v>199.65420589615553</v>
      </c>
      <c r="BJ192" s="62">
        <f t="shared" si="146"/>
        <v>477.85821088970999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2.2874794885780965</v>
      </c>
      <c r="BQ192" s="23">
        <f>EXP(-LN(2)/25)*BQ191+(1-EXP(-LN(2)/25))/(LN(2)/25)*Calculateur!BL192*Calculateur!BN192*VLOOKUP('Données projet'!$B$11,Paramètres!$A$1:$I$89,3,0)*0.475*44/12</f>
        <v>0.53505249602584759</v>
      </c>
      <c r="BR192" s="23">
        <f>EXP(-LN(2)/2)*BR191+(1-EXP(-LN(2)/2))/(LN(2)/2)*BL192*BO192*VLOOKUP('Données projet'!$B$11,Paramètres!$A$1:$I$89,3,0)*0.475*44/12</f>
        <v>5.0965564187020428E-23</v>
      </c>
      <c r="BS192" s="24">
        <f t="shared" si="169"/>
        <v>2.8225319846039438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1.1368683772161603E-13</v>
      </c>
      <c r="BZ192" s="14">
        <f>BY192*VLOOKUP('Données projet'!$B$12,Paramètres!$A$1:$I$89,3,0)*VLOOKUP('Données projet'!$B$12,Paramètres!$A$1:$I$89,5,0)</f>
        <v>6.7984728957526396E-14</v>
      </c>
      <c r="CA192" s="14">
        <f t="shared" si="170"/>
        <v>1.0682447123141398E-12</v>
      </c>
      <c r="CB192" s="22">
        <f t="shared" si="171"/>
        <v>1.978932943548152E-12</v>
      </c>
      <c r="CC192" s="62">
        <f t="shared" si="119"/>
        <v>288.23267741011455</v>
      </c>
      <c r="CD192" s="62">
        <f ca="1">AVERAGE(OFFSET($CC$3,0,0,'Données projet'!$E$12+1,1))-AVERAGE(OFFSET($H$3,0,0,'Données projet'!$E$12+1,1))</f>
        <v>437.94016462147999</v>
      </c>
      <c r="CE192" s="62">
        <f t="shared" si="148"/>
        <v>281.88254003380348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9.5788429889916146E-24</v>
      </c>
      <c r="CN192" s="24">
        <f t="shared" si="172"/>
        <v>9.5788429889916146E-24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1.1368683772161603E-13</v>
      </c>
      <c r="CU192" s="18">
        <f>CT192*VLOOKUP('Données projet'!$B$13,Paramètres!$A$1:$I$89,3,0)*VLOOKUP('Données projet'!$B$13,Paramètres!$A$1:$I$89,5,0)</f>
        <v>1.2946657079737634E-13</v>
      </c>
      <c r="CV192" s="14">
        <f t="shared" si="173"/>
        <v>1.8873591890224769E-12</v>
      </c>
      <c r="CW192" s="22">
        <f t="shared" si="174"/>
        <v>3.5126381983529106E-12</v>
      </c>
      <c r="CX192" s="62">
        <f t="shared" si="122"/>
        <v>288.23267741011608</v>
      </c>
      <c r="CY192" s="62">
        <f ca="1">AVERAGE(OFFSET($CX$3,0,0,'Données projet'!$E$13+1,1))-AVERAGE(OFFSET($H$3,0,0,'Données projet'!$E$13+1,1))</f>
        <v>520.23742527061836</v>
      </c>
      <c r="CZ192" s="62">
        <f t="shared" si="150"/>
        <v>321.35925479331274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>
        <f>DO192*VLOOKUP('Données projet'!$B$14,Paramètres!$A$1:$I$89,3,0)*VLOOKUP('Données projet'!$B$14,Paramètres!$A$1:$I$89,5,0)</f>
        <v>0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547.89540791313675</v>
      </c>
      <c r="DU192" s="62">
        <f t="shared" si="152"/>
        <v>345.19555189302378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5.6843418860808015E-14</v>
      </c>
      <c r="EK192" s="18">
        <f>EJ192*VLOOKUP('Données projet'!$B$15,Paramètres!$A$1:$I$89,3,0)*VLOOKUP('Données projet'!$B$15,Paramètres!$A$1:$I$89,5,0)</f>
        <v>5.9412741393316544E-14</v>
      </c>
      <c r="EL192" s="14">
        <f t="shared" si="179"/>
        <v>9.483138037075782E-13</v>
      </c>
      <c r="EM192" s="22">
        <f t="shared" si="180"/>
        <v>1.7551237327173916E-12</v>
      </c>
      <c r="EN192" s="62">
        <f t="shared" si="128"/>
        <v>288.23267741011432</v>
      </c>
      <c r="EO192" s="62">
        <f ca="1">AVERAGE(OFFSET($EN$3,0,0,'Données projet'!$E$15+1,1))-AVERAGE(OFFSET($H$3,0,0,'Données projet'!$E$15+1,1))</f>
        <v>418.23737352070503</v>
      </c>
      <c r="EP192" s="62">
        <f t="shared" si="154"/>
        <v>496.10742685332968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1.1368683772161603E-13</v>
      </c>
      <c r="FF192" s="18">
        <f>FE192*VLOOKUP('Données projet'!$B$16,Paramètres!$A$1:$I$89,3,0)*VLOOKUP('Données projet'!$B$16,Paramètres!$A$1:$I$89,5,0)</f>
        <v>6.7984728957526396E-14</v>
      </c>
      <c r="FG192" s="14">
        <f t="shared" si="182"/>
        <v>1.0682447123141398E-12</v>
      </c>
      <c r="FH192" s="22">
        <f t="shared" si="183"/>
        <v>1.978932943548152E-12</v>
      </c>
      <c r="FI192" s="62">
        <f t="shared" si="131"/>
        <v>288.23267741011455</v>
      </c>
      <c r="FJ192" s="62">
        <f ca="1">AVERAGE(OFFSET($FI$3,0,0,'Données projet'!$E$16+1,1))-AVERAGE(OFFSET($H$3,0,0,'Données projet'!$E$16+1,1))</f>
        <v>341.70983624543067</v>
      </c>
      <c r="FK192" s="62">
        <f t="shared" si="156"/>
        <v>250.82562837973805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1.449711174016909E-23</v>
      </c>
      <c r="FT192" s="24">
        <f t="shared" si="184"/>
        <v>1.449711174016909E-23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-2.2737367544323206E-13</v>
      </c>
      <c r="GA192" s="18">
        <f>FZ192*VLOOKUP('Données projet'!$B$17,Paramètres!$A$1:$I$89,3,0)*VLOOKUP('Données projet'!$B$17,Paramètres!$A$1:$I$89,5,0)</f>
        <v>-1.064108801074326E-13</v>
      </c>
      <c r="GB192" s="14" t="e">
        <f t="shared" si="185"/>
        <v>#NUM!</v>
      </c>
      <c r="GC192" s="22" t="e">
        <f t="shared" si="186"/>
        <v>#NUM!</v>
      </c>
      <c r="GD192" s="62" t="e">
        <f t="shared" si="134"/>
        <v>#NUM!</v>
      </c>
      <c r="GE192" s="62">
        <f ca="1">AVERAGE(OFFSET($GD$3,0,0,'Données projet'!$E$17+1,1))-AVERAGE(OFFSET($H$3,0,0,'Données projet'!$E$17+1,1))</f>
        <v>368.69628434154333</v>
      </c>
      <c r="GF192" s="62">
        <f t="shared" si="158"/>
        <v>202.28197295839524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-1.1368683772161603E-13</v>
      </c>
      <c r="GV192" s="18">
        <f>GU192*VLOOKUP('Données projet'!$B$18,Paramètres!$A$1:$I$89,3,0)*VLOOKUP('Données projet'!$B$18,Paramètres!$A$1:$I$89,5,0)</f>
        <v>-9.9316821433603781E-14</v>
      </c>
      <c r="GW192" s="14" t="e">
        <f t="shared" si="188"/>
        <v>#NUM!</v>
      </c>
      <c r="GX192" s="22" t="e">
        <f t="shared" si="189"/>
        <v>#NUM!</v>
      </c>
      <c r="GY192" s="62" t="e">
        <f t="shared" si="137"/>
        <v>#NUM!</v>
      </c>
      <c r="GZ192" s="62">
        <f ca="1">AVERAGE(OFFSET($GY$3,0,0,'Données projet'!$E$18+1,1))-AVERAGE(OFFSET($H$3,0,0,'Données projet'!$E$18+1,1))</f>
        <v>378.51861272969165</v>
      </c>
      <c r="HA192" s="62">
        <f t="shared" si="160"/>
        <v>387.42368617035459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0</v>
      </c>
      <c r="HH192" s="23">
        <f>EXP(-LN(2)/25)*HH191+(1-EXP(-LN(2)/25))/(LN(2)/25)*Calculateur!HC192*Calculateur!HE192*VLOOKUP('Données projet'!$B$18,Paramètres!$A$1:$I$89,3,0)*0.475*44/12</f>
        <v>0</v>
      </c>
      <c r="HI192" s="23">
        <f>EXP(-LN(2)/2)*HI191+(1-EXP(-LN(2)/2))/(LN(2)/2)*HC192*HF192*VLOOKUP('Données projet'!$B$18,Paramètres!$A$1:$I$89,3,0)*0.475*44/12</f>
        <v>0</v>
      </c>
      <c r="HJ192" s="24">
        <f t="shared" si="190"/>
        <v>0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135.66666666666666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288.32116238702412</v>
      </c>
      <c r="S193" s="62">
        <f ca="1">AVERAGE(OFFSET($R$3,0,0,'Données projet'!$E$9+1,1))-AVERAGE(OFFSET($H$3,0,0,'Données projet'!$E$9+1,1))</f>
        <v>437.94016462147999</v>
      </c>
      <c r="T193" s="62">
        <f t="shared" si="142"/>
        <v>281.88254003380348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6.7732648334371884E-24</v>
      </c>
      <c r="AC193" s="24">
        <f t="shared" si="163"/>
        <v>6.7732648334371884E-24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1.0286385077051818E-13</v>
      </c>
      <c r="AK193" s="14">
        <f t="shared" si="164"/>
        <v>1.5402366592183556E-12</v>
      </c>
      <c r="AL193" s="22">
        <f t="shared" si="165"/>
        <v>2.8617333882306215E-12</v>
      </c>
      <c r="AM193" s="62">
        <f t="shared" si="113"/>
        <v>288.32116238702497</v>
      </c>
      <c r="AN193" s="62">
        <f ca="1">AVERAGE(OFFSET($AM$3,0,0,'Données projet'!$E$10+1,1))-AVERAGE(OFFSET($H$3,0,0,'Données projet'!$E$10+1,1))</f>
        <v>434.56763649859136</v>
      </c>
      <c r="AO193" s="62">
        <f t="shared" si="144"/>
        <v>271.90302066766264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6.7984728957526396E-14</v>
      </c>
      <c r="BF193" s="14">
        <f t="shared" si="167"/>
        <v>1.0682447123141398E-12</v>
      </c>
      <c r="BG193" s="22">
        <f t="shared" si="168"/>
        <v>1.978932943548152E-12</v>
      </c>
      <c r="BH193" s="62">
        <f t="shared" si="116"/>
        <v>288.32116238702412</v>
      </c>
      <c r="BI193" s="62">
        <f ca="1">AVERAGE(OFFSET($BH$3,0,0,'Données projet'!$E$11+1,1))-AVERAGE(OFFSET($H$3,0,0,'Données projet'!$E$11+1,1))</f>
        <v>199.65420589615553</v>
      </c>
      <c r="BJ193" s="62">
        <f t="shared" si="146"/>
        <v>477.85821088970999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2.2426234110318011</v>
      </c>
      <c r="BQ193" s="23">
        <f>EXP(-LN(2)/25)*BQ192+(1-EXP(-LN(2)/25))/(LN(2)/25)*Calculateur!BL193*Calculateur!BN193*VLOOKUP('Données projet'!$B$11,Paramètres!$A$1:$I$89,3,0)*0.475*44/12</f>
        <v>0.52042145738483292</v>
      </c>
      <c r="BR193" s="23">
        <f>EXP(-LN(2)/2)*BR192+(1-EXP(-LN(2)/2))/(LN(2)/2)*BL193*BO193*VLOOKUP('Données projet'!$B$11,Paramètres!$A$1:$I$89,3,0)*0.475*44/12</f>
        <v>3.6038096043640396E-23</v>
      </c>
      <c r="BS193" s="24">
        <f t="shared" si="169"/>
        <v>2.763044868416634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1.1368683772161603E-13</v>
      </c>
      <c r="BZ193" s="14">
        <f>BY193*VLOOKUP('Données projet'!$B$12,Paramètres!$A$1:$I$89,3,0)*VLOOKUP('Données projet'!$B$12,Paramètres!$A$1:$I$89,5,0)</f>
        <v>6.7984728957526396E-14</v>
      </c>
      <c r="CA193" s="14">
        <f t="shared" si="170"/>
        <v>1.0682447123141398E-12</v>
      </c>
      <c r="CB193" s="22">
        <f t="shared" si="171"/>
        <v>1.978932943548152E-12</v>
      </c>
      <c r="CC193" s="62">
        <f t="shared" si="119"/>
        <v>288.32116238702412</v>
      </c>
      <c r="CD193" s="62">
        <f ca="1">AVERAGE(OFFSET($CC$3,0,0,'Données projet'!$E$12+1,1))-AVERAGE(OFFSET($H$3,0,0,'Données projet'!$E$12+1,1))</f>
        <v>437.94016462147999</v>
      </c>
      <c r="CE193" s="62">
        <f t="shared" si="148"/>
        <v>281.88254003380348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6.7732648334371884E-24</v>
      </c>
      <c r="CN193" s="24">
        <f t="shared" si="172"/>
        <v>6.7732648334371884E-24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1.1368683772161603E-13</v>
      </c>
      <c r="CU193" s="18">
        <f>CT193*VLOOKUP('Données projet'!$B$13,Paramètres!$A$1:$I$89,3,0)*VLOOKUP('Données projet'!$B$13,Paramètres!$A$1:$I$89,5,0)</f>
        <v>1.2946657079737634E-13</v>
      </c>
      <c r="CV193" s="14">
        <f t="shared" si="173"/>
        <v>1.8873591890224769E-12</v>
      </c>
      <c r="CW193" s="22">
        <f t="shared" si="174"/>
        <v>3.5126381983529106E-12</v>
      </c>
      <c r="CX193" s="62">
        <f t="shared" si="122"/>
        <v>288.32116238702565</v>
      </c>
      <c r="CY193" s="62">
        <f ca="1">AVERAGE(OFFSET($CX$3,0,0,'Données projet'!$E$13+1,1))-AVERAGE(OFFSET($H$3,0,0,'Données projet'!$E$13+1,1))</f>
        <v>520.23742527061836</v>
      </c>
      <c r="CZ193" s="62">
        <f t="shared" si="150"/>
        <v>321.35925479331274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>
        <f>DO193*VLOOKUP('Données projet'!$B$14,Paramètres!$A$1:$I$89,3,0)*VLOOKUP('Données projet'!$B$14,Paramètres!$A$1:$I$89,5,0)</f>
        <v>0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547.89540791313675</v>
      </c>
      <c r="DU193" s="62">
        <f t="shared" si="152"/>
        <v>345.19555189302378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5.6843418860808015E-14</v>
      </c>
      <c r="EK193" s="18">
        <f>EJ193*VLOOKUP('Données projet'!$B$15,Paramètres!$A$1:$I$89,3,0)*VLOOKUP('Données projet'!$B$15,Paramètres!$A$1:$I$89,5,0)</f>
        <v>5.9412741393316544E-14</v>
      </c>
      <c r="EL193" s="14">
        <f t="shared" si="179"/>
        <v>9.483138037075782E-13</v>
      </c>
      <c r="EM193" s="22">
        <f t="shared" si="180"/>
        <v>1.7551237327173916E-12</v>
      </c>
      <c r="EN193" s="62">
        <f t="shared" si="128"/>
        <v>288.32116238702389</v>
      </c>
      <c r="EO193" s="62">
        <f ca="1">AVERAGE(OFFSET($EN$3,0,0,'Données projet'!$E$15+1,1))-AVERAGE(OFFSET($H$3,0,0,'Données projet'!$E$15+1,1))</f>
        <v>418.23737352070503</v>
      </c>
      <c r="EP193" s="62">
        <f t="shared" si="154"/>
        <v>496.10742685332968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1.1368683772161603E-13</v>
      </c>
      <c r="FF193" s="18">
        <f>FE193*VLOOKUP('Données projet'!$B$16,Paramètres!$A$1:$I$89,3,0)*VLOOKUP('Données projet'!$B$16,Paramètres!$A$1:$I$89,5,0)</f>
        <v>6.7984728957526396E-14</v>
      </c>
      <c r="FG193" s="14">
        <f t="shared" si="182"/>
        <v>1.0682447123141398E-12</v>
      </c>
      <c r="FH193" s="22">
        <f t="shared" si="183"/>
        <v>1.978932943548152E-12</v>
      </c>
      <c r="FI193" s="62">
        <f t="shared" si="131"/>
        <v>288.32116238702412</v>
      </c>
      <c r="FJ193" s="62">
        <f ca="1">AVERAGE(OFFSET($FI$3,0,0,'Données projet'!$E$16+1,1))-AVERAGE(OFFSET($H$3,0,0,'Données projet'!$E$16+1,1))</f>
        <v>341.70983624543067</v>
      </c>
      <c r="FK193" s="62">
        <f t="shared" si="156"/>
        <v>250.82562837973805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1.0251006019092674E-23</v>
      </c>
      <c r="FT193" s="24">
        <f t="shared" si="184"/>
        <v>1.0251006019092674E-23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-2.2737367544323206E-13</v>
      </c>
      <c r="GA193" s="18">
        <f>FZ193*VLOOKUP('Données projet'!$B$17,Paramètres!$A$1:$I$89,3,0)*VLOOKUP('Données projet'!$B$17,Paramètres!$A$1:$I$89,5,0)</f>
        <v>-1.064108801074326E-13</v>
      </c>
      <c r="GB193" s="14" t="e">
        <f t="shared" si="185"/>
        <v>#NUM!</v>
      </c>
      <c r="GC193" s="22" t="e">
        <f t="shared" si="186"/>
        <v>#NUM!</v>
      </c>
      <c r="GD193" s="62" t="e">
        <f t="shared" si="134"/>
        <v>#NUM!</v>
      </c>
      <c r="GE193" s="62">
        <f ca="1">AVERAGE(OFFSET($GD$3,0,0,'Données projet'!$E$17+1,1))-AVERAGE(OFFSET($H$3,0,0,'Données projet'!$E$17+1,1))</f>
        <v>368.69628434154333</v>
      </c>
      <c r="GF193" s="62">
        <f t="shared" si="158"/>
        <v>202.28197295839524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-1.1368683772161603E-13</v>
      </c>
      <c r="GV193" s="18">
        <f>GU193*VLOOKUP('Données projet'!$B$18,Paramètres!$A$1:$I$89,3,0)*VLOOKUP('Données projet'!$B$18,Paramètres!$A$1:$I$89,5,0)</f>
        <v>-9.9316821433603781E-14</v>
      </c>
      <c r="GW193" s="14" t="e">
        <f t="shared" si="188"/>
        <v>#NUM!</v>
      </c>
      <c r="GX193" s="22" t="e">
        <f t="shared" si="189"/>
        <v>#NUM!</v>
      </c>
      <c r="GY193" s="62" t="e">
        <f t="shared" si="137"/>
        <v>#NUM!</v>
      </c>
      <c r="GZ193" s="62">
        <f ca="1">AVERAGE(OFFSET($GY$3,0,0,'Données projet'!$E$18+1,1))-AVERAGE(OFFSET($H$3,0,0,'Données projet'!$E$18+1,1))</f>
        <v>378.51861272969165</v>
      </c>
      <c r="HA193" s="62">
        <f t="shared" si="160"/>
        <v>387.42368617035459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0</v>
      </c>
      <c r="HH193" s="23">
        <f>EXP(-LN(2)/25)*HH192+(1-EXP(-LN(2)/25))/(LN(2)/25)*Calculateur!HC193*Calculateur!HE193*VLOOKUP('Données projet'!$B$18,Paramètres!$A$1:$I$89,3,0)*0.475*44/12</f>
        <v>0</v>
      </c>
      <c r="HI193" s="23">
        <f>EXP(-LN(2)/2)*HI192+(1-EXP(-LN(2)/2))/(LN(2)/2)*HC193*HF193*VLOOKUP('Données projet'!$B$18,Paramètres!$A$1:$I$89,3,0)*0.475*44/12</f>
        <v>0</v>
      </c>
      <c r="HJ193" s="24">
        <f t="shared" si="190"/>
        <v>0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135.66666666666666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288.4081123474071</v>
      </c>
      <c r="S194" s="62">
        <f ca="1">AVERAGE(OFFSET($R$3,0,0,'Données projet'!$E$9+1,1))-AVERAGE(OFFSET($H$3,0,0,'Données projet'!$E$9+1,1))</f>
        <v>437.94016462147999</v>
      </c>
      <c r="T194" s="62">
        <f t="shared" si="142"/>
        <v>281.88254003380348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4.7894214944958073E-24</v>
      </c>
      <c r="AC194" s="24">
        <f t="shared" si="163"/>
        <v>4.7894214944958073E-24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1.0286385077051818E-13</v>
      </c>
      <c r="AK194" s="14">
        <f t="shared" si="164"/>
        <v>1.5402366592183556E-12</v>
      </c>
      <c r="AL194" s="22">
        <f t="shared" si="165"/>
        <v>2.8617333882306215E-12</v>
      </c>
      <c r="AM194" s="62">
        <f t="shared" si="113"/>
        <v>288.40811234740795</v>
      </c>
      <c r="AN194" s="62">
        <f ca="1">AVERAGE(OFFSET($AM$3,0,0,'Données projet'!$E$10+1,1))-AVERAGE(OFFSET($H$3,0,0,'Données projet'!$E$10+1,1))</f>
        <v>434.56763649859136</v>
      </c>
      <c r="AO194" s="62">
        <f t="shared" si="144"/>
        <v>271.90302066766264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6.7984728957526396E-14</v>
      </c>
      <c r="BF194" s="14">
        <f t="shared" si="167"/>
        <v>1.0682447123141398E-12</v>
      </c>
      <c r="BG194" s="22">
        <f t="shared" si="168"/>
        <v>1.978932943548152E-12</v>
      </c>
      <c r="BH194" s="62">
        <f t="shared" si="116"/>
        <v>288.4081123474071</v>
      </c>
      <c r="BI194" s="62">
        <f ca="1">AVERAGE(OFFSET($BH$3,0,0,'Données projet'!$E$11+1,1))-AVERAGE(OFFSET($H$3,0,0,'Données projet'!$E$11+1,1))</f>
        <v>199.65420589615553</v>
      </c>
      <c r="BJ194" s="62">
        <f t="shared" si="146"/>
        <v>477.85821088970999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2.1986469338066827</v>
      </c>
      <c r="BQ194" s="23">
        <f>EXP(-LN(2)/25)*BQ193+(1-EXP(-LN(2)/25))/(LN(2)/25)*Calculateur!BL194*Calculateur!BN194*VLOOKUP('Données projet'!$B$11,Paramètres!$A$1:$I$89,3,0)*0.475*44/12</f>
        <v>0.50619050526486964</v>
      </c>
      <c r="BR194" s="23">
        <f>EXP(-LN(2)/2)*BR193+(1-EXP(-LN(2)/2))/(LN(2)/2)*BL194*BO194*VLOOKUP('Données projet'!$B$11,Paramètres!$A$1:$I$89,3,0)*0.475*44/12</f>
        <v>2.5482782093510214E-23</v>
      </c>
      <c r="BS194" s="24">
        <f t="shared" si="169"/>
        <v>2.7048374390715524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1.1368683772161603E-13</v>
      </c>
      <c r="BZ194" s="14">
        <f>BY194*VLOOKUP('Données projet'!$B$12,Paramètres!$A$1:$I$89,3,0)*VLOOKUP('Données projet'!$B$12,Paramètres!$A$1:$I$89,5,0)</f>
        <v>6.7984728957526396E-14</v>
      </c>
      <c r="CA194" s="14">
        <f t="shared" si="170"/>
        <v>1.0682447123141398E-12</v>
      </c>
      <c r="CB194" s="22">
        <f t="shared" si="171"/>
        <v>1.978932943548152E-12</v>
      </c>
      <c r="CC194" s="62">
        <f t="shared" si="119"/>
        <v>288.4081123474071</v>
      </c>
      <c r="CD194" s="62">
        <f ca="1">AVERAGE(OFFSET($CC$3,0,0,'Données projet'!$E$12+1,1))-AVERAGE(OFFSET($H$3,0,0,'Données projet'!$E$12+1,1))</f>
        <v>437.94016462147999</v>
      </c>
      <c r="CE194" s="62">
        <f t="shared" si="148"/>
        <v>281.88254003380348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4.7894214944958073E-24</v>
      </c>
      <c r="CN194" s="24">
        <f t="shared" si="172"/>
        <v>4.7894214944958073E-24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1.1368683772161603E-13</v>
      </c>
      <c r="CU194" s="18">
        <f>CT194*VLOOKUP('Données projet'!$B$13,Paramètres!$A$1:$I$89,3,0)*VLOOKUP('Données projet'!$B$13,Paramètres!$A$1:$I$89,5,0)</f>
        <v>1.2946657079737634E-13</v>
      </c>
      <c r="CV194" s="14">
        <f t="shared" si="173"/>
        <v>1.8873591890224769E-12</v>
      </c>
      <c r="CW194" s="22">
        <f t="shared" si="174"/>
        <v>3.5126381983529106E-12</v>
      </c>
      <c r="CX194" s="62">
        <f t="shared" si="122"/>
        <v>288.40811234740863</v>
      </c>
      <c r="CY194" s="62">
        <f ca="1">AVERAGE(OFFSET($CX$3,0,0,'Données projet'!$E$13+1,1))-AVERAGE(OFFSET($H$3,0,0,'Données projet'!$E$13+1,1))</f>
        <v>520.23742527061836</v>
      </c>
      <c r="CZ194" s="62">
        <f t="shared" si="150"/>
        <v>321.35925479331274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>
        <f>DO194*VLOOKUP('Données projet'!$B$14,Paramètres!$A$1:$I$89,3,0)*VLOOKUP('Données projet'!$B$14,Paramètres!$A$1:$I$89,5,0)</f>
        <v>0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547.89540791313675</v>
      </c>
      <c r="DU194" s="62">
        <f t="shared" si="152"/>
        <v>345.19555189302378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5.6843418860808015E-14</v>
      </c>
      <c r="EK194" s="18">
        <f>EJ194*VLOOKUP('Données projet'!$B$15,Paramètres!$A$1:$I$89,3,0)*VLOOKUP('Données projet'!$B$15,Paramètres!$A$1:$I$89,5,0)</f>
        <v>5.9412741393316544E-14</v>
      </c>
      <c r="EL194" s="14">
        <f t="shared" si="179"/>
        <v>9.483138037075782E-13</v>
      </c>
      <c r="EM194" s="22">
        <f t="shared" si="180"/>
        <v>1.7551237327173916E-12</v>
      </c>
      <c r="EN194" s="62">
        <f t="shared" si="128"/>
        <v>288.40811234740687</v>
      </c>
      <c r="EO194" s="62">
        <f ca="1">AVERAGE(OFFSET($EN$3,0,0,'Données projet'!$E$15+1,1))-AVERAGE(OFFSET($H$3,0,0,'Données projet'!$E$15+1,1))</f>
        <v>418.23737352070503</v>
      </c>
      <c r="EP194" s="62">
        <f t="shared" si="154"/>
        <v>496.10742685332968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1.1368683772161603E-13</v>
      </c>
      <c r="FF194" s="18">
        <f>FE194*VLOOKUP('Données projet'!$B$16,Paramètres!$A$1:$I$89,3,0)*VLOOKUP('Données projet'!$B$16,Paramètres!$A$1:$I$89,5,0)</f>
        <v>6.7984728957526396E-14</v>
      </c>
      <c r="FG194" s="14">
        <f t="shared" si="182"/>
        <v>1.0682447123141398E-12</v>
      </c>
      <c r="FH194" s="22">
        <f t="shared" si="183"/>
        <v>1.978932943548152E-12</v>
      </c>
      <c r="FI194" s="62">
        <f t="shared" si="131"/>
        <v>288.4081123474071</v>
      </c>
      <c r="FJ194" s="62">
        <f ca="1">AVERAGE(OFFSET($FI$3,0,0,'Données projet'!$E$16+1,1))-AVERAGE(OFFSET($H$3,0,0,'Données projet'!$E$16+1,1))</f>
        <v>341.70983624543067</v>
      </c>
      <c r="FK194" s="62">
        <f t="shared" si="156"/>
        <v>250.82562837973805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7.248555870084545E-24</v>
      </c>
      <c r="FT194" s="24">
        <f t="shared" si="184"/>
        <v>7.248555870084545E-24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-2.2737367544323206E-13</v>
      </c>
      <c r="GA194" s="18">
        <f>FZ194*VLOOKUP('Données projet'!$B$17,Paramètres!$A$1:$I$89,3,0)*VLOOKUP('Données projet'!$B$17,Paramètres!$A$1:$I$89,5,0)</f>
        <v>-1.064108801074326E-13</v>
      </c>
      <c r="GB194" s="14" t="e">
        <f t="shared" si="185"/>
        <v>#NUM!</v>
      </c>
      <c r="GC194" s="22" t="e">
        <f t="shared" si="186"/>
        <v>#NUM!</v>
      </c>
      <c r="GD194" s="62" t="e">
        <f t="shared" si="134"/>
        <v>#NUM!</v>
      </c>
      <c r="GE194" s="62">
        <f ca="1">AVERAGE(OFFSET($GD$3,0,0,'Données projet'!$E$17+1,1))-AVERAGE(OFFSET($H$3,0,0,'Données projet'!$E$17+1,1))</f>
        <v>368.69628434154333</v>
      </c>
      <c r="GF194" s="62">
        <f t="shared" si="158"/>
        <v>202.28197295839524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-1.1368683772161603E-13</v>
      </c>
      <c r="GV194" s="18">
        <f>GU194*VLOOKUP('Données projet'!$B$18,Paramètres!$A$1:$I$89,3,0)*VLOOKUP('Données projet'!$B$18,Paramètres!$A$1:$I$89,5,0)</f>
        <v>-9.9316821433603781E-14</v>
      </c>
      <c r="GW194" s="14" t="e">
        <f t="shared" si="188"/>
        <v>#NUM!</v>
      </c>
      <c r="GX194" s="22" t="e">
        <f t="shared" si="189"/>
        <v>#NUM!</v>
      </c>
      <c r="GY194" s="62" t="e">
        <f t="shared" si="137"/>
        <v>#NUM!</v>
      </c>
      <c r="GZ194" s="62">
        <f ca="1">AVERAGE(OFFSET($GY$3,0,0,'Données projet'!$E$18+1,1))-AVERAGE(OFFSET($H$3,0,0,'Données projet'!$E$18+1,1))</f>
        <v>378.51861272969165</v>
      </c>
      <c r="HA194" s="62">
        <f t="shared" si="160"/>
        <v>387.42368617035459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0</v>
      </c>
      <c r="HH194" s="23">
        <f>EXP(-LN(2)/25)*HH193+(1-EXP(-LN(2)/25))/(LN(2)/25)*Calculateur!HC194*Calculateur!HE194*VLOOKUP('Données projet'!$B$18,Paramètres!$A$1:$I$89,3,0)*0.475*44/12</f>
        <v>0</v>
      </c>
      <c r="HI194" s="23">
        <f>EXP(-LN(2)/2)*HI193+(1-EXP(-LN(2)/2))/(LN(2)/2)*HC194*HF194*VLOOKUP('Données projet'!$B$18,Paramètres!$A$1:$I$89,3,0)*0.475*44/12</f>
        <v>0</v>
      </c>
      <c r="HJ194" s="24">
        <f t="shared" si="190"/>
        <v>0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135.66666666666666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288.49355392036841</v>
      </c>
      <c r="S195" s="62">
        <f ca="1">AVERAGE(OFFSET($R$3,0,0,'Données projet'!$E$9+1,1))-AVERAGE(OFFSET($H$3,0,0,'Données projet'!$E$9+1,1))</f>
        <v>437.94016462147999</v>
      </c>
      <c r="T195" s="62">
        <f t="shared" si="142"/>
        <v>281.88254003380348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3.3866324167185942E-24</v>
      </c>
      <c r="AC195" s="24">
        <f t="shared" si="163"/>
        <v>3.3866324167185942E-24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1.0286385077051818E-13</v>
      </c>
      <c r="AK195" s="14">
        <f t="shared" si="164"/>
        <v>1.5402366592183556E-12</v>
      </c>
      <c r="AL195" s="22">
        <f t="shared" si="165"/>
        <v>2.8617333882306215E-12</v>
      </c>
      <c r="AM195" s="62">
        <f t="shared" si="113"/>
        <v>288.49355392036927</v>
      </c>
      <c r="AN195" s="62">
        <f ca="1">AVERAGE(OFFSET($AM$3,0,0,'Données projet'!$E$10+1,1))-AVERAGE(OFFSET($H$3,0,0,'Données projet'!$E$10+1,1))</f>
        <v>434.56763649859136</v>
      </c>
      <c r="AO195" s="62">
        <f t="shared" si="144"/>
        <v>271.90302066766264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6.7984728957526396E-14</v>
      </c>
      <c r="BF195" s="14">
        <f t="shared" si="167"/>
        <v>1.0682447123141398E-12</v>
      </c>
      <c r="BG195" s="22">
        <f t="shared" si="168"/>
        <v>1.978932943548152E-12</v>
      </c>
      <c r="BH195" s="62">
        <f t="shared" si="116"/>
        <v>288.49355392036841</v>
      </c>
      <c r="BI195" s="62">
        <f ca="1">AVERAGE(OFFSET($BH$3,0,0,'Données projet'!$E$11+1,1))-AVERAGE(OFFSET($H$3,0,0,'Données projet'!$E$11+1,1))</f>
        <v>199.65420589615553</v>
      </c>
      <c r="BJ195" s="62">
        <f t="shared" si="146"/>
        <v>477.85821088970999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2.1555328084769463</v>
      </c>
      <c r="BQ195" s="23">
        <f>EXP(-LN(2)/25)*BQ194+(1-EXP(-LN(2)/25))/(LN(2)/25)*Calculateur!BL195*Calculateur!BN195*VLOOKUP('Données projet'!$B$11,Paramètres!$A$1:$I$89,3,0)*0.475*44/12</f>
        <v>0.49234869927900005</v>
      </c>
      <c r="BR195" s="23">
        <f>EXP(-LN(2)/2)*BR194+(1-EXP(-LN(2)/2))/(LN(2)/2)*BL195*BO195*VLOOKUP('Données projet'!$B$11,Paramètres!$A$1:$I$89,3,0)*0.475*44/12</f>
        <v>1.8019048021820198E-23</v>
      </c>
      <c r="BS195" s="24">
        <f t="shared" si="169"/>
        <v>2.6478815077559466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1.1368683772161603E-13</v>
      </c>
      <c r="BZ195" s="14">
        <f>BY195*VLOOKUP('Données projet'!$B$12,Paramètres!$A$1:$I$89,3,0)*VLOOKUP('Données projet'!$B$12,Paramètres!$A$1:$I$89,5,0)</f>
        <v>6.7984728957526396E-14</v>
      </c>
      <c r="CA195" s="14">
        <f t="shared" si="170"/>
        <v>1.0682447123141398E-12</v>
      </c>
      <c r="CB195" s="22">
        <f t="shared" si="171"/>
        <v>1.978932943548152E-12</v>
      </c>
      <c r="CC195" s="62">
        <f t="shared" si="119"/>
        <v>288.49355392036841</v>
      </c>
      <c r="CD195" s="62">
        <f ca="1">AVERAGE(OFFSET($CC$3,0,0,'Données projet'!$E$12+1,1))-AVERAGE(OFFSET($H$3,0,0,'Données projet'!$E$12+1,1))</f>
        <v>437.94016462147999</v>
      </c>
      <c r="CE195" s="62">
        <f t="shared" si="148"/>
        <v>281.88254003380348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3.3866324167185942E-24</v>
      </c>
      <c r="CN195" s="24">
        <f t="shared" si="172"/>
        <v>3.3866324167185942E-24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1.1368683772161603E-13</v>
      </c>
      <c r="CU195" s="18">
        <f>CT195*VLOOKUP('Données projet'!$B$13,Paramètres!$A$1:$I$89,3,0)*VLOOKUP('Données projet'!$B$13,Paramètres!$A$1:$I$89,5,0)</f>
        <v>1.2946657079737634E-13</v>
      </c>
      <c r="CV195" s="14">
        <f t="shared" si="173"/>
        <v>1.8873591890224769E-12</v>
      </c>
      <c r="CW195" s="22">
        <f t="shared" si="174"/>
        <v>3.5126381983529106E-12</v>
      </c>
      <c r="CX195" s="62">
        <f t="shared" si="122"/>
        <v>288.49355392036995</v>
      </c>
      <c r="CY195" s="62">
        <f ca="1">AVERAGE(OFFSET($CX$3,0,0,'Données projet'!$E$13+1,1))-AVERAGE(OFFSET($H$3,0,0,'Données projet'!$E$13+1,1))</f>
        <v>520.23742527061836</v>
      </c>
      <c r="CZ195" s="62">
        <f t="shared" si="150"/>
        <v>321.35925479331274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>
        <f>DO195*VLOOKUP('Données projet'!$B$14,Paramètres!$A$1:$I$89,3,0)*VLOOKUP('Données projet'!$B$14,Paramètres!$A$1:$I$89,5,0)</f>
        <v>0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547.89540791313675</v>
      </c>
      <c r="DU195" s="62">
        <f t="shared" si="152"/>
        <v>345.19555189302378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5.6843418860808015E-14</v>
      </c>
      <c r="EK195" s="18">
        <f>EJ195*VLOOKUP('Données projet'!$B$15,Paramètres!$A$1:$I$89,3,0)*VLOOKUP('Données projet'!$B$15,Paramètres!$A$1:$I$89,5,0)</f>
        <v>5.9412741393316544E-14</v>
      </c>
      <c r="EL195" s="14">
        <f t="shared" si="179"/>
        <v>9.483138037075782E-13</v>
      </c>
      <c r="EM195" s="22">
        <f t="shared" si="180"/>
        <v>1.7551237327173916E-12</v>
      </c>
      <c r="EN195" s="62">
        <f t="shared" si="128"/>
        <v>288.49355392036819</v>
      </c>
      <c r="EO195" s="62">
        <f ca="1">AVERAGE(OFFSET($EN$3,0,0,'Données projet'!$E$15+1,1))-AVERAGE(OFFSET($H$3,0,0,'Données projet'!$E$15+1,1))</f>
        <v>418.23737352070503</v>
      </c>
      <c r="EP195" s="62">
        <f t="shared" si="154"/>
        <v>496.10742685332968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1.1368683772161603E-13</v>
      </c>
      <c r="FF195" s="18">
        <f>FE195*VLOOKUP('Données projet'!$B$16,Paramètres!$A$1:$I$89,3,0)*VLOOKUP('Données projet'!$B$16,Paramètres!$A$1:$I$89,5,0)</f>
        <v>6.7984728957526396E-14</v>
      </c>
      <c r="FG195" s="14">
        <f t="shared" si="182"/>
        <v>1.0682447123141398E-12</v>
      </c>
      <c r="FH195" s="22">
        <f t="shared" si="183"/>
        <v>1.978932943548152E-12</v>
      </c>
      <c r="FI195" s="62">
        <f t="shared" si="131"/>
        <v>288.49355392036841</v>
      </c>
      <c r="FJ195" s="62">
        <f ca="1">AVERAGE(OFFSET($FI$3,0,0,'Données projet'!$E$16+1,1))-AVERAGE(OFFSET($H$3,0,0,'Données projet'!$E$16+1,1))</f>
        <v>341.70983624543067</v>
      </c>
      <c r="FK195" s="62">
        <f t="shared" si="156"/>
        <v>250.82562837973805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5.125503009546337E-24</v>
      </c>
      <c r="FT195" s="24">
        <f t="shared" si="184"/>
        <v>5.125503009546337E-24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-2.2737367544323206E-13</v>
      </c>
      <c r="GA195" s="18">
        <f>FZ195*VLOOKUP('Données projet'!$B$17,Paramètres!$A$1:$I$89,3,0)*VLOOKUP('Données projet'!$B$17,Paramètres!$A$1:$I$89,5,0)</f>
        <v>-1.064108801074326E-13</v>
      </c>
      <c r="GB195" s="14" t="e">
        <f t="shared" si="185"/>
        <v>#NUM!</v>
      </c>
      <c r="GC195" s="22" t="e">
        <f t="shared" si="186"/>
        <v>#NUM!</v>
      </c>
      <c r="GD195" s="62" t="e">
        <f t="shared" si="134"/>
        <v>#NUM!</v>
      </c>
      <c r="GE195" s="62">
        <f ca="1">AVERAGE(OFFSET($GD$3,0,0,'Données projet'!$E$17+1,1))-AVERAGE(OFFSET($H$3,0,0,'Données projet'!$E$17+1,1))</f>
        <v>368.69628434154333</v>
      </c>
      <c r="GF195" s="62">
        <f t="shared" si="158"/>
        <v>202.28197295839524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-1.1368683772161603E-13</v>
      </c>
      <c r="GV195" s="18">
        <f>GU195*VLOOKUP('Données projet'!$B$18,Paramètres!$A$1:$I$89,3,0)*VLOOKUP('Données projet'!$B$18,Paramètres!$A$1:$I$89,5,0)</f>
        <v>-9.9316821433603781E-14</v>
      </c>
      <c r="GW195" s="14" t="e">
        <f t="shared" si="188"/>
        <v>#NUM!</v>
      </c>
      <c r="GX195" s="22" t="e">
        <f t="shared" si="189"/>
        <v>#NUM!</v>
      </c>
      <c r="GY195" s="62" t="e">
        <f t="shared" si="137"/>
        <v>#NUM!</v>
      </c>
      <c r="GZ195" s="62">
        <f ca="1">AVERAGE(OFFSET($GY$3,0,0,'Données projet'!$E$18+1,1))-AVERAGE(OFFSET($H$3,0,0,'Données projet'!$E$18+1,1))</f>
        <v>378.51861272969165</v>
      </c>
      <c r="HA195" s="62">
        <f t="shared" si="160"/>
        <v>387.42368617035459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0</v>
      </c>
      <c r="HH195" s="23">
        <f>EXP(-LN(2)/25)*HH194+(1-EXP(-LN(2)/25))/(LN(2)/25)*Calculateur!HC195*Calculateur!HE195*VLOOKUP('Données projet'!$B$18,Paramètres!$A$1:$I$89,3,0)*0.475*44/12</f>
        <v>0</v>
      </c>
      <c r="HI195" s="23">
        <f>EXP(-LN(2)/2)*HI194+(1-EXP(-LN(2)/2))/(LN(2)/2)*HC195*HF195*VLOOKUP('Données projet'!$B$18,Paramètres!$A$1:$I$89,3,0)*0.475*44/12</f>
        <v>0</v>
      </c>
      <c r="HJ195" s="24">
        <f t="shared" si="190"/>
        <v>0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135.66666666666666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288.5775132730576</v>
      </c>
      <c r="S196" s="62">
        <f ca="1">AVERAGE(OFFSET($R$3,0,0,'Données projet'!$E$9+1,1))-AVERAGE(OFFSET($H$3,0,0,'Données projet'!$E$9+1,1))</f>
        <v>437.94016462147999</v>
      </c>
      <c r="T196" s="62">
        <f t="shared" si="142"/>
        <v>281.88254003380348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2.3947107472479036E-24</v>
      </c>
      <c r="AC196" s="24">
        <f t="shared" si="163"/>
        <v>2.3947107472479036E-24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1.0286385077051818E-13</v>
      </c>
      <c r="AK196" s="14">
        <f t="shared" si="164"/>
        <v>1.5402366592183556E-12</v>
      </c>
      <c r="AL196" s="22">
        <f t="shared" si="165"/>
        <v>2.8617333882306215E-12</v>
      </c>
      <c r="AM196" s="62">
        <f t="shared" ref="AM196:AM203" si="193">AL196+(AD196+AE196)*44/12</f>
        <v>288.57751327305846</v>
      </c>
      <c r="AN196" s="62">
        <f ca="1">AVERAGE(OFFSET($AM$3,0,0,'Données projet'!$E$10+1,1))-AVERAGE(OFFSET($H$3,0,0,'Données projet'!$E$10+1,1))</f>
        <v>434.56763649859136</v>
      </c>
      <c r="AO196" s="62">
        <f t="shared" si="144"/>
        <v>271.90302066766264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6.7984728957526396E-14</v>
      </c>
      <c r="BF196" s="14">
        <f t="shared" si="167"/>
        <v>1.0682447123141398E-12</v>
      </c>
      <c r="BG196" s="22">
        <f t="shared" si="168"/>
        <v>1.978932943548152E-12</v>
      </c>
      <c r="BH196" s="62">
        <f t="shared" ref="BH196:BH203" si="194">BG196+(AY196+AZ196)*44/12</f>
        <v>288.5775132730576</v>
      </c>
      <c r="BI196" s="62">
        <f ca="1">AVERAGE(OFFSET($BH$3,0,0,'Données projet'!$E$11+1,1))-AVERAGE(OFFSET($H$3,0,0,'Données projet'!$E$11+1,1))</f>
        <v>199.65420589615553</v>
      </c>
      <c r="BJ196" s="62">
        <f t="shared" si="146"/>
        <v>477.85821088970999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2.1132641248479063</v>
      </c>
      <c r="BQ196" s="23">
        <f>EXP(-LN(2)/25)*BQ195+(1-EXP(-LN(2)/25))/(LN(2)/25)*Calculateur!BL196*Calculateur!BN196*VLOOKUP('Données projet'!$B$11,Paramètres!$A$1:$I$89,3,0)*0.475*44/12</f>
        <v>0.47888539820572296</v>
      </c>
      <c r="BR196" s="23">
        <f>EXP(-LN(2)/2)*BR195+(1-EXP(-LN(2)/2))/(LN(2)/2)*BL196*BO196*VLOOKUP('Données projet'!$B$11,Paramètres!$A$1:$I$89,3,0)*0.475*44/12</f>
        <v>1.2741391046755107E-23</v>
      </c>
      <c r="BS196" s="24">
        <f t="shared" si="169"/>
        <v>2.5921495230536293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1.1368683772161603E-13</v>
      </c>
      <c r="BZ196" s="14">
        <f>BY196*VLOOKUP('Données projet'!$B$12,Paramètres!$A$1:$I$89,3,0)*VLOOKUP('Données projet'!$B$12,Paramètres!$A$1:$I$89,5,0)</f>
        <v>6.7984728957526396E-14</v>
      </c>
      <c r="CA196" s="14">
        <f t="shared" si="170"/>
        <v>1.0682447123141398E-12</v>
      </c>
      <c r="CB196" s="22">
        <f t="shared" si="171"/>
        <v>1.978932943548152E-12</v>
      </c>
      <c r="CC196" s="62">
        <f t="shared" ref="CC196:CC203" si="195">CB196+(BT196+BU196)*44/12</f>
        <v>288.5775132730576</v>
      </c>
      <c r="CD196" s="62">
        <f ca="1">AVERAGE(OFFSET($CC$3,0,0,'Données projet'!$E$12+1,1))-AVERAGE(OFFSET($H$3,0,0,'Données projet'!$E$12+1,1))</f>
        <v>437.94016462147999</v>
      </c>
      <c r="CE196" s="62">
        <f t="shared" si="148"/>
        <v>281.88254003380348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2.3947107472479036E-24</v>
      </c>
      <c r="CN196" s="24">
        <f t="shared" si="172"/>
        <v>2.3947107472479036E-24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1.1368683772161603E-13</v>
      </c>
      <c r="CU196" s="18">
        <f>CT196*VLOOKUP('Données projet'!$B$13,Paramètres!$A$1:$I$89,3,0)*VLOOKUP('Données projet'!$B$13,Paramètres!$A$1:$I$89,5,0)</f>
        <v>1.2946657079737634E-13</v>
      </c>
      <c r="CV196" s="14">
        <f t="shared" si="173"/>
        <v>1.8873591890224769E-12</v>
      </c>
      <c r="CW196" s="22">
        <f t="shared" si="174"/>
        <v>3.5126381983529106E-12</v>
      </c>
      <c r="CX196" s="62">
        <f t="shared" ref="CX196:CX203" si="196">CW196+(CO196+CP196)*44/12</f>
        <v>288.57751327305914</v>
      </c>
      <c r="CY196" s="62">
        <f ca="1">AVERAGE(OFFSET($CX$3,0,0,'Données projet'!$E$13+1,1))-AVERAGE(OFFSET($H$3,0,0,'Données projet'!$E$13+1,1))</f>
        <v>520.23742527061836</v>
      </c>
      <c r="CZ196" s="62">
        <f t="shared" si="150"/>
        <v>321.35925479331274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>
        <f>DO196*VLOOKUP('Données projet'!$B$14,Paramètres!$A$1:$I$89,3,0)*VLOOKUP('Données projet'!$B$14,Paramètres!$A$1:$I$89,5,0)</f>
        <v>0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547.89540791313675</v>
      </c>
      <c r="DU196" s="62">
        <f t="shared" si="152"/>
        <v>345.19555189302378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5.6843418860808015E-14</v>
      </c>
      <c r="EK196" s="18">
        <f>EJ196*VLOOKUP('Données projet'!$B$15,Paramètres!$A$1:$I$89,3,0)*VLOOKUP('Données projet'!$B$15,Paramètres!$A$1:$I$89,5,0)</f>
        <v>5.9412741393316544E-14</v>
      </c>
      <c r="EL196" s="14">
        <f t="shared" si="179"/>
        <v>9.483138037075782E-13</v>
      </c>
      <c r="EM196" s="22">
        <f t="shared" si="180"/>
        <v>1.7551237327173916E-12</v>
      </c>
      <c r="EN196" s="62">
        <f t="shared" ref="EN196:EN203" si="198">EM196+(EE196+EF196)*44/12</f>
        <v>288.57751327305738</v>
      </c>
      <c r="EO196" s="62">
        <f ca="1">AVERAGE(OFFSET($EN$3,0,0,'Données projet'!$E$15+1,1))-AVERAGE(OFFSET($H$3,0,0,'Données projet'!$E$15+1,1))</f>
        <v>418.23737352070503</v>
      </c>
      <c r="EP196" s="62">
        <f t="shared" si="154"/>
        <v>496.10742685332968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1.1368683772161603E-13</v>
      </c>
      <c r="FF196" s="18">
        <f>FE196*VLOOKUP('Données projet'!$B$16,Paramètres!$A$1:$I$89,3,0)*VLOOKUP('Données projet'!$B$16,Paramètres!$A$1:$I$89,5,0)</f>
        <v>6.7984728957526396E-14</v>
      </c>
      <c r="FG196" s="14">
        <f t="shared" si="182"/>
        <v>1.0682447123141398E-12</v>
      </c>
      <c r="FH196" s="22">
        <f t="shared" si="183"/>
        <v>1.978932943548152E-12</v>
      </c>
      <c r="FI196" s="62">
        <f t="shared" ref="FI196:FI203" si="199">FH196+(EZ196+FA196)*44/12</f>
        <v>288.5775132730576</v>
      </c>
      <c r="FJ196" s="62">
        <f ca="1">AVERAGE(OFFSET($FI$3,0,0,'Données projet'!$E$16+1,1))-AVERAGE(OFFSET($H$3,0,0,'Données projet'!$E$16+1,1))</f>
        <v>341.70983624543067</v>
      </c>
      <c r="FK196" s="62">
        <f t="shared" si="156"/>
        <v>250.82562837973805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3.6242779350422725E-24</v>
      </c>
      <c r="FT196" s="24">
        <f t="shared" si="184"/>
        <v>3.6242779350422725E-24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-2.2737367544323206E-13</v>
      </c>
      <c r="GA196" s="18">
        <f>FZ196*VLOOKUP('Données projet'!$B$17,Paramètres!$A$1:$I$89,3,0)*VLOOKUP('Données projet'!$B$17,Paramètres!$A$1:$I$89,5,0)</f>
        <v>-1.064108801074326E-13</v>
      </c>
      <c r="GB196" s="14" t="e">
        <f t="shared" si="185"/>
        <v>#NUM!</v>
      </c>
      <c r="GC196" s="22" t="e">
        <f t="shared" si="186"/>
        <v>#NUM!</v>
      </c>
      <c r="GD196" s="62" t="e">
        <f t="shared" ref="GD196:GD203" si="200">GC196+(FU196+FV196)*44/12</f>
        <v>#NUM!</v>
      </c>
      <c r="GE196" s="62">
        <f ca="1">AVERAGE(OFFSET($GD$3,0,0,'Données projet'!$E$17+1,1))-AVERAGE(OFFSET($H$3,0,0,'Données projet'!$E$17+1,1))</f>
        <v>368.69628434154333</v>
      </c>
      <c r="GF196" s="62">
        <f t="shared" si="158"/>
        <v>202.28197295839524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-1.1368683772161603E-13</v>
      </c>
      <c r="GV196" s="18">
        <f>GU196*VLOOKUP('Données projet'!$B$18,Paramètres!$A$1:$I$89,3,0)*VLOOKUP('Données projet'!$B$18,Paramètres!$A$1:$I$89,5,0)</f>
        <v>-9.9316821433603781E-14</v>
      </c>
      <c r="GW196" s="14" t="e">
        <f t="shared" si="188"/>
        <v>#NUM!</v>
      </c>
      <c r="GX196" s="22" t="e">
        <f t="shared" si="189"/>
        <v>#NUM!</v>
      </c>
      <c r="GY196" s="62" t="e">
        <f t="shared" ref="GY196:GY203" si="201">GX196+(GP196+GQ196)*44/12</f>
        <v>#NUM!</v>
      </c>
      <c r="GZ196" s="62">
        <f ca="1">AVERAGE(OFFSET($GY$3,0,0,'Données projet'!$E$18+1,1))-AVERAGE(OFFSET($H$3,0,0,'Données projet'!$E$18+1,1))</f>
        <v>378.51861272969165</v>
      </c>
      <c r="HA196" s="62">
        <f t="shared" si="160"/>
        <v>387.42368617035459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0</v>
      </c>
      <c r="HH196" s="23">
        <f>EXP(-LN(2)/25)*HH195+(1-EXP(-LN(2)/25))/(LN(2)/25)*Calculateur!HC196*Calculateur!HE196*VLOOKUP('Données projet'!$B$18,Paramètres!$A$1:$I$89,3,0)*0.475*44/12</f>
        <v>0</v>
      </c>
      <c r="HI196" s="23">
        <f>EXP(-LN(2)/2)*HI195+(1-EXP(-LN(2)/2))/(LN(2)/2)*HC196*HF196*VLOOKUP('Données projet'!$B$18,Paramètres!$A$1:$I$89,3,0)*0.475*44/12</f>
        <v>0</v>
      </c>
      <c r="HJ196" s="24">
        <f t="shared" si="190"/>
        <v>0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135.66666666666666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288.66001611868262</v>
      </c>
      <c r="S197" s="62">
        <f ca="1">AVERAGE(OFFSET($R$3,0,0,'Données projet'!$E$9+1,1))-AVERAGE(OFFSET($H$3,0,0,'Données projet'!$E$9+1,1))</f>
        <v>437.94016462147999</v>
      </c>
      <c r="T197" s="62">
        <f t="shared" ref="T197:T203" si="204">$T$3</f>
        <v>281.88254003380348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1.6933162083592971E-24</v>
      </c>
      <c r="AC197" s="24">
        <f t="shared" si="163"/>
        <v>1.6933162083592971E-24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1.0286385077051818E-13</v>
      </c>
      <c r="AK197" s="14">
        <f t="shared" si="164"/>
        <v>1.5402366592183556E-12</v>
      </c>
      <c r="AL197" s="22">
        <f t="shared" si="165"/>
        <v>2.8617333882306215E-12</v>
      </c>
      <c r="AM197" s="62">
        <f t="shared" si="193"/>
        <v>288.66001611868347</v>
      </c>
      <c r="AN197" s="62">
        <f ca="1">AVERAGE(OFFSET($AM$3,0,0,'Données projet'!$E$10+1,1))-AVERAGE(OFFSET($H$3,0,0,'Données projet'!$E$10+1,1))</f>
        <v>434.56763649859136</v>
      </c>
      <c r="AO197" s="62">
        <f t="shared" ref="AO197:AO203" si="205">$AO$3</f>
        <v>271.90302066766264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6.7984728957526396E-14</v>
      </c>
      <c r="BF197" s="14">
        <f t="shared" si="167"/>
        <v>1.0682447123141398E-12</v>
      </c>
      <c r="BG197" s="22">
        <f t="shared" si="168"/>
        <v>1.978932943548152E-12</v>
      </c>
      <c r="BH197" s="62">
        <f t="shared" si="194"/>
        <v>288.66001611868262</v>
      </c>
      <c r="BI197" s="62">
        <f ca="1">AVERAGE(OFFSET($BH$3,0,0,'Données projet'!$E$11+1,1))-AVERAGE(OFFSET($H$3,0,0,'Données projet'!$E$11+1,1))</f>
        <v>199.65420589615553</v>
      </c>
      <c r="BJ197" s="62">
        <f t="shared" ref="BJ197:BJ203" si="206">$BJ$3</f>
        <v>477.85821088970999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2.0718243043234805</v>
      </c>
      <c r="BQ197" s="23">
        <f>EXP(-LN(2)/25)*BQ196+(1-EXP(-LN(2)/25))/(LN(2)/25)*Calculateur!BL197*Calculateur!BN197*VLOOKUP('Données projet'!$B$11,Paramètres!$A$1:$I$89,3,0)*0.475*44/12</f>
        <v>0.46579025180829886</v>
      </c>
      <c r="BR197" s="23">
        <f>EXP(-LN(2)/2)*BR196+(1-EXP(-LN(2)/2))/(LN(2)/2)*BL197*BO197*VLOOKUP('Données projet'!$B$11,Paramètres!$A$1:$I$89,3,0)*0.475*44/12</f>
        <v>9.009524010910099E-24</v>
      </c>
      <c r="BS197" s="24">
        <f t="shared" si="169"/>
        <v>2.5376145561317793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1.1368683772161603E-13</v>
      </c>
      <c r="BZ197" s="14">
        <f>BY197*VLOOKUP('Données projet'!$B$12,Paramètres!$A$1:$I$89,3,0)*VLOOKUP('Données projet'!$B$12,Paramètres!$A$1:$I$89,5,0)</f>
        <v>6.7984728957526396E-14</v>
      </c>
      <c r="CA197" s="14">
        <f t="shared" si="170"/>
        <v>1.0682447123141398E-12</v>
      </c>
      <c r="CB197" s="22">
        <f t="shared" si="171"/>
        <v>1.978932943548152E-12</v>
      </c>
      <c r="CC197" s="62">
        <f t="shared" si="195"/>
        <v>288.66001611868262</v>
      </c>
      <c r="CD197" s="62">
        <f ca="1">AVERAGE(OFFSET($CC$3,0,0,'Données projet'!$E$12+1,1))-AVERAGE(OFFSET($H$3,0,0,'Données projet'!$E$12+1,1))</f>
        <v>437.94016462147999</v>
      </c>
      <c r="CE197" s="62">
        <f t="shared" ref="CE197:CE203" si="207">$CE$3</f>
        <v>281.88254003380348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1.6933162083592971E-24</v>
      </c>
      <c r="CN197" s="24">
        <f t="shared" si="172"/>
        <v>1.6933162083592971E-24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1.1368683772161603E-13</v>
      </c>
      <c r="CU197" s="18">
        <f>CT197*VLOOKUP('Données projet'!$B$13,Paramètres!$A$1:$I$89,3,0)*VLOOKUP('Données projet'!$B$13,Paramètres!$A$1:$I$89,5,0)</f>
        <v>1.2946657079737634E-13</v>
      </c>
      <c r="CV197" s="14">
        <f t="shared" si="173"/>
        <v>1.8873591890224769E-12</v>
      </c>
      <c r="CW197" s="22">
        <f t="shared" si="174"/>
        <v>3.5126381983529106E-12</v>
      </c>
      <c r="CX197" s="62">
        <f t="shared" si="196"/>
        <v>288.66001611868415</v>
      </c>
      <c r="CY197" s="62">
        <f ca="1">AVERAGE(OFFSET($CX$3,0,0,'Données projet'!$E$13+1,1))-AVERAGE(OFFSET($H$3,0,0,'Données projet'!$E$13+1,1))</f>
        <v>520.23742527061836</v>
      </c>
      <c r="CZ197" s="62">
        <f t="shared" ref="CZ197:CZ203" si="208">$CZ$3</f>
        <v>321.35925479331274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>
        <f>DO197*VLOOKUP('Données projet'!$B$14,Paramètres!$A$1:$I$89,3,0)*VLOOKUP('Données projet'!$B$14,Paramètres!$A$1:$I$89,5,0)</f>
        <v>0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547.89540791313675</v>
      </c>
      <c r="DU197" s="62">
        <f t="shared" ref="DU197:DU203" si="209">$DU$3</f>
        <v>345.19555189302378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5.6843418860808015E-14</v>
      </c>
      <c r="EK197" s="18">
        <f>EJ197*VLOOKUP('Données projet'!$B$15,Paramètres!$A$1:$I$89,3,0)*VLOOKUP('Données projet'!$B$15,Paramètres!$A$1:$I$89,5,0)</f>
        <v>5.9412741393316544E-14</v>
      </c>
      <c r="EL197" s="14">
        <f t="shared" si="179"/>
        <v>9.483138037075782E-13</v>
      </c>
      <c r="EM197" s="22">
        <f t="shared" si="180"/>
        <v>1.7551237327173916E-12</v>
      </c>
      <c r="EN197" s="62">
        <f t="shared" si="198"/>
        <v>288.66001611868239</v>
      </c>
      <c r="EO197" s="62">
        <f ca="1">AVERAGE(OFFSET($EN$3,0,0,'Données projet'!$E$15+1,1))-AVERAGE(OFFSET($H$3,0,0,'Données projet'!$E$15+1,1))</f>
        <v>418.23737352070503</v>
      </c>
      <c r="EP197" s="62">
        <f t="shared" ref="EP197:EP203" si="210">$EP$3</f>
        <v>496.10742685332968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1.1368683772161603E-13</v>
      </c>
      <c r="FF197" s="18">
        <f>FE197*VLOOKUP('Données projet'!$B$16,Paramètres!$A$1:$I$89,3,0)*VLOOKUP('Données projet'!$B$16,Paramètres!$A$1:$I$89,5,0)</f>
        <v>6.7984728957526396E-14</v>
      </c>
      <c r="FG197" s="14">
        <f t="shared" si="182"/>
        <v>1.0682447123141398E-12</v>
      </c>
      <c r="FH197" s="22">
        <f t="shared" si="183"/>
        <v>1.978932943548152E-12</v>
      </c>
      <c r="FI197" s="62">
        <f t="shared" si="199"/>
        <v>288.66001611868262</v>
      </c>
      <c r="FJ197" s="62">
        <f ca="1">AVERAGE(OFFSET($FI$3,0,0,'Données projet'!$E$16+1,1))-AVERAGE(OFFSET($H$3,0,0,'Données projet'!$E$16+1,1))</f>
        <v>341.70983624543067</v>
      </c>
      <c r="FK197" s="62">
        <f t="shared" ref="FK197:FK203" si="211">$FK$3</f>
        <v>250.82562837973805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2.5627515047731685E-24</v>
      </c>
      <c r="FT197" s="24">
        <f t="shared" si="184"/>
        <v>2.5627515047731685E-24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-2.2737367544323206E-13</v>
      </c>
      <c r="GA197" s="18">
        <f>FZ197*VLOOKUP('Données projet'!$B$17,Paramètres!$A$1:$I$89,3,0)*VLOOKUP('Données projet'!$B$17,Paramètres!$A$1:$I$89,5,0)</f>
        <v>-1.064108801074326E-13</v>
      </c>
      <c r="GB197" s="14" t="e">
        <f t="shared" si="185"/>
        <v>#NUM!</v>
      </c>
      <c r="GC197" s="22" t="e">
        <f t="shared" si="186"/>
        <v>#NUM!</v>
      </c>
      <c r="GD197" s="62" t="e">
        <f t="shared" si="200"/>
        <v>#NUM!</v>
      </c>
      <c r="GE197" s="62">
        <f ca="1">AVERAGE(OFFSET($GD$3,0,0,'Données projet'!$E$17+1,1))-AVERAGE(OFFSET($H$3,0,0,'Données projet'!$E$17+1,1))</f>
        <v>368.69628434154333</v>
      </c>
      <c r="GF197" s="62">
        <f t="shared" ref="GF197:GF203" si="212">$GF$3</f>
        <v>202.28197295839524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-1.1368683772161603E-13</v>
      </c>
      <c r="GV197" s="18">
        <f>GU197*VLOOKUP('Données projet'!$B$18,Paramètres!$A$1:$I$89,3,0)*VLOOKUP('Données projet'!$B$18,Paramètres!$A$1:$I$89,5,0)</f>
        <v>-9.9316821433603781E-14</v>
      </c>
      <c r="GW197" s="14" t="e">
        <f t="shared" si="188"/>
        <v>#NUM!</v>
      </c>
      <c r="GX197" s="22" t="e">
        <f t="shared" si="189"/>
        <v>#NUM!</v>
      </c>
      <c r="GY197" s="62" t="e">
        <f t="shared" si="201"/>
        <v>#NUM!</v>
      </c>
      <c r="GZ197" s="62">
        <f ca="1">AVERAGE(OFFSET($GY$3,0,0,'Données projet'!$E$18+1,1))-AVERAGE(OFFSET($H$3,0,0,'Données projet'!$E$18+1,1))</f>
        <v>378.51861272969165</v>
      </c>
      <c r="HA197" s="62">
        <f t="shared" ref="HA197:HA203" si="213">$HA$3</f>
        <v>387.42368617035459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0</v>
      </c>
      <c r="HH197" s="23">
        <f>EXP(-LN(2)/25)*HH196+(1-EXP(-LN(2)/25))/(LN(2)/25)*Calculateur!HC197*Calculateur!HE197*VLOOKUP('Données projet'!$B$18,Paramètres!$A$1:$I$89,3,0)*0.475*44/12</f>
        <v>0</v>
      </c>
      <c r="HI197" s="23">
        <f>EXP(-LN(2)/2)*HI196+(1-EXP(-LN(2)/2))/(LN(2)/2)*HC197*HF197*VLOOKUP('Données projet'!$B$18,Paramètres!$A$1:$I$89,3,0)*0.475*44/12</f>
        <v>0</v>
      </c>
      <c r="HJ197" s="24">
        <f t="shared" si="190"/>
        <v>0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135.66666666666666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288.74108772438478</v>
      </c>
      <c r="S198" s="62">
        <f ca="1">AVERAGE(OFFSET($R$3,0,0,'Données projet'!$E$9+1,1))-AVERAGE(OFFSET($H$3,0,0,'Données projet'!$E$9+1,1))</f>
        <v>437.94016462147999</v>
      </c>
      <c r="T198" s="62">
        <f t="shared" si="204"/>
        <v>281.88254003380348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1.1973553736239518E-24</v>
      </c>
      <c r="AC198" s="24">
        <f t="shared" si="163"/>
        <v>1.1973553736239518E-24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1.0286385077051818E-13</v>
      </c>
      <c r="AK198" s="14">
        <f t="shared" si="164"/>
        <v>1.5402366592183556E-12</v>
      </c>
      <c r="AL198" s="22">
        <f t="shared" si="165"/>
        <v>2.8617333882306215E-12</v>
      </c>
      <c r="AM198" s="62">
        <f t="shared" si="193"/>
        <v>288.74108772438564</v>
      </c>
      <c r="AN198" s="62">
        <f ca="1">AVERAGE(OFFSET($AM$3,0,0,'Données projet'!$E$10+1,1))-AVERAGE(OFFSET($H$3,0,0,'Données projet'!$E$10+1,1))</f>
        <v>434.56763649859136</v>
      </c>
      <c r="AO198" s="62">
        <f t="shared" si="205"/>
        <v>271.90302066766264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6.7984728957526396E-14</v>
      </c>
      <c r="BF198" s="14">
        <f t="shared" si="167"/>
        <v>1.0682447123141398E-12</v>
      </c>
      <c r="BG198" s="22">
        <f t="shared" si="168"/>
        <v>1.978932943548152E-12</v>
      </c>
      <c r="BH198" s="62">
        <f t="shared" si="194"/>
        <v>288.74108772438478</v>
      </c>
      <c r="BI198" s="62">
        <f ca="1">AVERAGE(OFFSET($BH$3,0,0,'Données projet'!$E$11+1,1))-AVERAGE(OFFSET($H$3,0,0,'Données projet'!$E$11+1,1))</f>
        <v>199.65420589615553</v>
      </c>
      <c r="BJ198" s="62">
        <f t="shared" si="206"/>
        <v>477.85821088970999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2.031197093403744</v>
      </c>
      <c r="BQ198" s="23">
        <f>EXP(-LN(2)/25)*BQ197+(1-EXP(-LN(2)/25))/(LN(2)/25)*Calculateur!BL198*Calculateur!BN198*VLOOKUP('Données projet'!$B$11,Paramètres!$A$1:$I$89,3,0)*0.475*44/12</f>
        <v>0.45305319287775614</v>
      </c>
      <c r="BR198" s="23">
        <f>EXP(-LN(2)/2)*BR197+(1-EXP(-LN(2)/2))/(LN(2)/2)*BL198*BO198*VLOOKUP('Données projet'!$B$11,Paramètres!$A$1:$I$89,3,0)*0.475*44/12</f>
        <v>6.3706955233775535E-24</v>
      </c>
      <c r="BS198" s="24">
        <f t="shared" si="169"/>
        <v>2.4842502862815001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1.1368683772161603E-13</v>
      </c>
      <c r="BZ198" s="14">
        <f>BY198*VLOOKUP('Données projet'!$B$12,Paramètres!$A$1:$I$89,3,0)*VLOOKUP('Données projet'!$B$12,Paramètres!$A$1:$I$89,5,0)</f>
        <v>6.7984728957526396E-14</v>
      </c>
      <c r="CA198" s="14">
        <f t="shared" si="170"/>
        <v>1.0682447123141398E-12</v>
      </c>
      <c r="CB198" s="22">
        <f t="shared" si="171"/>
        <v>1.978932943548152E-12</v>
      </c>
      <c r="CC198" s="62">
        <f t="shared" si="195"/>
        <v>288.74108772438478</v>
      </c>
      <c r="CD198" s="62">
        <f ca="1">AVERAGE(OFFSET($CC$3,0,0,'Données projet'!$E$12+1,1))-AVERAGE(OFFSET($H$3,0,0,'Données projet'!$E$12+1,1))</f>
        <v>437.94016462147999</v>
      </c>
      <c r="CE198" s="62">
        <f t="shared" si="207"/>
        <v>281.88254003380348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1.1973553736239518E-24</v>
      </c>
      <c r="CN198" s="24">
        <f t="shared" si="172"/>
        <v>1.1973553736239518E-24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1.1368683772161603E-13</v>
      </c>
      <c r="CU198" s="18">
        <f>CT198*VLOOKUP('Données projet'!$B$13,Paramètres!$A$1:$I$89,3,0)*VLOOKUP('Données projet'!$B$13,Paramètres!$A$1:$I$89,5,0)</f>
        <v>1.2946657079737634E-13</v>
      </c>
      <c r="CV198" s="14">
        <f t="shared" si="173"/>
        <v>1.8873591890224769E-12</v>
      </c>
      <c r="CW198" s="22">
        <f t="shared" si="174"/>
        <v>3.5126381983529106E-12</v>
      </c>
      <c r="CX198" s="62">
        <f t="shared" si="196"/>
        <v>288.74108772438632</v>
      </c>
      <c r="CY198" s="62">
        <f ca="1">AVERAGE(OFFSET($CX$3,0,0,'Données projet'!$E$13+1,1))-AVERAGE(OFFSET($H$3,0,0,'Données projet'!$E$13+1,1))</f>
        <v>520.23742527061836</v>
      </c>
      <c r="CZ198" s="62">
        <f t="shared" si="208"/>
        <v>321.35925479331274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>
        <f>DO198*VLOOKUP('Données projet'!$B$14,Paramètres!$A$1:$I$89,3,0)*VLOOKUP('Données projet'!$B$14,Paramètres!$A$1:$I$89,5,0)</f>
        <v>0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547.89540791313675</v>
      </c>
      <c r="DU198" s="62">
        <f t="shared" si="209"/>
        <v>345.19555189302378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5.6843418860808015E-14</v>
      </c>
      <c r="EK198" s="18">
        <f>EJ198*VLOOKUP('Données projet'!$B$15,Paramètres!$A$1:$I$89,3,0)*VLOOKUP('Données projet'!$B$15,Paramètres!$A$1:$I$89,5,0)</f>
        <v>5.9412741393316544E-14</v>
      </c>
      <c r="EL198" s="14">
        <f t="shared" si="179"/>
        <v>9.483138037075782E-13</v>
      </c>
      <c r="EM198" s="22">
        <f t="shared" si="180"/>
        <v>1.7551237327173916E-12</v>
      </c>
      <c r="EN198" s="62">
        <f t="shared" si="198"/>
        <v>288.74108772438456</v>
      </c>
      <c r="EO198" s="62">
        <f ca="1">AVERAGE(OFFSET($EN$3,0,0,'Données projet'!$E$15+1,1))-AVERAGE(OFFSET($H$3,0,0,'Données projet'!$E$15+1,1))</f>
        <v>418.23737352070503</v>
      </c>
      <c r="EP198" s="62">
        <f t="shared" si="210"/>
        <v>496.10742685332968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1.1368683772161603E-13</v>
      </c>
      <c r="FF198" s="18">
        <f>FE198*VLOOKUP('Données projet'!$B$16,Paramètres!$A$1:$I$89,3,0)*VLOOKUP('Données projet'!$B$16,Paramètres!$A$1:$I$89,5,0)</f>
        <v>6.7984728957526396E-14</v>
      </c>
      <c r="FG198" s="14">
        <f t="shared" si="182"/>
        <v>1.0682447123141398E-12</v>
      </c>
      <c r="FH198" s="22">
        <f t="shared" si="183"/>
        <v>1.978932943548152E-12</v>
      </c>
      <c r="FI198" s="62">
        <f t="shared" si="199"/>
        <v>288.74108772438478</v>
      </c>
      <c r="FJ198" s="62">
        <f ca="1">AVERAGE(OFFSET($FI$3,0,0,'Données projet'!$E$16+1,1))-AVERAGE(OFFSET($H$3,0,0,'Données projet'!$E$16+1,1))</f>
        <v>341.70983624543067</v>
      </c>
      <c r="FK198" s="62">
        <f t="shared" si="211"/>
        <v>250.82562837973805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1.8121389675211363E-24</v>
      </c>
      <c r="FT198" s="24">
        <f t="shared" si="184"/>
        <v>1.8121389675211363E-24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-2.2737367544323206E-13</v>
      </c>
      <c r="GA198" s="18">
        <f>FZ198*VLOOKUP('Données projet'!$B$17,Paramètres!$A$1:$I$89,3,0)*VLOOKUP('Données projet'!$B$17,Paramètres!$A$1:$I$89,5,0)</f>
        <v>-1.064108801074326E-13</v>
      </c>
      <c r="GB198" s="14" t="e">
        <f t="shared" si="185"/>
        <v>#NUM!</v>
      </c>
      <c r="GC198" s="22" t="e">
        <f t="shared" si="186"/>
        <v>#NUM!</v>
      </c>
      <c r="GD198" s="62" t="e">
        <f t="shared" si="200"/>
        <v>#NUM!</v>
      </c>
      <c r="GE198" s="62">
        <f ca="1">AVERAGE(OFFSET($GD$3,0,0,'Données projet'!$E$17+1,1))-AVERAGE(OFFSET($H$3,0,0,'Données projet'!$E$17+1,1))</f>
        <v>368.69628434154333</v>
      </c>
      <c r="GF198" s="62">
        <f t="shared" si="212"/>
        <v>202.28197295839524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-1.1368683772161603E-13</v>
      </c>
      <c r="GV198" s="18">
        <f>GU198*VLOOKUP('Données projet'!$B$18,Paramètres!$A$1:$I$89,3,0)*VLOOKUP('Données projet'!$B$18,Paramètres!$A$1:$I$89,5,0)</f>
        <v>-9.9316821433603781E-14</v>
      </c>
      <c r="GW198" s="14" t="e">
        <f t="shared" si="188"/>
        <v>#NUM!</v>
      </c>
      <c r="GX198" s="22" t="e">
        <f t="shared" si="189"/>
        <v>#NUM!</v>
      </c>
      <c r="GY198" s="62" t="e">
        <f t="shared" si="201"/>
        <v>#NUM!</v>
      </c>
      <c r="GZ198" s="62">
        <f ca="1">AVERAGE(OFFSET($GY$3,0,0,'Données projet'!$E$18+1,1))-AVERAGE(OFFSET($H$3,0,0,'Données projet'!$E$18+1,1))</f>
        <v>378.51861272969165</v>
      </c>
      <c r="HA198" s="62">
        <f t="shared" si="213"/>
        <v>387.42368617035459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0</v>
      </c>
      <c r="HH198" s="23">
        <f>EXP(-LN(2)/25)*HH197+(1-EXP(-LN(2)/25))/(LN(2)/25)*Calculateur!HC198*Calculateur!HE198*VLOOKUP('Données projet'!$B$18,Paramètres!$A$1:$I$89,3,0)*0.475*44/12</f>
        <v>0</v>
      </c>
      <c r="HI198" s="23">
        <f>EXP(-LN(2)/2)*HI197+(1-EXP(-LN(2)/2))/(LN(2)/2)*HC198*HF198*VLOOKUP('Données projet'!$B$18,Paramètres!$A$1:$I$89,3,0)*0.475*44/12</f>
        <v>0</v>
      </c>
      <c r="HJ198" s="24">
        <f t="shared" si="190"/>
        <v>0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135.66666666666666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288.82075291897695</v>
      </c>
      <c r="S199" s="62">
        <f ca="1">AVERAGE(OFFSET($R$3,0,0,'Données projet'!$E$9+1,1))-AVERAGE(OFFSET($H$3,0,0,'Données projet'!$E$9+1,1))</f>
        <v>437.94016462147999</v>
      </c>
      <c r="T199" s="62">
        <f t="shared" si="204"/>
        <v>281.88254003380348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8.4665810417964855E-25</v>
      </c>
      <c r="AC199" s="24">
        <f t="shared" si="163"/>
        <v>8.4665810417964855E-25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1.0286385077051818E-13</v>
      </c>
      <c r="AK199" s="14">
        <f t="shared" si="164"/>
        <v>1.5402366592183556E-12</v>
      </c>
      <c r="AL199" s="22">
        <f t="shared" si="165"/>
        <v>2.8617333882306215E-12</v>
      </c>
      <c r="AM199" s="62">
        <f t="shared" si="193"/>
        <v>288.8207529189778</v>
      </c>
      <c r="AN199" s="62">
        <f ca="1">AVERAGE(OFFSET($AM$3,0,0,'Données projet'!$E$10+1,1))-AVERAGE(OFFSET($H$3,0,0,'Données projet'!$E$10+1,1))</f>
        <v>434.56763649859136</v>
      </c>
      <c r="AO199" s="62">
        <f t="shared" si="205"/>
        <v>271.90302066766264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6.7984728957526396E-14</v>
      </c>
      <c r="BF199" s="14">
        <f t="shared" si="167"/>
        <v>1.0682447123141398E-12</v>
      </c>
      <c r="BG199" s="22">
        <f t="shared" si="168"/>
        <v>1.978932943548152E-12</v>
      </c>
      <c r="BH199" s="62">
        <f t="shared" si="194"/>
        <v>288.82075291897695</v>
      </c>
      <c r="BI199" s="62">
        <f ca="1">AVERAGE(OFFSET($BH$3,0,0,'Données projet'!$E$11+1,1))-AVERAGE(OFFSET($H$3,0,0,'Données projet'!$E$11+1,1))</f>
        <v>199.65420589615553</v>
      </c>
      <c r="BJ199" s="62">
        <f t="shared" si="206"/>
        <v>477.85821088970999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1.9913665573099915</v>
      </c>
      <c r="BQ199" s="23">
        <f>EXP(-LN(2)/25)*BQ198+(1-EXP(-LN(2)/25))/(LN(2)/25)*Calculateur!BL199*Calculateur!BN199*VLOOKUP('Données projet'!$B$11,Paramètres!$A$1:$I$89,3,0)*0.475*44/12</f>
        <v>0.44066442949348195</v>
      </c>
      <c r="BR199" s="23">
        <f>EXP(-LN(2)/2)*BR198+(1-EXP(-LN(2)/2))/(LN(2)/2)*BL199*BO199*VLOOKUP('Données projet'!$B$11,Paramètres!$A$1:$I$89,3,0)*0.475*44/12</f>
        <v>4.5047620054550495E-24</v>
      </c>
      <c r="BS199" s="24">
        <f t="shared" si="169"/>
        <v>2.4320309868034733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1.1368683772161603E-13</v>
      </c>
      <c r="BZ199" s="14">
        <f>BY199*VLOOKUP('Données projet'!$B$12,Paramètres!$A$1:$I$89,3,0)*VLOOKUP('Données projet'!$B$12,Paramètres!$A$1:$I$89,5,0)</f>
        <v>6.7984728957526396E-14</v>
      </c>
      <c r="CA199" s="14">
        <f t="shared" si="170"/>
        <v>1.0682447123141398E-12</v>
      </c>
      <c r="CB199" s="22">
        <f t="shared" si="171"/>
        <v>1.978932943548152E-12</v>
      </c>
      <c r="CC199" s="62">
        <f t="shared" si="195"/>
        <v>288.82075291897695</v>
      </c>
      <c r="CD199" s="62">
        <f ca="1">AVERAGE(OFFSET($CC$3,0,0,'Données projet'!$E$12+1,1))-AVERAGE(OFFSET($H$3,0,0,'Données projet'!$E$12+1,1))</f>
        <v>437.94016462147999</v>
      </c>
      <c r="CE199" s="62">
        <f t="shared" si="207"/>
        <v>281.88254003380348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8.4665810417964855E-25</v>
      </c>
      <c r="CN199" s="24">
        <f t="shared" si="172"/>
        <v>8.4665810417964855E-25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1.1368683772161603E-13</v>
      </c>
      <c r="CU199" s="18">
        <f>CT199*VLOOKUP('Données projet'!$B$13,Paramètres!$A$1:$I$89,3,0)*VLOOKUP('Données projet'!$B$13,Paramètres!$A$1:$I$89,5,0)</f>
        <v>1.2946657079737634E-13</v>
      </c>
      <c r="CV199" s="14">
        <f t="shared" si="173"/>
        <v>1.8873591890224769E-12</v>
      </c>
      <c r="CW199" s="22">
        <f t="shared" si="174"/>
        <v>3.5126381983529106E-12</v>
      </c>
      <c r="CX199" s="62">
        <f t="shared" si="196"/>
        <v>288.82075291897849</v>
      </c>
      <c r="CY199" s="62">
        <f ca="1">AVERAGE(OFFSET($CX$3,0,0,'Données projet'!$E$13+1,1))-AVERAGE(OFFSET($H$3,0,0,'Données projet'!$E$13+1,1))</f>
        <v>520.23742527061836</v>
      </c>
      <c r="CZ199" s="62">
        <f t="shared" si="208"/>
        <v>321.35925479331274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>
        <f>DO199*VLOOKUP('Données projet'!$B$14,Paramètres!$A$1:$I$89,3,0)*VLOOKUP('Données projet'!$B$14,Paramètres!$A$1:$I$89,5,0)</f>
        <v>0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547.89540791313675</v>
      </c>
      <c r="DU199" s="62">
        <f t="shared" si="209"/>
        <v>345.19555189302378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5.6843418860808015E-14</v>
      </c>
      <c r="EK199" s="18">
        <f>EJ199*VLOOKUP('Données projet'!$B$15,Paramètres!$A$1:$I$89,3,0)*VLOOKUP('Données projet'!$B$15,Paramètres!$A$1:$I$89,5,0)</f>
        <v>5.9412741393316544E-14</v>
      </c>
      <c r="EL199" s="14">
        <f t="shared" si="179"/>
        <v>9.483138037075782E-13</v>
      </c>
      <c r="EM199" s="22">
        <f t="shared" si="180"/>
        <v>1.7551237327173916E-12</v>
      </c>
      <c r="EN199" s="62">
        <f t="shared" si="198"/>
        <v>288.82075291897672</v>
      </c>
      <c r="EO199" s="62">
        <f ca="1">AVERAGE(OFFSET($EN$3,0,0,'Données projet'!$E$15+1,1))-AVERAGE(OFFSET($H$3,0,0,'Données projet'!$E$15+1,1))</f>
        <v>418.23737352070503</v>
      </c>
      <c r="EP199" s="62">
        <f t="shared" si="210"/>
        <v>496.10742685332968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1.1368683772161603E-13</v>
      </c>
      <c r="FF199" s="18">
        <f>FE199*VLOOKUP('Données projet'!$B$16,Paramètres!$A$1:$I$89,3,0)*VLOOKUP('Données projet'!$B$16,Paramètres!$A$1:$I$89,5,0)</f>
        <v>6.7984728957526396E-14</v>
      </c>
      <c r="FG199" s="14">
        <f t="shared" si="182"/>
        <v>1.0682447123141398E-12</v>
      </c>
      <c r="FH199" s="22">
        <f t="shared" si="183"/>
        <v>1.978932943548152E-12</v>
      </c>
      <c r="FI199" s="62">
        <f t="shared" si="199"/>
        <v>288.82075291897695</v>
      </c>
      <c r="FJ199" s="62">
        <f ca="1">AVERAGE(OFFSET($FI$3,0,0,'Données projet'!$E$16+1,1))-AVERAGE(OFFSET($H$3,0,0,'Données projet'!$E$16+1,1))</f>
        <v>341.70983624543067</v>
      </c>
      <c r="FK199" s="62">
        <f t="shared" si="211"/>
        <v>250.82562837973805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1.2813757523865842E-24</v>
      </c>
      <c r="FT199" s="24">
        <f t="shared" si="184"/>
        <v>1.2813757523865842E-24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-2.2737367544323206E-13</v>
      </c>
      <c r="GA199" s="18">
        <f>FZ199*VLOOKUP('Données projet'!$B$17,Paramètres!$A$1:$I$89,3,0)*VLOOKUP('Données projet'!$B$17,Paramètres!$A$1:$I$89,5,0)</f>
        <v>-1.064108801074326E-13</v>
      </c>
      <c r="GB199" s="14" t="e">
        <f t="shared" si="185"/>
        <v>#NUM!</v>
      </c>
      <c r="GC199" s="22" t="e">
        <f t="shared" si="186"/>
        <v>#NUM!</v>
      </c>
      <c r="GD199" s="62" t="e">
        <f t="shared" si="200"/>
        <v>#NUM!</v>
      </c>
      <c r="GE199" s="62">
        <f ca="1">AVERAGE(OFFSET($GD$3,0,0,'Données projet'!$E$17+1,1))-AVERAGE(OFFSET($H$3,0,0,'Données projet'!$E$17+1,1))</f>
        <v>368.69628434154333</v>
      </c>
      <c r="GF199" s="62">
        <f t="shared" si="212"/>
        <v>202.28197295839524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-1.1368683772161603E-13</v>
      </c>
      <c r="GV199" s="18">
        <f>GU199*VLOOKUP('Données projet'!$B$18,Paramètres!$A$1:$I$89,3,0)*VLOOKUP('Données projet'!$B$18,Paramètres!$A$1:$I$89,5,0)</f>
        <v>-9.9316821433603781E-14</v>
      </c>
      <c r="GW199" s="14" t="e">
        <f t="shared" si="188"/>
        <v>#NUM!</v>
      </c>
      <c r="GX199" s="22" t="e">
        <f t="shared" si="189"/>
        <v>#NUM!</v>
      </c>
      <c r="GY199" s="62" t="e">
        <f t="shared" si="201"/>
        <v>#NUM!</v>
      </c>
      <c r="GZ199" s="62">
        <f ca="1">AVERAGE(OFFSET($GY$3,0,0,'Données projet'!$E$18+1,1))-AVERAGE(OFFSET($H$3,0,0,'Données projet'!$E$18+1,1))</f>
        <v>378.51861272969165</v>
      </c>
      <c r="HA199" s="62">
        <f t="shared" si="213"/>
        <v>387.42368617035459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0</v>
      </c>
      <c r="HH199" s="23">
        <f>EXP(-LN(2)/25)*HH198+(1-EXP(-LN(2)/25))/(LN(2)/25)*Calculateur!HC199*Calculateur!HE199*VLOOKUP('Données projet'!$B$18,Paramètres!$A$1:$I$89,3,0)*0.475*44/12</f>
        <v>0</v>
      </c>
      <c r="HI199" s="23">
        <f>EXP(-LN(2)/2)*HI198+(1-EXP(-LN(2)/2))/(LN(2)/2)*HC199*HF199*VLOOKUP('Données projet'!$B$18,Paramètres!$A$1:$I$89,3,0)*0.475*44/12</f>
        <v>0</v>
      </c>
      <c r="HJ199" s="24">
        <f t="shared" si="190"/>
        <v>0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135.66666666666666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288.89903610054762</v>
      </c>
      <c r="S200" s="62">
        <f ca="1">AVERAGE(OFFSET($R$3,0,0,'Données projet'!$E$9+1,1))-AVERAGE(OFFSET($H$3,0,0,'Données projet'!$E$9+1,1))</f>
        <v>437.94016462147999</v>
      </c>
      <c r="T200" s="62">
        <f t="shared" si="204"/>
        <v>281.88254003380348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5.9867768681197591E-25</v>
      </c>
      <c r="AC200" s="24">
        <f t="shared" si="163"/>
        <v>5.9867768681197591E-25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1.0286385077051818E-13</v>
      </c>
      <c r="AK200" s="14">
        <f t="shared" si="164"/>
        <v>1.5402366592183556E-12</v>
      </c>
      <c r="AL200" s="22">
        <f t="shared" si="165"/>
        <v>2.8617333882306215E-12</v>
      </c>
      <c r="AM200" s="62">
        <f t="shared" si="193"/>
        <v>288.89903610054847</v>
      </c>
      <c r="AN200" s="62">
        <f ca="1">AVERAGE(OFFSET($AM$3,0,0,'Données projet'!$E$10+1,1))-AVERAGE(OFFSET($H$3,0,0,'Données projet'!$E$10+1,1))</f>
        <v>434.56763649859136</v>
      </c>
      <c r="AO200" s="62">
        <f t="shared" si="205"/>
        <v>271.90302066766264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6.7984728957526396E-14</v>
      </c>
      <c r="BF200" s="14">
        <f t="shared" si="167"/>
        <v>1.0682447123141398E-12</v>
      </c>
      <c r="BG200" s="22">
        <f t="shared" si="168"/>
        <v>1.978932943548152E-12</v>
      </c>
      <c r="BH200" s="62">
        <f t="shared" si="194"/>
        <v>288.89903610054762</v>
      </c>
      <c r="BI200" s="62">
        <f ca="1">AVERAGE(OFFSET($BH$3,0,0,'Données projet'!$E$11+1,1))-AVERAGE(OFFSET($H$3,0,0,'Données projet'!$E$11+1,1))</f>
        <v>199.65420589615553</v>
      </c>
      <c r="BJ200" s="62">
        <f t="shared" si="206"/>
        <v>477.85821088970999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1.9523170737348094</v>
      </c>
      <c r="BQ200" s="23">
        <f>EXP(-LN(2)/25)*BQ199+(1-EXP(-LN(2)/25))/(LN(2)/25)*Calculateur!BL200*Calculateur!BN200*VLOOKUP('Données projet'!$B$11,Paramètres!$A$1:$I$89,3,0)*0.475*44/12</f>
        <v>0.42861443749544748</v>
      </c>
      <c r="BR200" s="23">
        <f>EXP(-LN(2)/2)*BR199+(1-EXP(-LN(2)/2))/(LN(2)/2)*BL200*BO200*VLOOKUP('Données projet'!$B$11,Paramètres!$A$1:$I$89,3,0)*0.475*44/12</f>
        <v>3.1853477616887767E-24</v>
      </c>
      <c r="BS200" s="24">
        <f t="shared" si="169"/>
        <v>2.3809315112302567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1.1368683772161603E-13</v>
      </c>
      <c r="BZ200" s="14">
        <f>BY200*VLOOKUP('Données projet'!$B$12,Paramètres!$A$1:$I$89,3,0)*VLOOKUP('Données projet'!$B$12,Paramètres!$A$1:$I$89,5,0)</f>
        <v>6.7984728957526396E-14</v>
      </c>
      <c r="CA200" s="14">
        <f t="shared" si="170"/>
        <v>1.0682447123141398E-12</v>
      </c>
      <c r="CB200" s="22">
        <f t="shared" si="171"/>
        <v>1.978932943548152E-12</v>
      </c>
      <c r="CC200" s="62">
        <f t="shared" si="195"/>
        <v>288.89903610054762</v>
      </c>
      <c r="CD200" s="62">
        <f ca="1">AVERAGE(OFFSET($CC$3,0,0,'Données projet'!$E$12+1,1))-AVERAGE(OFFSET($H$3,0,0,'Données projet'!$E$12+1,1))</f>
        <v>437.94016462147999</v>
      </c>
      <c r="CE200" s="62">
        <f t="shared" si="207"/>
        <v>281.88254003380348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5.9867768681197591E-25</v>
      </c>
      <c r="CN200" s="24">
        <f t="shared" si="172"/>
        <v>5.9867768681197591E-25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1.1368683772161603E-13</v>
      </c>
      <c r="CU200" s="18">
        <f>CT200*VLOOKUP('Données projet'!$B$13,Paramètres!$A$1:$I$89,3,0)*VLOOKUP('Données projet'!$B$13,Paramètres!$A$1:$I$89,5,0)</f>
        <v>1.2946657079737634E-13</v>
      </c>
      <c r="CV200" s="14">
        <f t="shared" si="173"/>
        <v>1.8873591890224769E-12</v>
      </c>
      <c r="CW200" s="22">
        <f t="shared" si="174"/>
        <v>3.5126381983529106E-12</v>
      </c>
      <c r="CX200" s="62">
        <f t="shared" si="196"/>
        <v>288.89903610054915</v>
      </c>
      <c r="CY200" s="62">
        <f ca="1">AVERAGE(OFFSET($CX$3,0,0,'Données projet'!$E$13+1,1))-AVERAGE(OFFSET($H$3,0,0,'Données projet'!$E$13+1,1))</f>
        <v>520.23742527061836</v>
      </c>
      <c r="CZ200" s="62">
        <f t="shared" si="208"/>
        <v>321.35925479331274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>
        <f>DO200*VLOOKUP('Données projet'!$B$14,Paramètres!$A$1:$I$89,3,0)*VLOOKUP('Données projet'!$B$14,Paramètres!$A$1:$I$89,5,0)</f>
        <v>0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547.89540791313675</v>
      </c>
      <c r="DU200" s="62">
        <f t="shared" si="209"/>
        <v>345.19555189302378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5.6843418860808015E-14</v>
      </c>
      <c r="EK200" s="18">
        <f>EJ200*VLOOKUP('Données projet'!$B$15,Paramètres!$A$1:$I$89,3,0)*VLOOKUP('Données projet'!$B$15,Paramètres!$A$1:$I$89,5,0)</f>
        <v>5.9412741393316544E-14</v>
      </c>
      <c r="EL200" s="14">
        <f t="shared" si="179"/>
        <v>9.483138037075782E-13</v>
      </c>
      <c r="EM200" s="22">
        <f t="shared" si="180"/>
        <v>1.7551237327173916E-12</v>
      </c>
      <c r="EN200" s="62">
        <f t="shared" si="198"/>
        <v>288.89903610054739</v>
      </c>
      <c r="EO200" s="62">
        <f ca="1">AVERAGE(OFFSET($EN$3,0,0,'Données projet'!$E$15+1,1))-AVERAGE(OFFSET($H$3,0,0,'Données projet'!$E$15+1,1))</f>
        <v>418.23737352070503</v>
      </c>
      <c r="EP200" s="62">
        <f t="shared" si="210"/>
        <v>496.10742685332968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1.1368683772161603E-13</v>
      </c>
      <c r="FF200" s="18">
        <f>FE200*VLOOKUP('Données projet'!$B$16,Paramètres!$A$1:$I$89,3,0)*VLOOKUP('Données projet'!$B$16,Paramètres!$A$1:$I$89,5,0)</f>
        <v>6.7984728957526396E-14</v>
      </c>
      <c r="FG200" s="14">
        <f t="shared" si="182"/>
        <v>1.0682447123141398E-12</v>
      </c>
      <c r="FH200" s="22">
        <f t="shared" si="183"/>
        <v>1.978932943548152E-12</v>
      </c>
      <c r="FI200" s="62">
        <f t="shared" si="199"/>
        <v>288.89903610054762</v>
      </c>
      <c r="FJ200" s="62">
        <f ca="1">AVERAGE(OFFSET($FI$3,0,0,'Données projet'!$E$16+1,1))-AVERAGE(OFFSET($H$3,0,0,'Données projet'!$E$16+1,1))</f>
        <v>341.70983624543067</v>
      </c>
      <c r="FK200" s="62">
        <f t="shared" si="211"/>
        <v>250.82562837973805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9.0606948376056813E-25</v>
      </c>
      <c r="FT200" s="24">
        <f t="shared" si="184"/>
        <v>9.0606948376056813E-25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-2.2737367544323206E-13</v>
      </c>
      <c r="GA200" s="18">
        <f>FZ200*VLOOKUP('Données projet'!$B$17,Paramètres!$A$1:$I$89,3,0)*VLOOKUP('Données projet'!$B$17,Paramètres!$A$1:$I$89,5,0)</f>
        <v>-1.064108801074326E-13</v>
      </c>
      <c r="GB200" s="14" t="e">
        <f t="shared" si="185"/>
        <v>#NUM!</v>
      </c>
      <c r="GC200" s="22" t="e">
        <f t="shared" si="186"/>
        <v>#NUM!</v>
      </c>
      <c r="GD200" s="62" t="e">
        <f t="shared" si="200"/>
        <v>#NUM!</v>
      </c>
      <c r="GE200" s="62">
        <f ca="1">AVERAGE(OFFSET($GD$3,0,0,'Données projet'!$E$17+1,1))-AVERAGE(OFFSET($H$3,0,0,'Données projet'!$E$17+1,1))</f>
        <v>368.69628434154333</v>
      </c>
      <c r="GF200" s="62">
        <f t="shared" si="212"/>
        <v>202.28197295839524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-1.1368683772161603E-13</v>
      </c>
      <c r="GV200" s="18">
        <f>GU200*VLOOKUP('Données projet'!$B$18,Paramètres!$A$1:$I$89,3,0)*VLOOKUP('Données projet'!$B$18,Paramètres!$A$1:$I$89,5,0)</f>
        <v>-9.9316821433603781E-14</v>
      </c>
      <c r="GW200" s="14" t="e">
        <f t="shared" si="188"/>
        <v>#NUM!</v>
      </c>
      <c r="GX200" s="22" t="e">
        <f t="shared" si="189"/>
        <v>#NUM!</v>
      </c>
      <c r="GY200" s="62" t="e">
        <f t="shared" si="201"/>
        <v>#NUM!</v>
      </c>
      <c r="GZ200" s="62">
        <f ca="1">AVERAGE(OFFSET($GY$3,0,0,'Données projet'!$E$18+1,1))-AVERAGE(OFFSET($H$3,0,0,'Données projet'!$E$18+1,1))</f>
        <v>378.51861272969165</v>
      </c>
      <c r="HA200" s="62">
        <f t="shared" si="213"/>
        <v>387.42368617035459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0</v>
      </c>
      <c r="HH200" s="23">
        <f>EXP(-LN(2)/25)*HH199+(1-EXP(-LN(2)/25))/(LN(2)/25)*Calculateur!HC200*Calculateur!HE200*VLOOKUP('Données projet'!$B$18,Paramètres!$A$1:$I$89,3,0)*0.475*44/12</f>
        <v>0</v>
      </c>
      <c r="HI200" s="23">
        <f>EXP(-LN(2)/2)*HI199+(1-EXP(-LN(2)/2))/(LN(2)/2)*HC200*HF200*VLOOKUP('Données projet'!$B$18,Paramètres!$A$1:$I$89,3,0)*0.475*44/12</f>
        <v>0</v>
      </c>
      <c r="HJ200" s="24">
        <f t="shared" si="190"/>
        <v>0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135.66666666666666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288.97596124393306</v>
      </c>
      <c r="S201" s="62">
        <f ca="1">AVERAGE(OFFSET($R$3,0,0,'Données projet'!$E$9+1,1))-AVERAGE(OFFSET($H$3,0,0,'Données projet'!$E$9+1,1))</f>
        <v>437.94016462147999</v>
      </c>
      <c r="T201" s="62">
        <f t="shared" si="204"/>
        <v>281.88254003380348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4.2332905208982428E-25</v>
      </c>
      <c r="AC201" s="24">
        <f t="shared" si="163"/>
        <v>4.2332905208982428E-25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1.0286385077051818E-13</v>
      </c>
      <c r="AK201" s="14">
        <f t="shared" si="164"/>
        <v>1.5402366592183556E-12</v>
      </c>
      <c r="AL201" s="22">
        <f t="shared" si="165"/>
        <v>2.8617333882306215E-12</v>
      </c>
      <c r="AM201" s="62">
        <f t="shared" si="193"/>
        <v>288.97596124393391</v>
      </c>
      <c r="AN201" s="62">
        <f ca="1">AVERAGE(OFFSET($AM$3,0,0,'Données projet'!$E$10+1,1))-AVERAGE(OFFSET($H$3,0,0,'Données projet'!$E$10+1,1))</f>
        <v>434.56763649859136</v>
      </c>
      <c r="AO201" s="62">
        <f t="shared" si="205"/>
        <v>271.90302066766264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6.7984728957526396E-14</v>
      </c>
      <c r="BF201" s="14">
        <f t="shared" si="167"/>
        <v>1.0682447123141398E-12</v>
      </c>
      <c r="BG201" s="22">
        <f t="shared" si="168"/>
        <v>1.978932943548152E-12</v>
      </c>
      <c r="BH201" s="62">
        <f t="shared" si="194"/>
        <v>288.97596124393306</v>
      </c>
      <c r="BI201" s="62">
        <f ca="1">AVERAGE(OFFSET($BH$3,0,0,'Données projet'!$E$11+1,1))-AVERAGE(OFFSET($H$3,0,0,'Données projet'!$E$11+1,1))</f>
        <v>199.65420589615553</v>
      </c>
      <c r="BJ201" s="62">
        <f t="shared" si="206"/>
        <v>477.85821088970999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1.9140333267147034</v>
      </c>
      <c r="BQ201" s="23">
        <f>EXP(-LN(2)/25)*BQ200+(1-EXP(-LN(2)/25))/(LN(2)/25)*Calculateur!BL201*Calculateur!BN201*VLOOKUP('Données projet'!$B$11,Paramètres!$A$1:$I$89,3,0)*0.475*44/12</f>
        <v>0.41689395316228078</v>
      </c>
      <c r="BR201" s="23">
        <f>EXP(-LN(2)/2)*BR200+(1-EXP(-LN(2)/2))/(LN(2)/2)*BL201*BO201*VLOOKUP('Données projet'!$B$11,Paramètres!$A$1:$I$89,3,0)*0.475*44/12</f>
        <v>2.2523810027275247E-24</v>
      </c>
      <c r="BS201" s="24">
        <f t="shared" si="169"/>
        <v>2.3309272798769842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1.1368683772161603E-13</v>
      </c>
      <c r="BZ201" s="14">
        <f>BY201*VLOOKUP('Données projet'!$B$12,Paramètres!$A$1:$I$89,3,0)*VLOOKUP('Données projet'!$B$12,Paramètres!$A$1:$I$89,5,0)</f>
        <v>6.7984728957526396E-14</v>
      </c>
      <c r="CA201" s="14">
        <f t="shared" si="170"/>
        <v>1.0682447123141398E-12</v>
      </c>
      <c r="CB201" s="22">
        <f t="shared" si="171"/>
        <v>1.978932943548152E-12</v>
      </c>
      <c r="CC201" s="62">
        <f t="shared" si="195"/>
        <v>288.97596124393306</v>
      </c>
      <c r="CD201" s="62">
        <f ca="1">AVERAGE(OFFSET($CC$3,0,0,'Données projet'!$E$12+1,1))-AVERAGE(OFFSET($H$3,0,0,'Données projet'!$E$12+1,1))</f>
        <v>437.94016462147999</v>
      </c>
      <c r="CE201" s="62">
        <f t="shared" si="207"/>
        <v>281.88254003380348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4.2332905208982428E-25</v>
      </c>
      <c r="CN201" s="24">
        <f t="shared" si="172"/>
        <v>4.2332905208982428E-25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1.1368683772161603E-13</v>
      </c>
      <c r="CU201" s="18">
        <f>CT201*VLOOKUP('Données projet'!$B$13,Paramètres!$A$1:$I$89,3,0)*VLOOKUP('Données projet'!$B$13,Paramètres!$A$1:$I$89,5,0)</f>
        <v>1.2946657079737634E-13</v>
      </c>
      <c r="CV201" s="14">
        <f t="shared" si="173"/>
        <v>1.8873591890224769E-12</v>
      </c>
      <c r="CW201" s="22">
        <f t="shared" si="174"/>
        <v>3.5126381983529106E-12</v>
      </c>
      <c r="CX201" s="62">
        <f t="shared" si="196"/>
        <v>288.97596124393459</v>
      </c>
      <c r="CY201" s="62">
        <f ca="1">AVERAGE(OFFSET($CX$3,0,0,'Données projet'!$E$13+1,1))-AVERAGE(OFFSET($H$3,0,0,'Données projet'!$E$13+1,1))</f>
        <v>520.23742527061836</v>
      </c>
      <c r="CZ201" s="62">
        <f t="shared" si="208"/>
        <v>321.35925479331274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>
        <f>DO201*VLOOKUP('Données projet'!$B$14,Paramètres!$A$1:$I$89,3,0)*VLOOKUP('Données projet'!$B$14,Paramètres!$A$1:$I$89,5,0)</f>
        <v>0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547.89540791313675</v>
      </c>
      <c r="DU201" s="62">
        <f t="shared" si="209"/>
        <v>345.19555189302378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5.6843418860808015E-14</v>
      </c>
      <c r="EK201" s="18">
        <f>EJ201*VLOOKUP('Données projet'!$B$15,Paramètres!$A$1:$I$89,3,0)*VLOOKUP('Données projet'!$B$15,Paramètres!$A$1:$I$89,5,0)</f>
        <v>5.9412741393316544E-14</v>
      </c>
      <c r="EL201" s="14">
        <f t="shared" si="179"/>
        <v>9.483138037075782E-13</v>
      </c>
      <c r="EM201" s="22">
        <f t="shared" si="180"/>
        <v>1.7551237327173916E-12</v>
      </c>
      <c r="EN201" s="62">
        <f t="shared" si="198"/>
        <v>288.97596124393283</v>
      </c>
      <c r="EO201" s="62">
        <f ca="1">AVERAGE(OFFSET($EN$3,0,0,'Données projet'!$E$15+1,1))-AVERAGE(OFFSET($H$3,0,0,'Données projet'!$E$15+1,1))</f>
        <v>418.23737352070503</v>
      </c>
      <c r="EP201" s="62">
        <f t="shared" si="210"/>
        <v>496.10742685332968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1.1368683772161603E-13</v>
      </c>
      <c r="FF201" s="18">
        <f>FE201*VLOOKUP('Données projet'!$B$16,Paramètres!$A$1:$I$89,3,0)*VLOOKUP('Données projet'!$B$16,Paramètres!$A$1:$I$89,5,0)</f>
        <v>6.7984728957526396E-14</v>
      </c>
      <c r="FG201" s="14">
        <f t="shared" si="182"/>
        <v>1.0682447123141398E-12</v>
      </c>
      <c r="FH201" s="22">
        <f t="shared" si="183"/>
        <v>1.978932943548152E-12</v>
      </c>
      <c r="FI201" s="62">
        <f t="shared" si="199"/>
        <v>288.97596124393306</v>
      </c>
      <c r="FJ201" s="62">
        <f ca="1">AVERAGE(OFFSET($FI$3,0,0,'Données projet'!$E$16+1,1))-AVERAGE(OFFSET($H$3,0,0,'Données projet'!$E$16+1,1))</f>
        <v>341.70983624543067</v>
      </c>
      <c r="FK201" s="62">
        <f t="shared" si="211"/>
        <v>250.82562837973805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6.4068787619329212E-25</v>
      </c>
      <c r="FT201" s="24">
        <f t="shared" si="184"/>
        <v>6.4068787619329212E-25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-2.2737367544323206E-13</v>
      </c>
      <c r="GA201" s="18">
        <f>FZ201*VLOOKUP('Données projet'!$B$17,Paramètres!$A$1:$I$89,3,0)*VLOOKUP('Données projet'!$B$17,Paramètres!$A$1:$I$89,5,0)</f>
        <v>-1.064108801074326E-13</v>
      </c>
      <c r="GB201" s="14" t="e">
        <f t="shared" si="185"/>
        <v>#NUM!</v>
      </c>
      <c r="GC201" s="22" t="e">
        <f t="shared" si="186"/>
        <v>#NUM!</v>
      </c>
      <c r="GD201" s="62" t="e">
        <f t="shared" si="200"/>
        <v>#NUM!</v>
      </c>
      <c r="GE201" s="62">
        <f ca="1">AVERAGE(OFFSET($GD$3,0,0,'Données projet'!$E$17+1,1))-AVERAGE(OFFSET($H$3,0,0,'Données projet'!$E$17+1,1))</f>
        <v>368.69628434154333</v>
      </c>
      <c r="GF201" s="62">
        <f t="shared" si="212"/>
        <v>202.28197295839524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-1.1368683772161603E-13</v>
      </c>
      <c r="GV201" s="18">
        <f>GU201*VLOOKUP('Données projet'!$B$18,Paramètres!$A$1:$I$89,3,0)*VLOOKUP('Données projet'!$B$18,Paramètres!$A$1:$I$89,5,0)</f>
        <v>-9.9316821433603781E-14</v>
      </c>
      <c r="GW201" s="14" t="e">
        <f t="shared" si="188"/>
        <v>#NUM!</v>
      </c>
      <c r="GX201" s="22" t="e">
        <f t="shared" si="189"/>
        <v>#NUM!</v>
      </c>
      <c r="GY201" s="62" t="e">
        <f t="shared" si="201"/>
        <v>#NUM!</v>
      </c>
      <c r="GZ201" s="62">
        <f ca="1">AVERAGE(OFFSET($GY$3,0,0,'Données projet'!$E$18+1,1))-AVERAGE(OFFSET($H$3,0,0,'Données projet'!$E$18+1,1))</f>
        <v>378.51861272969165</v>
      </c>
      <c r="HA201" s="62">
        <f t="shared" si="213"/>
        <v>387.42368617035459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0</v>
      </c>
      <c r="HH201" s="23">
        <f>EXP(-LN(2)/25)*HH200+(1-EXP(-LN(2)/25))/(LN(2)/25)*Calculateur!HC201*Calculateur!HE201*VLOOKUP('Données projet'!$B$18,Paramètres!$A$1:$I$89,3,0)*0.475*44/12</f>
        <v>0</v>
      </c>
      <c r="HI201" s="23">
        <f>EXP(-LN(2)/2)*HI200+(1-EXP(-LN(2)/2))/(LN(2)/2)*HC201*HF201*VLOOKUP('Données projet'!$B$18,Paramètres!$A$1:$I$89,3,0)*0.475*44/12</f>
        <v>0</v>
      </c>
      <c r="HJ201" s="24">
        <f t="shared" si="190"/>
        <v>0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135.66666666666666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289.05155190805959</v>
      </c>
      <c r="S202" s="62">
        <f ca="1">AVERAGE(OFFSET($R$3,0,0,'Données projet'!$E$9+1,1))-AVERAGE(OFFSET($H$3,0,0,'Données projet'!$E$9+1,1))</f>
        <v>437.94016462147999</v>
      </c>
      <c r="T202" s="62">
        <f t="shared" si="204"/>
        <v>281.88254003380348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2.9933884340598795E-25</v>
      </c>
      <c r="AC202" s="24">
        <f t="shared" si="163"/>
        <v>2.9933884340598795E-25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1.0286385077051818E-13</v>
      </c>
      <c r="AK202" s="14">
        <f t="shared" si="164"/>
        <v>1.5402366592183556E-12</v>
      </c>
      <c r="AL202" s="22">
        <f t="shared" si="165"/>
        <v>2.8617333882306215E-12</v>
      </c>
      <c r="AM202" s="62">
        <f t="shared" si="193"/>
        <v>289.05155190806045</v>
      </c>
      <c r="AN202" s="62">
        <f ca="1">AVERAGE(OFFSET($AM$3,0,0,'Données projet'!$E$10+1,1))-AVERAGE(OFFSET($H$3,0,0,'Données projet'!$E$10+1,1))</f>
        <v>434.56763649859136</v>
      </c>
      <c r="AO202" s="62">
        <f t="shared" si="205"/>
        <v>271.90302066766264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6.7984728957526396E-14</v>
      </c>
      <c r="BF202" s="14">
        <f t="shared" si="167"/>
        <v>1.0682447123141398E-12</v>
      </c>
      <c r="BG202" s="22">
        <f t="shared" si="168"/>
        <v>1.978932943548152E-12</v>
      </c>
      <c r="BH202" s="62">
        <f t="shared" si="194"/>
        <v>289.05155190805959</v>
      </c>
      <c r="BI202" s="62">
        <f ca="1">AVERAGE(OFFSET($BH$3,0,0,'Données projet'!$E$11+1,1))-AVERAGE(OFFSET($H$3,0,0,'Données projet'!$E$11+1,1))</f>
        <v>199.65420589615553</v>
      </c>
      <c r="BJ202" s="62">
        <f t="shared" si="206"/>
        <v>477.85821088970999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1.8765003006228818</v>
      </c>
      <c r="BQ202" s="23">
        <f>EXP(-LN(2)/25)*BQ201+(1-EXP(-LN(2)/25))/(LN(2)/25)*Calculateur!BL202*Calculateur!BN202*VLOOKUP('Données projet'!$B$11,Paramètres!$A$1:$I$89,3,0)*0.475*44/12</f>
        <v>0.40549396608955807</v>
      </c>
      <c r="BR202" s="23">
        <f>EXP(-LN(2)/2)*BR201+(1-EXP(-LN(2)/2))/(LN(2)/2)*BL202*BO202*VLOOKUP('Données projet'!$B$11,Paramètres!$A$1:$I$89,3,0)*0.475*44/12</f>
        <v>1.5926738808443884E-24</v>
      </c>
      <c r="BS202" s="24">
        <f t="shared" si="169"/>
        <v>2.2819942667124398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1.1368683772161603E-13</v>
      </c>
      <c r="BZ202" s="14">
        <f>BY202*VLOOKUP('Données projet'!$B$12,Paramètres!$A$1:$I$89,3,0)*VLOOKUP('Données projet'!$B$12,Paramètres!$A$1:$I$89,5,0)</f>
        <v>6.7984728957526396E-14</v>
      </c>
      <c r="CA202" s="14">
        <f t="shared" si="170"/>
        <v>1.0682447123141398E-12</v>
      </c>
      <c r="CB202" s="22">
        <f t="shared" si="171"/>
        <v>1.978932943548152E-12</v>
      </c>
      <c r="CC202" s="62">
        <f t="shared" si="195"/>
        <v>289.05155190805959</v>
      </c>
      <c r="CD202" s="62">
        <f ca="1">AVERAGE(OFFSET($CC$3,0,0,'Données projet'!$E$12+1,1))-AVERAGE(OFFSET($H$3,0,0,'Données projet'!$E$12+1,1))</f>
        <v>437.94016462147999</v>
      </c>
      <c r="CE202" s="62">
        <f t="shared" si="207"/>
        <v>281.88254003380348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2.9933884340598795E-25</v>
      </c>
      <c r="CN202" s="24">
        <f t="shared" si="172"/>
        <v>2.9933884340598795E-25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1.1368683772161603E-13</v>
      </c>
      <c r="CU202" s="18">
        <f>CT202*VLOOKUP('Données projet'!$B$13,Paramètres!$A$1:$I$89,3,0)*VLOOKUP('Données projet'!$B$13,Paramètres!$A$1:$I$89,5,0)</f>
        <v>1.2946657079737634E-13</v>
      </c>
      <c r="CV202" s="14">
        <f t="shared" si="173"/>
        <v>1.8873591890224769E-12</v>
      </c>
      <c r="CW202" s="22">
        <f t="shared" si="174"/>
        <v>3.5126381983529106E-12</v>
      </c>
      <c r="CX202" s="62">
        <f t="shared" si="196"/>
        <v>289.05155190806113</v>
      </c>
      <c r="CY202" s="62">
        <f ca="1">AVERAGE(OFFSET($CX$3,0,0,'Données projet'!$E$13+1,1))-AVERAGE(OFFSET($H$3,0,0,'Données projet'!$E$13+1,1))</f>
        <v>520.23742527061836</v>
      </c>
      <c r="CZ202" s="62">
        <f t="shared" si="208"/>
        <v>321.35925479331274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>
        <f>DO202*VLOOKUP('Données projet'!$B$14,Paramètres!$A$1:$I$89,3,0)*VLOOKUP('Données projet'!$B$14,Paramètres!$A$1:$I$89,5,0)</f>
        <v>0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547.89540791313675</v>
      </c>
      <c r="DU202" s="62">
        <f t="shared" si="209"/>
        <v>345.19555189302378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5.6843418860808015E-14</v>
      </c>
      <c r="EK202" s="18">
        <f>EJ202*VLOOKUP('Données projet'!$B$15,Paramètres!$A$1:$I$89,3,0)*VLOOKUP('Données projet'!$B$15,Paramètres!$A$1:$I$89,5,0)</f>
        <v>5.9412741393316544E-14</v>
      </c>
      <c r="EL202" s="14">
        <f t="shared" si="179"/>
        <v>9.483138037075782E-13</v>
      </c>
      <c r="EM202" s="22">
        <f t="shared" si="180"/>
        <v>1.7551237327173916E-12</v>
      </c>
      <c r="EN202" s="62">
        <f t="shared" si="198"/>
        <v>289.05155190805937</v>
      </c>
      <c r="EO202" s="62">
        <f ca="1">AVERAGE(OFFSET($EN$3,0,0,'Données projet'!$E$15+1,1))-AVERAGE(OFFSET($H$3,0,0,'Données projet'!$E$15+1,1))</f>
        <v>418.23737352070503</v>
      </c>
      <c r="EP202" s="62">
        <f t="shared" si="210"/>
        <v>496.10742685332968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1.1368683772161603E-13</v>
      </c>
      <c r="FF202" s="18">
        <f>FE202*VLOOKUP('Données projet'!$B$16,Paramètres!$A$1:$I$89,3,0)*VLOOKUP('Données projet'!$B$16,Paramètres!$A$1:$I$89,5,0)</f>
        <v>6.7984728957526396E-14</v>
      </c>
      <c r="FG202" s="14">
        <f t="shared" si="182"/>
        <v>1.0682447123141398E-12</v>
      </c>
      <c r="FH202" s="22">
        <f t="shared" si="183"/>
        <v>1.978932943548152E-12</v>
      </c>
      <c r="FI202" s="62">
        <f t="shared" si="199"/>
        <v>289.05155190805959</v>
      </c>
      <c r="FJ202" s="62">
        <f ca="1">AVERAGE(OFFSET($FI$3,0,0,'Données projet'!$E$16+1,1))-AVERAGE(OFFSET($H$3,0,0,'Données projet'!$E$16+1,1))</f>
        <v>341.70983624543067</v>
      </c>
      <c r="FK202" s="62">
        <f t="shared" si="211"/>
        <v>250.82562837973805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4.5303474188028406E-25</v>
      </c>
      <c r="FT202" s="24">
        <f t="shared" si="184"/>
        <v>4.5303474188028406E-25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-2.2737367544323206E-13</v>
      </c>
      <c r="GA202" s="18">
        <f>FZ202*VLOOKUP('Données projet'!$B$17,Paramètres!$A$1:$I$89,3,0)*VLOOKUP('Données projet'!$B$17,Paramètres!$A$1:$I$89,5,0)</f>
        <v>-1.064108801074326E-13</v>
      </c>
      <c r="GB202" s="14" t="e">
        <f t="shared" si="185"/>
        <v>#NUM!</v>
      </c>
      <c r="GC202" s="22" t="e">
        <f t="shared" si="186"/>
        <v>#NUM!</v>
      </c>
      <c r="GD202" s="62" t="e">
        <f t="shared" si="200"/>
        <v>#NUM!</v>
      </c>
      <c r="GE202" s="62">
        <f ca="1">AVERAGE(OFFSET($GD$3,0,0,'Données projet'!$E$17+1,1))-AVERAGE(OFFSET($H$3,0,0,'Données projet'!$E$17+1,1))</f>
        <v>368.69628434154333</v>
      </c>
      <c r="GF202" s="62">
        <f t="shared" si="212"/>
        <v>202.28197295839524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-1.1368683772161603E-13</v>
      </c>
      <c r="GV202" s="18">
        <f>GU202*VLOOKUP('Données projet'!$B$18,Paramètres!$A$1:$I$89,3,0)*VLOOKUP('Données projet'!$B$18,Paramètres!$A$1:$I$89,5,0)</f>
        <v>-9.9316821433603781E-14</v>
      </c>
      <c r="GW202" s="14" t="e">
        <f t="shared" si="188"/>
        <v>#NUM!</v>
      </c>
      <c r="GX202" s="22" t="e">
        <f t="shared" si="189"/>
        <v>#NUM!</v>
      </c>
      <c r="GY202" s="62" t="e">
        <f t="shared" si="201"/>
        <v>#NUM!</v>
      </c>
      <c r="GZ202" s="62">
        <f ca="1">AVERAGE(OFFSET($GY$3,0,0,'Données projet'!$E$18+1,1))-AVERAGE(OFFSET($H$3,0,0,'Données projet'!$E$18+1,1))</f>
        <v>378.51861272969165</v>
      </c>
      <c r="HA202" s="62">
        <f t="shared" si="213"/>
        <v>387.42368617035459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0</v>
      </c>
      <c r="HH202" s="23">
        <f>EXP(-LN(2)/25)*HH201+(1-EXP(-LN(2)/25))/(LN(2)/25)*Calculateur!HC202*Calculateur!HE202*VLOOKUP('Données projet'!$B$18,Paramètres!$A$1:$I$89,3,0)*0.475*44/12</f>
        <v>0</v>
      </c>
      <c r="HI202" s="23">
        <f>EXP(-LN(2)/2)*HI201+(1-EXP(-LN(2)/2))/(LN(2)/2)*HC202*HF202*VLOOKUP('Données projet'!$B$18,Paramètres!$A$1:$I$89,3,0)*0.475*44/12</f>
        <v>0</v>
      </c>
      <c r="HJ202" s="24">
        <f t="shared" si="190"/>
        <v>0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135.66666666666666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289.12583124315898</v>
      </c>
      <c r="S203" s="62">
        <f ca="1">AVERAGE(OFFSET($R$3,0,0,'Données projet'!$E$9+1,1))-AVERAGE(OFFSET($H$3,0,0,'Données projet'!$E$9+1,1))</f>
        <v>437.94016462147999</v>
      </c>
      <c r="T203" s="62">
        <f t="shared" si="204"/>
        <v>281.88254003380348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2.1166452604491214E-25</v>
      </c>
      <c r="AC203" s="24">
        <f t="shared" si="163"/>
        <v>2.1166452604491214E-25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1.0286385077051818E-13</v>
      </c>
      <c r="AK203" s="14">
        <f t="shared" si="164"/>
        <v>1.5402366592183556E-12</v>
      </c>
      <c r="AL203" s="22">
        <f t="shared" si="165"/>
        <v>2.8617333882306215E-12</v>
      </c>
      <c r="AM203" s="62">
        <f t="shared" si="193"/>
        <v>289.12583124315984</v>
      </c>
      <c r="AN203" s="62">
        <f ca="1">AVERAGE(OFFSET($AM$3,0,0,'Données projet'!$E$10+1,1))-AVERAGE(OFFSET($H$3,0,0,'Données projet'!$E$10+1,1))</f>
        <v>434.56763649859136</v>
      </c>
      <c r="AO203" s="62">
        <f t="shared" si="205"/>
        <v>271.90302066766264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6.7984728957526396E-14</v>
      </c>
      <c r="BF203" s="14">
        <f t="shared" si="167"/>
        <v>1.0682447123141398E-12</v>
      </c>
      <c r="BG203" s="22">
        <f t="shared" si="168"/>
        <v>1.978932943548152E-12</v>
      </c>
      <c r="BH203" s="62">
        <f t="shared" si="194"/>
        <v>289.12583124315898</v>
      </c>
      <c r="BI203" s="62">
        <f ca="1">AVERAGE(OFFSET($BH$3,0,0,'Données projet'!$E$11+1,1))-AVERAGE(OFFSET($H$3,0,0,'Données projet'!$E$11+1,1))</f>
        <v>199.65420589615553</v>
      </c>
      <c r="BJ203" s="62">
        <f t="shared" si="206"/>
        <v>477.85821088970999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1.8397032742798354</v>
      </c>
      <c r="BQ203" s="23">
        <f>EXP(-LN(2)/25)*BQ202+(1-EXP(-LN(2)/25))/(LN(2)/25)*Calculateur!BL203*Calculateur!BN203*VLOOKUP('Données projet'!$B$11,Paramètres!$A$1:$I$89,3,0)*0.475*44/12</f>
        <v>0.39440571226283822</v>
      </c>
      <c r="BR203" s="23">
        <f>EXP(-LN(2)/2)*BR202+(1-EXP(-LN(2)/2))/(LN(2)/2)*BL203*BO203*VLOOKUP('Données projet'!$B$11,Paramètres!$A$1:$I$89,3,0)*0.475*44/12</f>
        <v>1.1261905013637624E-24</v>
      </c>
      <c r="BS203" s="24">
        <f t="shared" si="169"/>
        <v>2.2341089865426738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1.1368683772161603E-13</v>
      </c>
      <c r="BZ203" s="14">
        <f>BY203*VLOOKUP('Données projet'!$B$12,Paramètres!$A$1:$I$89,3,0)*VLOOKUP('Données projet'!$B$12,Paramètres!$A$1:$I$89,5,0)</f>
        <v>6.7984728957526396E-14</v>
      </c>
      <c r="CA203" s="14">
        <f t="shared" si="170"/>
        <v>1.0682447123141398E-12</v>
      </c>
      <c r="CB203" s="22">
        <f t="shared" si="171"/>
        <v>1.978932943548152E-12</v>
      </c>
      <c r="CC203" s="62">
        <f t="shared" si="195"/>
        <v>289.12583124315898</v>
      </c>
      <c r="CD203" s="62">
        <f ca="1">AVERAGE(OFFSET($CC$3,0,0,'Données projet'!$E$12+1,1))-AVERAGE(OFFSET($H$3,0,0,'Données projet'!$E$12+1,1))</f>
        <v>437.94016462147999</v>
      </c>
      <c r="CE203" s="62">
        <f t="shared" si="207"/>
        <v>281.88254003380348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2.1166452604491214E-25</v>
      </c>
      <c r="CN203" s="24">
        <f t="shared" si="172"/>
        <v>2.1166452604491214E-25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1.1368683772161603E-13</v>
      </c>
      <c r="CU203" s="18">
        <f>CT203*VLOOKUP('Données projet'!$B$13,Paramètres!$A$1:$I$89,3,0)*VLOOKUP('Données projet'!$B$13,Paramètres!$A$1:$I$89,5,0)</f>
        <v>1.2946657079737634E-13</v>
      </c>
      <c r="CV203" s="14">
        <f t="shared" si="173"/>
        <v>1.8873591890224769E-12</v>
      </c>
      <c r="CW203" s="22">
        <f t="shared" si="174"/>
        <v>3.5126381983529106E-12</v>
      </c>
      <c r="CX203" s="62">
        <f t="shared" si="196"/>
        <v>289.12583124316052</v>
      </c>
      <c r="CY203" s="62">
        <f ca="1">AVERAGE(OFFSET($CX$3,0,0,'Données projet'!$E$13+1,1))-AVERAGE(OFFSET($H$3,0,0,'Données projet'!$E$13+1,1))</f>
        <v>520.23742527061836</v>
      </c>
      <c r="CZ203" s="62">
        <f t="shared" si="208"/>
        <v>321.35925479331274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>
        <f>DO203*VLOOKUP('Données projet'!$B$14,Paramètres!$A$1:$I$89,3,0)*VLOOKUP('Données projet'!$B$14,Paramètres!$A$1:$I$89,5,0)</f>
        <v>0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547.89540791313675</v>
      </c>
      <c r="DU203" s="62">
        <f t="shared" si="209"/>
        <v>345.19555189302378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5.6843418860808015E-14</v>
      </c>
      <c r="EK203" s="18">
        <f>EJ203*VLOOKUP('Données projet'!$B$15,Paramètres!$A$1:$I$89,3,0)*VLOOKUP('Données projet'!$B$15,Paramètres!$A$1:$I$89,5,0)</f>
        <v>5.9412741393316544E-14</v>
      </c>
      <c r="EL203" s="14">
        <f t="shared" si="179"/>
        <v>9.483138037075782E-13</v>
      </c>
      <c r="EM203" s="22">
        <f t="shared" si="180"/>
        <v>1.7551237327173916E-12</v>
      </c>
      <c r="EN203" s="62">
        <f t="shared" si="198"/>
        <v>289.12583124315876</v>
      </c>
      <c r="EO203" s="62">
        <f ca="1">AVERAGE(OFFSET($EN$3,0,0,'Données projet'!$E$15+1,1))-AVERAGE(OFFSET($H$3,0,0,'Données projet'!$E$15+1,1))</f>
        <v>418.23737352070503</v>
      </c>
      <c r="EP203" s="62">
        <f t="shared" si="210"/>
        <v>496.10742685332968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1.1368683772161603E-13</v>
      </c>
      <c r="FF203" s="18">
        <f>FE203*VLOOKUP('Données projet'!$B$16,Paramètres!$A$1:$I$89,3,0)*VLOOKUP('Données projet'!$B$16,Paramètres!$A$1:$I$89,5,0)</f>
        <v>6.7984728957526396E-14</v>
      </c>
      <c r="FG203" s="14">
        <f t="shared" si="182"/>
        <v>1.0682447123141398E-12</v>
      </c>
      <c r="FH203" s="22">
        <f t="shared" si="183"/>
        <v>1.978932943548152E-12</v>
      </c>
      <c r="FI203" s="62">
        <f t="shared" si="199"/>
        <v>289.12583124315898</v>
      </c>
      <c r="FJ203" s="62">
        <f ca="1">AVERAGE(OFFSET($FI$3,0,0,'Données projet'!$E$16+1,1))-AVERAGE(OFFSET($H$3,0,0,'Données projet'!$E$16+1,1))</f>
        <v>341.70983624543067</v>
      </c>
      <c r="FK203" s="62">
        <f t="shared" si="211"/>
        <v>250.82562837973805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3.2034393809664606E-25</v>
      </c>
      <c r="FT203" s="24">
        <f t="shared" si="184"/>
        <v>3.2034393809664606E-25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-2.2737367544323206E-13</v>
      </c>
      <c r="GA203" s="18">
        <f>FZ203*VLOOKUP('Données projet'!$B$17,Paramètres!$A$1:$I$89,3,0)*VLOOKUP('Données projet'!$B$17,Paramètres!$A$1:$I$89,5,0)</f>
        <v>-1.064108801074326E-13</v>
      </c>
      <c r="GB203" s="14" t="e">
        <f t="shared" si="185"/>
        <v>#NUM!</v>
      </c>
      <c r="GC203" s="22" t="e">
        <f t="shared" si="186"/>
        <v>#NUM!</v>
      </c>
      <c r="GD203" s="62" t="e">
        <f t="shared" si="200"/>
        <v>#NUM!</v>
      </c>
      <c r="GE203" s="62">
        <f ca="1">AVERAGE(OFFSET($GD$3,0,0,'Données projet'!$E$17+1,1))-AVERAGE(OFFSET($H$3,0,0,'Données projet'!$E$17+1,1))</f>
        <v>368.69628434154333</v>
      </c>
      <c r="GF203" s="62">
        <f t="shared" si="212"/>
        <v>202.28197295839524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-1.1368683772161603E-13</v>
      </c>
      <c r="GV203" s="18">
        <f>GU203*VLOOKUP('Données projet'!$B$18,Paramètres!$A$1:$I$89,3,0)*VLOOKUP('Données projet'!$B$18,Paramètres!$A$1:$I$89,5,0)</f>
        <v>-9.9316821433603781E-14</v>
      </c>
      <c r="GW203" s="14" t="e">
        <f t="shared" si="188"/>
        <v>#NUM!</v>
      </c>
      <c r="GX203" s="22" t="e">
        <f t="shared" si="189"/>
        <v>#NUM!</v>
      </c>
      <c r="GY203" s="62" t="e">
        <f t="shared" si="201"/>
        <v>#NUM!</v>
      </c>
      <c r="GZ203" s="62">
        <f ca="1">AVERAGE(OFFSET($GY$3,0,0,'Données projet'!$E$18+1,1))-AVERAGE(OFFSET($H$3,0,0,'Données projet'!$E$18+1,1))</f>
        <v>378.51861272969165</v>
      </c>
      <c r="HA203" s="62">
        <f t="shared" si="213"/>
        <v>387.42368617035459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0</v>
      </c>
      <c r="HH203" s="23">
        <f>EXP(-LN(2)/25)*HH202+(1-EXP(-LN(2)/25))/(LN(2)/25)*Calculateur!HC203*Calculateur!HE203*VLOOKUP('Données projet'!$B$18,Paramètres!$A$1:$I$89,3,0)*0.475*44/12</f>
        <v>0</v>
      </c>
      <c r="HI203" s="23">
        <f>EXP(-LN(2)/2)*HI202+(1-EXP(-LN(2)/2))/(LN(2)/2)*HC203*HF203*VLOOKUP('Données projet'!$B$18,Paramètres!$A$1:$I$89,3,0)*0.475*44/12</f>
        <v>0</v>
      </c>
      <c r="HJ203" s="24">
        <f t="shared" si="190"/>
        <v>0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1.226147171351889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1.185906184594963</v>
      </c>
      <c r="BA205" s="88">
        <f>EXP(LN('Données projet'!B88)/'Données projet'!A88)</f>
        <v>1.4749438547769935</v>
      </c>
      <c r="BV205" s="88">
        <f>EXP(LN('Données projet'!B114)/'Données projet'!A114)</f>
        <v>1.226147171351889</v>
      </c>
      <c r="CQ205" s="88">
        <f>EXP(LN('Données projet'!B140)/'Données projet'!A140)</f>
        <v>1.185906184594963</v>
      </c>
      <c r="DL205" s="88">
        <f>EXP(LN('Données projet'!B166)/'Données projet'!A166)</f>
        <v>1.2392705892426346</v>
      </c>
      <c r="EG205" s="88">
        <f>EXP(LN('Données projet'!B192)/'Données projet'!A192)</f>
        <v>1.3467943429205997</v>
      </c>
      <c r="FB205" s="88">
        <f>EXP(LN('Données projet'!B218)/'Données projet'!A218)</f>
        <v>1.1932635389591795</v>
      </c>
      <c r="FW205" s="88">
        <f>EXP(LN('Données projet'!B244)/'Données projet'!A244)</f>
        <v>1.1733462211934051</v>
      </c>
      <c r="GR205" s="88">
        <f>EXP(LN('Données projet'!B270)/'Données projet'!A270)</f>
        <v>1.2765231539157764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L10" sqref="L10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de Salzmann</v>
      </c>
      <c r="B6" s="155">
        <f>'Données projet'!D9</f>
        <v>2.2792000000000003</v>
      </c>
      <c r="C6" s="156">
        <f ca="1">IF(OR('Données projet'!B9="",'Données projet'!C9="",'Données projet'!C9=0%),0,Calculateur!S3)</f>
        <v>437.94016462147999</v>
      </c>
      <c r="D6" s="156">
        <f>IF(OR('Données projet'!B9="",'Données projet'!C9="",'Données projet'!C9=0%),0,Calculateur!T3)</f>
        <v>281.88254003380348</v>
      </c>
      <c r="E6" s="156">
        <f ca="1">MIN(C6,D6)</f>
        <v>281.88254003380348</v>
      </c>
      <c r="F6" s="156">
        <f ca="1">E6*B6</f>
        <v>642.46668524504503</v>
      </c>
      <c r="G6" s="156">
        <f ca="1">F6*(100%-'Données projet'!$C$24)*(100%-'Données projet'!$C$25)*(100%-'Données projet'!$C$26)*(100%-'Données projet'!$C$27)</f>
        <v>549.30901588451354</v>
      </c>
      <c r="H6" s="157">
        <f>IF(OR('Données projet'!B9="",'Données projet'!C9="",'Données projet'!C9=0%),0,AVERAGE(Calculateur!$AC$3:$AC$33)*B6)</f>
        <v>1.0959783144504918</v>
      </c>
      <c r="I6" s="158">
        <f>H6*(100%-'Données projet'!$C$24)*(100%-'Données projet'!$C$25)*(100%-'Données projet'!$C$26)*(100%-'Données projet'!$C$27)</f>
        <v>0.93706145885517045</v>
      </c>
      <c r="J6" s="159">
        <f>IF(OR('Données projet'!B9="",'Données projet'!C9="",'Données projet'!C9=0%),0,SUM(Calculateur!$V$3:$V$33)*VLOOKUP('Données projet'!$B$9,Paramètres!$A$1:$I$89,9,0)*B6)</f>
        <v>14.700840000000003</v>
      </c>
      <c r="K6" s="160">
        <f>J6*(100%-'Données projet'!$C$24)*(100%-'Données projet'!$C$25)*(100%-'Données projet'!$C$26)*(100%-'Données projet'!$C$27)</f>
        <v>12.569218200000002</v>
      </c>
      <c r="L6" s="161">
        <f ca="1">G6+I6+K6</f>
        <v>562.81529554336873</v>
      </c>
      <c r="M6" s="25">
        <f ca="1">L6/B6</f>
        <v>246.93545785511085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sessile</v>
      </c>
      <c r="B7" s="163">
        <f>'Données projet'!D10</f>
        <v>2.4420000000000002</v>
      </c>
      <c r="C7" s="156">
        <f ca="1">IF(OR('Données projet'!B10="",'Données projet'!C10="",'Données projet'!C10=0%),0,Calculateur!AN3)</f>
        <v>434.56763649859136</v>
      </c>
      <c r="D7" s="156">
        <f>IF(OR('Données projet'!B10="",'Données projet'!C10="",'Données projet'!C10=0%),0,Calculateur!AO3)</f>
        <v>271.90302066766264</v>
      </c>
      <c r="E7" s="156">
        <f t="shared" ref="E7:E15" ca="1" si="0">MIN(C7,D7)</f>
        <v>271.90302066766264</v>
      </c>
      <c r="F7" s="156">
        <f t="shared" ref="F7:F15" ca="1" si="1">E7*B7</f>
        <v>663.98717647043225</v>
      </c>
      <c r="G7" s="156">
        <f ca="1">F7*(100%-'Données projet'!$C$24)*(100%-'Données projet'!$C$25)*(100%-'Données projet'!$C$26)*(100%-'Données projet'!$C$27)</f>
        <v>567.70903588221961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17.704500000000003</v>
      </c>
      <c r="K7" s="160">
        <f>J7*(100%-'Données projet'!$C$24)*(100%-'Données projet'!$C$25)*(100%-'Données projet'!$C$26)*(100%-'Données projet'!$C$27)</f>
        <v>15.137347500000002</v>
      </c>
      <c r="L7" s="161">
        <f t="shared" ref="L7:L15" ca="1" si="2">G7+I7+K7</f>
        <v>582.84638338221964</v>
      </c>
      <c r="M7" s="25">
        <f ca="1">L7/B7</f>
        <v>238.67583267085161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Pin maritime</v>
      </c>
      <c r="B8" s="163">
        <f>'Données projet'!D11</f>
        <v>3.0932000000000004</v>
      </c>
      <c r="C8" s="156">
        <f ca="1">IF(OR('Données projet'!B11="",'Données projet'!C11="",'Données projet'!C11=0%),0,Calculateur!BI3)</f>
        <v>199.65420589615553</v>
      </c>
      <c r="D8" s="156">
        <f>IF(OR('Données projet'!B11="",'Données projet'!C11="",'Données projet'!C11=0%),0,Calculateur!BJ3)</f>
        <v>477.85821088970999</v>
      </c>
      <c r="E8" s="156">
        <f t="shared" ca="1" si="0"/>
        <v>199.65420589615553</v>
      </c>
      <c r="F8" s="156">
        <f t="shared" ca="1" si="1"/>
        <v>617.57038967798837</v>
      </c>
      <c r="G8" s="156">
        <f ca="1">F8*(100%-'Données projet'!$C$24)*(100%-'Données projet'!$C$25)*(100%-'Données projet'!$C$26)*(100%-'Données projet'!$C$27)</f>
        <v>528.02268317467997</v>
      </c>
      <c r="H8" s="164">
        <f>IF(OR('Données projet'!B11="",'Données projet'!C11="",'Données projet'!C11=0%),0,AVERAGE(Calculateur!$BS$3:$BS$33)*B8)</f>
        <v>46.500316742530792</v>
      </c>
      <c r="I8" s="158">
        <f>H8*(100%-'Données projet'!$C$24)*(100%-'Données projet'!$C$25)*(100%-'Données projet'!$C$26)*(100%-'Données projet'!$C$27)</f>
        <v>39.757770814863825</v>
      </c>
      <c r="J8" s="159">
        <f>IF(OR('Données projet'!B11="",'Données projet'!C11="",'Données projet'!C11=0%),0,SUM(Calculateur!$BL$3:$BL$33)*VLOOKUP('Données projet'!$B$11,Paramètres!$A$1:$I$89,9,0)*B8)</f>
        <v>806.64469600000007</v>
      </c>
      <c r="K8" s="160">
        <f>J8*(100%-'Données projet'!$C$24)*(100%-'Données projet'!$C$25)*(100%-'Données projet'!$C$26)*(100%-'Données projet'!$C$27)</f>
        <v>689.68121508000002</v>
      </c>
      <c r="L8" s="161">
        <f t="shared" ca="1" si="2"/>
        <v>1257.4616690695439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Pin noir d'Autriche</v>
      </c>
      <c r="B9" s="163">
        <f>'Données projet'!D12</f>
        <v>1.20472</v>
      </c>
      <c r="C9" s="156">
        <f ca="1">IF(OR('Données projet'!B12="",'Données projet'!C12="",'Données projet'!C12=0%),0,Calculateur!CD3)</f>
        <v>437.94016462147999</v>
      </c>
      <c r="D9" s="156">
        <f>IF(OR('Données projet'!B12="",'Données projet'!C12="",'Données projet'!C12=0%),0,Calculateur!CE3)</f>
        <v>281.88254003380348</v>
      </c>
      <c r="E9" s="156">
        <f t="shared" ca="1" si="0"/>
        <v>281.88254003380348</v>
      </c>
      <c r="F9" s="156">
        <f t="shared" ca="1" si="1"/>
        <v>339.58953362952371</v>
      </c>
      <c r="G9" s="156">
        <f ca="1">F9*(100%-'Données projet'!$C$24)*(100%-'Données projet'!$C$25)*(100%-'Données projet'!$C$26)*(100%-'Données projet'!$C$27)</f>
        <v>290.34905125324281</v>
      </c>
      <c r="H9" s="164">
        <f>IF(OR('Données projet'!B12="",'Données projet'!C12="",'Données projet'!C12=0%),0,AVERAGE(Calculateur!$CN$3:$CN$33)*B9)</f>
        <v>0.57930282335240268</v>
      </c>
      <c r="I9" s="158">
        <f>H9*(100%-'Données projet'!$C$24)*(100%-'Données projet'!$C$25)*(100%-'Données projet'!$C$26)*(100%-'Données projet'!$C$27)</f>
        <v>0.4953039139663043</v>
      </c>
      <c r="J9" s="159">
        <f>IF(OR('Données projet'!B12="",'Données projet'!C12="",'Données projet'!C12=0%),0,SUM(Calculateur!$CG$3:$CG$33)*VLOOKUP('Données projet'!$B$12,Paramètres!$A$1:$I$89,9,0)*B9)</f>
        <v>7.7704440000000004</v>
      </c>
      <c r="K9" s="160">
        <f>J9*(100%-'Données projet'!$C$24)*(100%-'Données projet'!$C$25)*(100%-'Données projet'!$C$26)*(100%-'Données projet'!$C$27)</f>
        <v>6.6437296199999993</v>
      </c>
      <c r="L9" s="161">
        <f t="shared" ca="1" si="2"/>
        <v>297.48808478720912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Chêne vert</v>
      </c>
      <c r="B10" s="163">
        <f>'Données projet'!D13</f>
        <v>0.87912000000000001</v>
      </c>
      <c r="C10" s="156">
        <f ca="1">IF(OR('Données projet'!B13="",'Données projet'!C13="",'Données projet'!C13=0%),0,Calculateur!CY3)</f>
        <v>520.23742527061836</v>
      </c>
      <c r="D10" s="156">
        <f>IF(OR('Données projet'!B13="",'Données projet'!C13="",'Données projet'!C13=0%),0,Calculateur!CZ3)</f>
        <v>321.35925479331274</v>
      </c>
      <c r="E10" s="156">
        <f t="shared" ca="1" si="0"/>
        <v>321.35925479331274</v>
      </c>
      <c r="F10" s="156">
        <f t="shared" ca="1" si="1"/>
        <v>282.51334807389708</v>
      </c>
      <c r="G10" s="156">
        <f ca="1">F10*(100%-'Données projet'!$C$24)*(100%-'Données projet'!$C$25)*(100%-'Données projet'!$C$26)*(100%-'Données projet'!$C$27)</f>
        <v>241.548912603182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6.3736199999999998</v>
      </c>
      <c r="K10" s="160">
        <f>J10*(100%-'Données projet'!$C$24)*(100%-'Données projet'!$C$25)*(100%-'Données projet'!$C$26)*(100%-'Données projet'!$C$27)</f>
        <v>5.4494451000000002</v>
      </c>
      <c r="L10" s="161">
        <f t="shared" ca="1" si="2"/>
        <v>246.99835770318199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>Chêne pubescent</v>
      </c>
      <c r="B11" s="163">
        <f>'Données projet'!D14</f>
        <v>0.84655999999999998</v>
      </c>
      <c r="C11" s="156">
        <f ca="1">IF(OR('Données projet'!B14="",'Données projet'!C14="",'Données projet'!C14=0%),0,Calculateur!DT3)</f>
        <v>547.89540791313675</v>
      </c>
      <c r="D11" s="156">
        <f>IF(OR('Données projet'!B14="",'Données projet'!C14="",'Données projet'!C14=0%),0,Calculateur!DU3)</f>
        <v>345.19555189302378</v>
      </c>
      <c r="E11" s="156">
        <f t="shared" ca="1" si="0"/>
        <v>345.19555189302378</v>
      </c>
      <c r="F11" s="156">
        <f t="shared" ca="1" si="1"/>
        <v>292.22874641055819</v>
      </c>
      <c r="G11" s="156">
        <f ca="1">F11*(100%-'Données projet'!$C$24)*(100%-'Données projet'!$C$25)*(100%-'Données projet'!$C$26)*(100%-'Données projet'!$C$27)</f>
        <v>249.85557818102725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13.12168</v>
      </c>
      <c r="K11" s="160">
        <f>J11*(100%-'Données projet'!$C$24)*(100%-'Données projet'!$C$25)*(100%-'Données projet'!$C$26)*(100%-'Données projet'!$C$27)</f>
        <v>11.219036399999998</v>
      </c>
      <c r="L11" s="161">
        <f t="shared" ca="1" si="2"/>
        <v>261.07461458102728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>Chêne chevelu</v>
      </c>
      <c r="B12" s="163">
        <f>'Données projet'!D15</f>
        <v>0.81400000000000006</v>
      </c>
      <c r="C12" s="156">
        <f ca="1">IF(OR('Données projet'!B15="",'Données projet'!C15="",'Données projet'!C15=0%),0,Calculateur!EO3)</f>
        <v>418.23737352070503</v>
      </c>
      <c r="D12" s="156">
        <f>IF(OR('Données projet'!B15="",'Données projet'!C15="",'Données projet'!C15=0%),0,Calculateur!EP3)</f>
        <v>496.10742685332968</v>
      </c>
      <c r="E12" s="156">
        <f t="shared" ca="1" si="0"/>
        <v>418.23737352070503</v>
      </c>
      <c r="F12" s="156">
        <f t="shared" ca="1" si="1"/>
        <v>340.44522204585394</v>
      </c>
      <c r="G12" s="156">
        <f ca="1">F12*(100%-'Données projet'!$C$24)*(100%-'Données projet'!$C$25)*(100%-'Données projet'!$C$26)*(100%-'Données projet'!$C$27)</f>
        <v>291.08066484920511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30.932000000000002</v>
      </c>
      <c r="K12" s="160">
        <f>J12*(100%-'Données projet'!$C$24)*(100%-'Données projet'!$C$25)*(100%-'Données projet'!$C$26)*(100%-'Données projet'!$C$27)</f>
        <v>26.446860000000001</v>
      </c>
      <c r="L12" s="161">
        <f t="shared" ca="1" si="2"/>
        <v>317.52752484920512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>Pin laricio</v>
      </c>
      <c r="B13" s="163">
        <f>'Données projet'!D16</f>
        <v>0.81400000000000006</v>
      </c>
      <c r="C13" s="156">
        <f ca="1">IF(OR('Données projet'!B16="",'Données projet'!C16="",'Données projet'!C16=0%),0,Calculateur!FJ3)</f>
        <v>341.70983624543067</v>
      </c>
      <c r="D13" s="156">
        <f>IF(OR('Données projet'!B16="",'Données projet'!C16="",'Données projet'!C16=0%),0,Calculateur!FK3)</f>
        <v>250.82562837973805</v>
      </c>
      <c r="E13" s="156">
        <f t="shared" ca="1" si="0"/>
        <v>250.82562837973805</v>
      </c>
      <c r="F13" s="156">
        <f t="shared" ca="1" si="1"/>
        <v>204.17206150110678</v>
      </c>
      <c r="G13" s="156">
        <f ca="1">F13*(100%-'Données projet'!$C$24)*(100%-'Données projet'!$C$25)*(100%-'Données projet'!$C$26)*(100%-'Données projet'!$C$27)</f>
        <v>174.56711258344629</v>
      </c>
      <c r="H13" s="164">
        <f>IF(OR('Données projet'!B16="",'Données projet'!C16="",'Données projet'!C16=0%),0,AVERAGE(Calculateur!$FT$3:$FT$33)*B13)</f>
        <v>0.91400004079037034</v>
      </c>
      <c r="I13" s="158">
        <f>H13*(100%-'Données projet'!$C$24)*(100%-'Données projet'!$C$25)*(100%-'Données projet'!$C$26)*(100%-'Données projet'!$C$27)</f>
        <v>0.78147003487576661</v>
      </c>
      <c r="J13" s="159">
        <f>IF(OR('Données projet'!C16="",'Données projet'!C16=0%),0,SUM(Calculateur!$FM$3:$FM$33)*VLOOKUP('Données projet'!$B$16,Paramètres!$A$1:$I$89,9,0)*B13)</f>
        <v>9.8005600000000008</v>
      </c>
      <c r="K13" s="160">
        <f>J13*(100%-'Données projet'!$C$24)*(100%-'Données projet'!$C$25)*(100%-'Données projet'!$C$26)*(100%-'Données projet'!$C$27)</f>
        <v>8.3794788000000011</v>
      </c>
      <c r="L13" s="161">
        <f t="shared" ca="1" si="2"/>
        <v>183.72806141832206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>Cèdre de l'Atlas</v>
      </c>
      <c r="B14" s="163">
        <f>'Données projet'!D17</f>
        <v>1.6280000000000001</v>
      </c>
      <c r="C14" s="156">
        <f ca="1">IF(OR('Données projet'!B17="",'Données projet'!C17="",'Données projet'!C17=0%),0,Calculateur!GE3)</f>
        <v>368.69628434154333</v>
      </c>
      <c r="D14" s="156">
        <f>IF(OR('Données projet'!B17="",'Données projet'!C17="",'Données projet'!C17=0%),0,Calculateur!GF3)</f>
        <v>202.28197295839524</v>
      </c>
      <c r="E14" s="156">
        <f t="shared" ca="1" si="0"/>
        <v>202.28197295839524</v>
      </c>
      <c r="F14" s="156">
        <f t="shared" ca="1" si="1"/>
        <v>329.31505197626745</v>
      </c>
      <c r="G14" s="156">
        <f ca="1">F14*(100%-'Données projet'!$C$24)*(100%-'Données projet'!$C$25)*(100%-'Données projet'!$C$26)*(100%-'Données projet'!$C$27)</f>
        <v>281.56436943970868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ca="1" si="2"/>
        <v>281.56436943970868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>Chêne rouge d'Amérique</v>
      </c>
      <c r="B15" s="166">
        <f>'Données projet'!D18</f>
        <v>2.2792000000000003</v>
      </c>
      <c r="C15" s="167">
        <f ca="1">IF(OR('Données projet'!B18="",'Données projet'!C18="",'Données projet'!C18=0%),0,Calculateur!GZ3)</f>
        <v>378.51861272969165</v>
      </c>
      <c r="D15" s="167">
        <f>IF(OR('Données projet'!B18="",'Données projet'!C18="",'Données projet'!C18=0%),0,Calculateur!HA3)</f>
        <v>387.42368617035459</v>
      </c>
      <c r="E15" s="167">
        <f t="shared" ca="1" si="0"/>
        <v>378.51861272969165</v>
      </c>
      <c r="F15" s="168">
        <f t="shared" ca="1" si="1"/>
        <v>862.71962213351333</v>
      </c>
      <c r="G15" s="168">
        <f ca="1">F15*(100%-'Données projet'!$C$24)*(100%-'Données projet'!$C$25)*(100%-'Données projet'!$C$26)*(100%-'Données projet'!$C$27)</f>
        <v>737.62527692415381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70.655200000000008</v>
      </c>
      <c r="K15" s="172">
        <f>J15*(100%-'Données projet'!$C$24)*(100%-'Données projet'!$C$25)*(100%-'Données projet'!$C$26)*(100%-'Données projet'!$C$27)</f>
        <v>60.410196000000006</v>
      </c>
      <c r="L15" s="173">
        <f t="shared" ca="1" si="2"/>
        <v>798.03547292415385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4575.0078371641866</v>
      </c>
      <c r="G16" s="175">
        <f t="shared" ca="1" si="3"/>
        <v>3911.6317007753792</v>
      </c>
      <c r="H16" s="176">
        <f t="shared" si="3"/>
        <v>49.089597921124053</v>
      </c>
      <c r="I16" s="176">
        <f t="shared" si="3"/>
        <v>41.971606222561064</v>
      </c>
      <c r="J16" s="177">
        <f t="shared" si="3"/>
        <v>977.70354000000009</v>
      </c>
      <c r="K16" s="177">
        <f t="shared" si="3"/>
        <v>835.93652670000029</v>
      </c>
      <c r="L16" s="178">
        <f t="shared" ca="1" si="3"/>
        <v>4789.5398336979406</v>
      </c>
      <c r="M16" s="25">
        <f ca="1">L16/6.42</f>
        <v>746.03424200902498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de Salzmann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Pin maritime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Pin noir d'Autriche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>Chêne vert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>Chêne pubescent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>Chêne chevelu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>Pin laricio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>Cèdre de l'Atlas</v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>Chêne rouge d'Amérique</v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N4" zoomScale="90" zoomScaleNormal="90" workbookViewId="0">
      <selection activeCell="P44" sqref="P44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de Salzmann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648.05626522252692</v>
      </c>
      <c r="U10" s="190">
        <f>'Données projet'!D9</f>
        <v>2.2792000000000003</v>
      </c>
      <c r="V10" s="189">
        <f>U10*T10</f>
        <v>1477.0498396951837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529.91937791487828</v>
      </c>
      <c r="U11" s="190">
        <f>'Données projet'!D10</f>
        <v>2.4420000000000002</v>
      </c>
      <c r="V11" s="189">
        <f t="shared" ref="V11" si="0">U11*T11</f>
        <v>1294.063120868133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maritime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4647.1680080167025</v>
      </c>
      <c r="U12" s="190">
        <f>'Données projet'!D11</f>
        <v>3.0932000000000004</v>
      </c>
      <c r="V12" s="189">
        <f t="shared" ref="V12:V19" si="1">U12*T12</f>
        <v>14374.620082397267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Pin noir d'Autriche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648.05626522252692</v>
      </c>
      <c r="U13" s="190">
        <f>'Données projet'!D12</f>
        <v>1.20472</v>
      </c>
      <c r="V13" s="189">
        <f t="shared" si="1"/>
        <v>780.7263438388826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de Salzmann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Chêne vert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459.30955273853505</v>
      </c>
      <c r="U14" s="190">
        <f>'Données projet'!D13</f>
        <v>0.87912000000000001</v>
      </c>
      <c r="V14" s="189">
        <f t="shared" si="1"/>
        <v>403.78821400350091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Chêne pubescent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902.103941500014</v>
      </c>
      <c r="U15" s="190">
        <f>'Données projet'!D14</f>
        <v>0.84655999999999998</v>
      </c>
      <c r="V15" s="189">
        <f t="shared" si="1"/>
        <v>763.68511271625187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>Chêne chevelu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1057.6333963530128</v>
      </c>
      <c r="U16" s="190">
        <f>'Données projet'!D15</f>
        <v>0.81400000000000006</v>
      </c>
      <c r="V16" s="189">
        <f t="shared" si="1"/>
        <v>860.91358463135248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>Pin laricio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1456.8185064266663</v>
      </c>
      <c r="U17" s="190">
        <f>'Données projet'!D16</f>
        <v>0.81400000000000006</v>
      </c>
      <c r="V17" s="189">
        <f t="shared" si="1"/>
        <v>1185.8502642313065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>Cèdre de l'Atlas</v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749.68387308473314</v>
      </c>
      <c r="U18" s="190">
        <f>'Données projet'!D17</f>
        <v>1.6280000000000001</v>
      </c>
      <c r="V18" s="189">
        <f t="shared" si="1"/>
        <v>1220.4853453819455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>Chêne rouge d'Amérique</v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895.3620699952794</v>
      </c>
      <c r="U19" s="190">
        <f>'Données projet'!D18</f>
        <v>2.2792000000000003</v>
      </c>
      <c r="V19" s="189">
        <f t="shared" si="1"/>
        <v>2040.7092299332412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0</v>
      </c>
      <c r="I20" s="204">
        <f>63214/16.26</f>
        <v>3887.6998769987695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15078/16.26</f>
        <v>927.3062730627305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600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3</v>
      </c>
      <c r="C23" s="292">
        <v>12</v>
      </c>
      <c r="D23" s="194">
        <f>B23*C23</f>
        <v>36</v>
      </c>
      <c r="E23" s="206"/>
      <c r="F23" s="261"/>
      <c r="H23" s="203">
        <v>3</v>
      </c>
      <c r="I23" s="204">
        <v>180</v>
      </c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-64849.068214503117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30</v>
      </c>
      <c r="B24" s="193">
        <f>'Données projet'!D37</f>
        <v>12</v>
      </c>
      <c r="C24" s="292">
        <v>12</v>
      </c>
      <c r="D24" s="194">
        <f t="shared" ref="D24:D42" si="2">B24*C24</f>
        <v>144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104141.34903537841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40</v>
      </c>
      <c r="B25" s="193">
        <f>'Données projet'!D38</f>
        <v>21</v>
      </c>
      <c r="C25" s="292">
        <v>15</v>
      </c>
      <c r="D25" s="194">
        <f t="shared" si="2"/>
        <v>315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370</v>
      </c>
      <c r="Q25" s="265"/>
      <c r="R25" s="25"/>
      <c r="S25" s="198" t="s">
        <v>266</v>
      </c>
      <c r="T25" s="337">
        <f ca="1">T23-T24</f>
        <v>-168990.41724988155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50</v>
      </c>
      <c r="B26" s="193">
        <f>'Données projet'!D39</f>
        <v>25</v>
      </c>
      <c r="C26" s="292">
        <v>17</v>
      </c>
      <c r="D26" s="194">
        <f t="shared" si="2"/>
        <v>425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60</v>
      </c>
      <c r="B27" s="193">
        <f>'Données projet'!D40</f>
        <v>27</v>
      </c>
      <c r="C27" s="292">
        <v>20</v>
      </c>
      <c r="D27" s="194">
        <f t="shared" si="2"/>
        <v>540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70</v>
      </c>
      <c r="B28" s="193">
        <f>'Données projet'!D41</f>
        <v>26</v>
      </c>
      <c r="C28" s="292">
        <v>25</v>
      </c>
      <c r="D28" s="194">
        <f t="shared" si="2"/>
        <v>650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80</v>
      </c>
      <c r="B29" s="193">
        <f>'Données projet'!D42</f>
        <v>24</v>
      </c>
      <c r="C29" s="292">
        <v>30</v>
      </c>
      <c r="D29" s="194">
        <f t="shared" si="2"/>
        <v>720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90</v>
      </c>
      <c r="B30" s="193">
        <f>'Données projet'!D43</f>
        <v>24</v>
      </c>
      <c r="C30" s="292">
        <v>55</v>
      </c>
      <c r="D30" s="194">
        <f t="shared" si="2"/>
        <v>1320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6396.8887613868801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100</v>
      </c>
      <c r="B31" s="193">
        <f>'Données projet'!D44</f>
        <v>515</v>
      </c>
      <c r="C31" s="292">
        <v>60</v>
      </c>
      <c r="D31" s="194">
        <f t="shared" si="2"/>
        <v>30900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370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354.06698564593302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338.82008195783072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324.22974350031643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310.26769712948953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296.9068872052531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284.1214231629217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271.88652934250882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260.17849697847743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248.97463825691619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238.253242351116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227.99353335035025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218.17563000033522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208.78050717735425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199.7899590213917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191.18656365683412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182.95364943237723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175.07526261471506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167.53613647341157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160.32166169704456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153.4178580832963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25</v>
      </c>
      <c r="B54" s="193">
        <f>'Données projet'!D62</f>
        <v>8</v>
      </c>
      <c r="C54" s="292">
        <v>4</v>
      </c>
      <c r="D54" s="191">
        <f>B54*C54</f>
        <v>32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146.81134744813039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30</v>
      </c>
      <c r="B55" s="193">
        <f>'Données projet'!D63</f>
        <v>21</v>
      </c>
      <c r="C55" s="292">
        <v>8</v>
      </c>
      <c r="D55" s="191">
        <f t="shared" ref="D55:D73" si="4">B55*C55</f>
        <v>168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140.48932770156023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35</v>
      </c>
      <c r="B56" s="193">
        <f>'Données projet'!D64</f>
        <v>21</v>
      </c>
      <c r="C56" s="292">
        <v>10</v>
      </c>
      <c r="D56" s="191">
        <f t="shared" si="4"/>
        <v>210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134.43954803977056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40</v>
      </c>
      <c r="B57" s="193">
        <f>'Données projet'!D65</f>
        <v>21</v>
      </c>
      <c r="C57" s="292">
        <v>10</v>
      </c>
      <c r="D57" s="191">
        <f t="shared" si="4"/>
        <v>210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128.6502852055221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45</v>
      </c>
      <c r="B58" s="193">
        <f>'Données projet'!D66</f>
        <v>21</v>
      </c>
      <c r="C58" s="292">
        <v>10</v>
      </c>
      <c r="D58" s="191">
        <f t="shared" si="4"/>
        <v>210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123.11032077083455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50</v>
      </c>
      <c r="B59" s="193">
        <f>'Données projet'!D67</f>
        <v>21</v>
      </c>
      <c r="C59" s="292">
        <v>10</v>
      </c>
      <c r="D59" s="191">
        <f t="shared" si="4"/>
        <v>210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117.80891939792782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55</v>
      </c>
      <c r="B60" s="193">
        <f>'Données projet'!D68</f>
        <v>21</v>
      </c>
      <c r="C60" s="292">
        <v>15</v>
      </c>
      <c r="D60" s="191">
        <f t="shared" si="4"/>
        <v>315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112.73580803629457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60</v>
      </c>
      <c r="B61" s="193">
        <f>'Données projet'!D69</f>
        <v>21</v>
      </c>
      <c r="C61" s="292">
        <v>15</v>
      </c>
      <c r="D61" s="191">
        <f t="shared" si="4"/>
        <v>315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107.88115601559291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65</v>
      </c>
      <c r="B62" s="193">
        <f>'Données projet'!D70</f>
        <v>21</v>
      </c>
      <c r="C62" s="292">
        <v>15</v>
      </c>
      <c r="D62" s="191">
        <f t="shared" si="4"/>
        <v>315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103.23555599578268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70</v>
      </c>
      <c r="B63" s="193">
        <f>'Données projet'!D71</f>
        <v>21</v>
      </c>
      <c r="C63" s="292">
        <v>15</v>
      </c>
      <c r="D63" s="191">
        <f t="shared" si="4"/>
        <v>315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98.790005737591116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75</v>
      </c>
      <c r="B64" s="193">
        <f>'Données projet'!D72</f>
        <v>21</v>
      </c>
      <c r="C64" s="292">
        <v>20</v>
      </c>
      <c r="D64" s="191">
        <f t="shared" si="4"/>
        <v>420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80</v>
      </c>
      <c r="B65" s="193">
        <f>'Données projet'!D73</f>
        <v>21</v>
      </c>
      <c r="C65" s="292">
        <v>20</v>
      </c>
      <c r="D65" s="191">
        <f t="shared" si="4"/>
        <v>420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85</v>
      </c>
      <c r="B66" s="193">
        <f>'Données projet'!D74</f>
        <v>21</v>
      </c>
      <c r="C66" s="292">
        <v>20</v>
      </c>
      <c r="D66" s="191">
        <f t="shared" si="4"/>
        <v>420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90</v>
      </c>
      <c r="B67" s="193">
        <f>'Données projet'!D75</f>
        <v>21</v>
      </c>
      <c r="C67" s="292">
        <v>20</v>
      </c>
      <c r="D67" s="191">
        <f t="shared" si="4"/>
        <v>420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95</v>
      </c>
      <c r="B68" s="193">
        <f>'Données projet'!D76</f>
        <v>21</v>
      </c>
      <c r="C68" s="292">
        <v>30</v>
      </c>
      <c r="D68" s="191">
        <f t="shared" si="4"/>
        <v>630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100</v>
      </c>
      <c r="B69" s="193">
        <f>'Données projet'!D77</f>
        <v>21</v>
      </c>
      <c r="C69" s="292">
        <v>30</v>
      </c>
      <c r="D69" s="191">
        <f t="shared" si="4"/>
        <v>630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105</v>
      </c>
      <c r="B70" s="193">
        <f>'Données projet'!D78</f>
        <v>20</v>
      </c>
      <c r="C70" s="292">
        <v>40</v>
      </c>
      <c r="D70" s="191">
        <f t="shared" si="4"/>
        <v>800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110</v>
      </c>
      <c r="B71" s="193">
        <f>'Données projet'!D79</f>
        <v>19</v>
      </c>
      <c r="C71" s="292">
        <v>50</v>
      </c>
      <c r="D71" s="191">
        <f t="shared" si="4"/>
        <v>950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115</v>
      </c>
      <c r="B72" s="193">
        <f>'Données projet'!D80</f>
        <v>18</v>
      </c>
      <c r="C72" s="292">
        <v>70</v>
      </c>
      <c r="D72" s="191">
        <f t="shared" si="4"/>
        <v>1260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120</v>
      </c>
      <c r="B73" s="193">
        <f>'Données projet'!D81</f>
        <v>284</v>
      </c>
      <c r="C73" s="292">
        <v>150</v>
      </c>
      <c r="D73" s="191">
        <f t="shared" si="4"/>
        <v>42600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Pin maritime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12</v>
      </c>
      <c r="B85" s="193">
        <f>'Données projet'!D88</f>
        <v>34</v>
      </c>
      <c r="C85" s="204">
        <v>10</v>
      </c>
      <c r="D85" s="191">
        <f>B85*C85</f>
        <v>340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17</v>
      </c>
      <c r="B86" s="193">
        <f>'Données projet'!D89</f>
        <v>43</v>
      </c>
      <c r="C86" s="204">
        <v>25</v>
      </c>
      <c r="D86" s="191">
        <f t="shared" ref="D86:D104" si="6">B86*C86</f>
        <v>1075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22</v>
      </c>
      <c r="B87" s="193">
        <f>'Données projet'!D90</f>
        <v>56</v>
      </c>
      <c r="C87" s="204">
        <v>30</v>
      </c>
      <c r="D87" s="191">
        <f t="shared" si="6"/>
        <v>1680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30</v>
      </c>
      <c r="B88" s="193">
        <f>'Données projet'!D91</f>
        <v>309</v>
      </c>
      <c r="C88" s="204">
        <v>40</v>
      </c>
      <c r="D88" s="191">
        <f t="shared" si="6"/>
        <v>12360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Pin noir d'Autriche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20</v>
      </c>
      <c r="B116" s="193">
        <f>'Données projet'!D114</f>
        <v>3</v>
      </c>
      <c r="C116" s="292">
        <v>12</v>
      </c>
      <c r="D116" s="191">
        <f>B116*C116</f>
        <v>36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30</v>
      </c>
      <c r="B117" s="193">
        <f>'Données projet'!D115</f>
        <v>12</v>
      </c>
      <c r="C117" s="292">
        <v>12</v>
      </c>
      <c r="D117" s="191">
        <f t="shared" ref="D117:D135" si="8">B117*C117</f>
        <v>144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40</v>
      </c>
      <c r="B118" s="193">
        <f>'Données projet'!D116</f>
        <v>21</v>
      </c>
      <c r="C118" s="292">
        <v>15</v>
      </c>
      <c r="D118" s="191">
        <f t="shared" si="8"/>
        <v>315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50</v>
      </c>
      <c r="B119" s="193">
        <f>'Données projet'!D117</f>
        <v>25</v>
      </c>
      <c r="C119" s="292">
        <v>17</v>
      </c>
      <c r="D119" s="191">
        <f t="shared" si="8"/>
        <v>425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60</v>
      </c>
      <c r="B120" s="193">
        <f>'Données projet'!D118</f>
        <v>27</v>
      </c>
      <c r="C120" s="292">
        <v>20</v>
      </c>
      <c r="D120" s="191">
        <f t="shared" si="8"/>
        <v>540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70</v>
      </c>
      <c r="B121" s="193">
        <f>'Données projet'!D119</f>
        <v>26</v>
      </c>
      <c r="C121" s="292">
        <v>25</v>
      </c>
      <c r="D121" s="191">
        <f t="shared" si="8"/>
        <v>650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80</v>
      </c>
      <c r="B122" s="193">
        <f>'Données projet'!D120</f>
        <v>24</v>
      </c>
      <c r="C122" s="292">
        <v>30</v>
      </c>
      <c r="D122" s="191">
        <f t="shared" si="8"/>
        <v>720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90</v>
      </c>
      <c r="B123" s="193">
        <f>'Données projet'!D121</f>
        <v>24</v>
      </c>
      <c r="C123" s="292">
        <v>55</v>
      </c>
      <c r="D123" s="191">
        <f t="shared" si="8"/>
        <v>1320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100</v>
      </c>
      <c r="B124" s="193">
        <f>'Données projet'!D122</f>
        <v>515</v>
      </c>
      <c r="C124" s="292">
        <v>60</v>
      </c>
      <c r="D124" s="191">
        <f t="shared" si="8"/>
        <v>30900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>Chêne vert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25</v>
      </c>
      <c r="B147" s="187">
        <f>'Données projet'!D140</f>
        <v>8</v>
      </c>
      <c r="C147" s="292">
        <v>4</v>
      </c>
      <c r="D147" s="194">
        <f>B147*C147</f>
        <v>32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30</v>
      </c>
      <c r="B148" s="187">
        <f>'Données projet'!D141</f>
        <v>21</v>
      </c>
      <c r="C148" s="292">
        <v>8</v>
      </c>
      <c r="D148" s="194">
        <f t="shared" ref="D148:D166" si="10">B148*C148</f>
        <v>168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35</v>
      </c>
      <c r="B149" s="187">
        <f>'Données projet'!D142</f>
        <v>21</v>
      </c>
      <c r="C149" s="292">
        <v>10</v>
      </c>
      <c r="D149" s="194">
        <f t="shared" si="10"/>
        <v>210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40</v>
      </c>
      <c r="B150" s="187">
        <f>'Données projet'!D143</f>
        <v>21</v>
      </c>
      <c r="C150" s="292">
        <v>10</v>
      </c>
      <c r="D150" s="194">
        <f t="shared" si="10"/>
        <v>210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45</v>
      </c>
      <c r="B151" s="187">
        <f>'Données projet'!D144</f>
        <v>21</v>
      </c>
      <c r="C151" s="292">
        <v>10</v>
      </c>
      <c r="D151" s="194">
        <f t="shared" si="10"/>
        <v>210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50</v>
      </c>
      <c r="B152" s="187">
        <f>'Données projet'!D145</f>
        <v>21</v>
      </c>
      <c r="C152" s="292">
        <v>10</v>
      </c>
      <c r="D152" s="194">
        <f t="shared" si="10"/>
        <v>210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55</v>
      </c>
      <c r="B153" s="187">
        <f>'Données projet'!D146</f>
        <v>21</v>
      </c>
      <c r="C153" s="292">
        <v>15</v>
      </c>
      <c r="D153" s="194">
        <f t="shared" si="10"/>
        <v>315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60</v>
      </c>
      <c r="B154" s="187">
        <f>'Données projet'!D147</f>
        <v>21</v>
      </c>
      <c r="C154" s="292">
        <v>15</v>
      </c>
      <c r="D154" s="194">
        <f t="shared" si="10"/>
        <v>315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65</v>
      </c>
      <c r="B155" s="187">
        <f>'Données projet'!D148</f>
        <v>21</v>
      </c>
      <c r="C155" s="292">
        <v>15</v>
      </c>
      <c r="D155" s="194">
        <f t="shared" si="10"/>
        <v>315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70</v>
      </c>
      <c r="B156" s="187">
        <f>'Données projet'!D149</f>
        <v>21</v>
      </c>
      <c r="C156" s="292">
        <v>15</v>
      </c>
      <c r="D156" s="194">
        <f t="shared" si="10"/>
        <v>315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75</v>
      </c>
      <c r="B157" s="187">
        <f>'Données projet'!D150</f>
        <v>21</v>
      </c>
      <c r="C157" s="292">
        <v>20</v>
      </c>
      <c r="D157" s="194">
        <f t="shared" si="10"/>
        <v>420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80</v>
      </c>
      <c r="B158" s="187">
        <f>'Données projet'!D151</f>
        <v>21</v>
      </c>
      <c r="C158" s="292">
        <v>20</v>
      </c>
      <c r="D158" s="194">
        <f t="shared" si="10"/>
        <v>420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85</v>
      </c>
      <c r="B159" s="187">
        <f>'Données projet'!D152</f>
        <v>21</v>
      </c>
      <c r="C159" s="292">
        <v>20</v>
      </c>
      <c r="D159" s="194">
        <f t="shared" si="10"/>
        <v>420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90</v>
      </c>
      <c r="B160" s="187">
        <f>'Données projet'!D153</f>
        <v>21</v>
      </c>
      <c r="C160" s="292">
        <v>20</v>
      </c>
      <c r="D160" s="194">
        <f t="shared" si="10"/>
        <v>420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95</v>
      </c>
      <c r="B161" s="187">
        <f>'Données projet'!D154</f>
        <v>21</v>
      </c>
      <c r="C161" s="292">
        <v>30</v>
      </c>
      <c r="D161" s="194">
        <f t="shared" si="10"/>
        <v>630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100</v>
      </c>
      <c r="B162" s="187">
        <f>'Données projet'!D155</f>
        <v>21</v>
      </c>
      <c r="C162" s="292">
        <v>30</v>
      </c>
      <c r="D162" s="194">
        <f t="shared" si="10"/>
        <v>630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105</v>
      </c>
      <c r="B163" s="187">
        <f>'Données projet'!D156</f>
        <v>20</v>
      </c>
      <c r="C163" s="292">
        <v>40</v>
      </c>
      <c r="D163" s="194">
        <f t="shared" si="10"/>
        <v>800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110</v>
      </c>
      <c r="B164" s="187">
        <f>'Données projet'!D157</f>
        <v>19</v>
      </c>
      <c r="C164" s="292">
        <v>50</v>
      </c>
      <c r="D164" s="194">
        <f t="shared" si="10"/>
        <v>950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115</v>
      </c>
      <c r="B165" s="187">
        <f>'Données projet'!D158</f>
        <v>18</v>
      </c>
      <c r="C165" s="292">
        <v>70</v>
      </c>
      <c r="D165" s="194">
        <f t="shared" si="10"/>
        <v>1260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120</v>
      </c>
      <c r="B166" s="187">
        <f>'Données projet'!D159</f>
        <v>284</v>
      </c>
      <c r="C166" s="292">
        <v>70</v>
      </c>
      <c r="D166" s="194">
        <f t="shared" si="10"/>
        <v>19880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>Chêne pubescent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20</v>
      </c>
      <c r="B178" s="193">
        <f>'Données projet'!D166</f>
        <v>6</v>
      </c>
      <c r="C178" s="292">
        <v>4</v>
      </c>
      <c r="D178" s="191">
        <f>B178*C178</f>
        <v>24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25</v>
      </c>
      <c r="B179" s="193">
        <f>'Données projet'!D167</f>
        <v>28</v>
      </c>
      <c r="C179" s="292">
        <v>8</v>
      </c>
      <c r="D179" s="191">
        <f t="shared" ref="D179:D197" si="11">B179*C179</f>
        <v>224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30</v>
      </c>
      <c r="B180" s="193">
        <f>'Données projet'!D168</f>
        <v>28</v>
      </c>
      <c r="C180" s="292">
        <v>10</v>
      </c>
      <c r="D180" s="191">
        <f t="shared" si="11"/>
        <v>280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35</v>
      </c>
      <c r="B181" s="193">
        <f>'Données projet'!D169</f>
        <v>28</v>
      </c>
      <c r="C181" s="292">
        <v>10</v>
      </c>
      <c r="D181" s="191">
        <f t="shared" si="11"/>
        <v>280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40</v>
      </c>
      <c r="B182" s="193">
        <f>'Données projet'!D170</f>
        <v>28</v>
      </c>
      <c r="C182" s="292">
        <v>10</v>
      </c>
      <c r="D182" s="191">
        <f t="shared" si="11"/>
        <v>280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45</v>
      </c>
      <c r="B183" s="193">
        <f>'Données projet'!D171</f>
        <v>28</v>
      </c>
      <c r="C183" s="292">
        <v>10</v>
      </c>
      <c r="D183" s="191">
        <f t="shared" si="11"/>
        <v>280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50</v>
      </c>
      <c r="B184" s="193">
        <f>'Données projet'!D172</f>
        <v>28</v>
      </c>
      <c r="C184" s="292">
        <v>15</v>
      </c>
      <c r="D184" s="191">
        <f t="shared" si="11"/>
        <v>420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55</v>
      </c>
      <c r="B185" s="193">
        <f>'Données projet'!D173</f>
        <v>28</v>
      </c>
      <c r="C185" s="292">
        <v>15</v>
      </c>
      <c r="D185" s="191">
        <f t="shared" si="11"/>
        <v>420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60</v>
      </c>
      <c r="B186" s="193">
        <f>'Données projet'!D174</f>
        <v>28</v>
      </c>
      <c r="C186" s="292">
        <v>15</v>
      </c>
      <c r="D186" s="191">
        <f t="shared" si="11"/>
        <v>420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65</v>
      </c>
      <c r="B187" s="193">
        <f>'Données projet'!D175</f>
        <v>28</v>
      </c>
      <c r="C187" s="292">
        <v>15</v>
      </c>
      <c r="D187" s="191">
        <f t="shared" si="11"/>
        <v>420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70</v>
      </c>
      <c r="B188" s="193">
        <f>'Données projet'!D176</f>
        <v>28</v>
      </c>
      <c r="C188" s="292">
        <v>20</v>
      </c>
      <c r="D188" s="191">
        <f t="shared" si="11"/>
        <v>560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75</v>
      </c>
      <c r="B189" s="193">
        <f>'Données projet'!D177</f>
        <v>28</v>
      </c>
      <c r="C189" s="292">
        <v>20</v>
      </c>
      <c r="D189" s="191">
        <f t="shared" si="11"/>
        <v>560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80</v>
      </c>
      <c r="B190" s="193">
        <f>'Données projet'!D178</f>
        <v>28</v>
      </c>
      <c r="C190" s="292">
        <v>20</v>
      </c>
      <c r="D190" s="191">
        <f t="shared" si="11"/>
        <v>560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85</v>
      </c>
      <c r="B191" s="193">
        <f>'Données projet'!D179</f>
        <v>28</v>
      </c>
      <c r="C191" s="292">
        <v>20</v>
      </c>
      <c r="D191" s="191">
        <f t="shared" si="11"/>
        <v>560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90</v>
      </c>
      <c r="B192" s="193">
        <f>'Données projet'!D180</f>
        <v>28</v>
      </c>
      <c r="C192" s="292">
        <v>30</v>
      </c>
      <c r="D192" s="191">
        <f t="shared" si="11"/>
        <v>840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95</v>
      </c>
      <c r="B193" s="193">
        <f>'Données projet'!D181</f>
        <v>28</v>
      </c>
      <c r="C193" s="292">
        <v>30</v>
      </c>
      <c r="D193" s="191">
        <f t="shared" si="11"/>
        <v>840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100</v>
      </c>
      <c r="B194" s="193">
        <f>'Données projet'!D182</f>
        <v>27</v>
      </c>
      <c r="C194" s="292">
        <v>40</v>
      </c>
      <c r="D194" s="191">
        <f t="shared" si="11"/>
        <v>1080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105</v>
      </c>
      <c r="B195" s="193">
        <f>'Données projet'!D183</f>
        <v>26</v>
      </c>
      <c r="C195" s="292">
        <v>50</v>
      </c>
      <c r="D195" s="191">
        <f t="shared" si="11"/>
        <v>1300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110</v>
      </c>
      <c r="B196" s="193">
        <f>'Données projet'!D184</f>
        <v>25</v>
      </c>
      <c r="C196" s="292">
        <v>70</v>
      </c>
      <c r="D196" s="191">
        <f t="shared" si="11"/>
        <v>1750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115</v>
      </c>
      <c r="B197" s="193">
        <f>'Données projet'!D185</f>
        <v>330</v>
      </c>
      <c r="C197" s="292">
        <v>150</v>
      </c>
      <c r="D197" s="191">
        <f t="shared" si="11"/>
        <v>49500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>Chêne chevelu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15</v>
      </c>
      <c r="B209" s="193">
        <f>'Données projet'!D192</f>
        <v>21</v>
      </c>
      <c r="C209" s="292">
        <v>4</v>
      </c>
      <c r="D209" s="191">
        <f>B209*C209</f>
        <v>84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20</v>
      </c>
      <c r="B210" s="193">
        <f>'Données projet'!D193</f>
        <v>43</v>
      </c>
      <c r="C210" s="292">
        <v>8</v>
      </c>
      <c r="D210" s="191">
        <f t="shared" ref="D210:D228" si="12">B210*C210</f>
        <v>344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25</v>
      </c>
      <c r="B211" s="193">
        <f>'Données projet'!D194</f>
        <v>44</v>
      </c>
      <c r="C211" s="292">
        <v>10</v>
      </c>
      <c r="D211" s="191">
        <f t="shared" si="12"/>
        <v>440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30</v>
      </c>
      <c r="B212" s="193">
        <f>'Données projet'!D195</f>
        <v>44</v>
      </c>
      <c r="C212" s="292">
        <v>10</v>
      </c>
      <c r="D212" s="191">
        <f t="shared" si="12"/>
        <v>440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35</v>
      </c>
      <c r="B213" s="193">
        <f>'Données projet'!D196</f>
        <v>42</v>
      </c>
      <c r="C213" s="292">
        <v>10</v>
      </c>
      <c r="D213" s="191">
        <f t="shared" si="12"/>
        <v>420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40</v>
      </c>
      <c r="B214" s="193">
        <f>'Données projet'!D197</f>
        <v>39</v>
      </c>
      <c r="C214" s="292">
        <v>10</v>
      </c>
      <c r="D214" s="191">
        <f t="shared" si="12"/>
        <v>390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45</v>
      </c>
      <c r="B215" s="193">
        <f>'Données projet'!D198</f>
        <v>36</v>
      </c>
      <c r="C215" s="292">
        <v>15</v>
      </c>
      <c r="D215" s="191">
        <f t="shared" si="12"/>
        <v>540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50</v>
      </c>
      <c r="B216" s="193">
        <f>'Données projet'!D199</f>
        <v>33</v>
      </c>
      <c r="C216" s="292">
        <v>15</v>
      </c>
      <c r="D216" s="191">
        <f t="shared" si="12"/>
        <v>495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55</v>
      </c>
      <c r="B217" s="193">
        <f>'Données projet'!D200</f>
        <v>29</v>
      </c>
      <c r="C217" s="292">
        <v>15</v>
      </c>
      <c r="D217" s="191">
        <f t="shared" si="12"/>
        <v>435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60</v>
      </c>
      <c r="B218" s="193">
        <f>'Données projet'!D201</f>
        <v>26</v>
      </c>
      <c r="C218" s="292">
        <v>15</v>
      </c>
      <c r="D218" s="191">
        <f t="shared" si="12"/>
        <v>390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65</v>
      </c>
      <c r="B219" s="193">
        <f>'Données projet'!D202</f>
        <v>23</v>
      </c>
      <c r="C219" s="292">
        <v>20</v>
      </c>
      <c r="D219" s="191">
        <f t="shared" si="12"/>
        <v>460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70</v>
      </c>
      <c r="B220" s="193">
        <f>'Données projet'!D203</f>
        <v>249</v>
      </c>
      <c r="C220" s="292">
        <v>20</v>
      </c>
      <c r="D220" s="191">
        <f t="shared" si="12"/>
        <v>4980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92">
        <v>20</v>
      </c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92">
        <v>20</v>
      </c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92">
        <v>30</v>
      </c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92">
        <v>30</v>
      </c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92">
        <v>40</v>
      </c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92">
        <v>50</v>
      </c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92">
        <v>70</v>
      </c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92">
        <v>70</v>
      </c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>Pin laricio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27</v>
      </c>
      <c r="B240" s="193">
        <f>'Données projet'!D218</f>
        <v>15</v>
      </c>
      <c r="C240" s="292">
        <v>12</v>
      </c>
      <c r="D240" s="191">
        <f>B240*C240</f>
        <v>180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30</v>
      </c>
      <c r="B241" s="193">
        <f>'Données projet'!D219</f>
        <v>13</v>
      </c>
      <c r="C241" s="292">
        <v>12</v>
      </c>
      <c r="D241" s="191">
        <f t="shared" ref="D241:D259" si="13">B241*C241</f>
        <v>156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35</v>
      </c>
      <c r="B242" s="193">
        <f>'Données projet'!D220</f>
        <v>23</v>
      </c>
      <c r="C242" s="292">
        <v>15</v>
      </c>
      <c r="D242" s="191">
        <f t="shared" si="13"/>
        <v>345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40</v>
      </c>
      <c r="B243" s="193">
        <f>'Données projet'!D221</f>
        <v>34</v>
      </c>
      <c r="C243" s="292">
        <v>17</v>
      </c>
      <c r="D243" s="191">
        <f t="shared" si="13"/>
        <v>578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50</v>
      </c>
      <c r="B244" s="193">
        <f>'Données projet'!D222</f>
        <v>79</v>
      </c>
      <c r="C244" s="292">
        <v>20</v>
      </c>
      <c r="D244" s="191">
        <f t="shared" si="13"/>
        <v>1580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60</v>
      </c>
      <c r="B245" s="193">
        <f>'Données projet'!D223</f>
        <v>88</v>
      </c>
      <c r="C245" s="292">
        <v>25</v>
      </c>
      <c r="D245" s="191">
        <f t="shared" si="13"/>
        <v>2200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70</v>
      </c>
      <c r="B246" s="193">
        <f>'Données projet'!D224</f>
        <v>78</v>
      </c>
      <c r="C246" s="292">
        <v>30</v>
      </c>
      <c r="D246" s="191">
        <f t="shared" si="13"/>
        <v>2340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80</v>
      </c>
      <c r="B247" s="193">
        <f>'Données projet'!D225</f>
        <v>460</v>
      </c>
      <c r="C247" s="292">
        <v>55</v>
      </c>
      <c r="D247" s="191">
        <f t="shared" si="13"/>
        <v>25300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>Cèdre de l'Atlas</v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30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40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51</v>
      </c>
      <c r="B273" s="193">
        <f>'Données projet'!D246</f>
        <v>171</v>
      </c>
      <c r="C273" s="206">
        <v>15</v>
      </c>
      <c r="D273" s="191">
        <f t="shared" si="14"/>
        <v>2565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53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61</v>
      </c>
      <c r="B275" s="193">
        <f>'Données projet'!D248</f>
        <v>100</v>
      </c>
      <c r="C275" s="206">
        <v>20</v>
      </c>
      <c r="D275" s="191">
        <f t="shared" si="14"/>
        <v>2000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62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73</v>
      </c>
      <c r="B277" s="193">
        <f>'Données projet'!D250</f>
        <v>102</v>
      </c>
      <c r="C277" s="206">
        <v>25</v>
      </c>
      <c r="D277" s="191">
        <f t="shared" si="14"/>
        <v>2550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74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84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85</v>
      </c>
      <c r="B280" s="193">
        <f>'Données projet'!D253</f>
        <v>95</v>
      </c>
      <c r="C280" s="206">
        <v>30</v>
      </c>
      <c r="D280" s="191">
        <f t="shared" si="14"/>
        <v>2850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86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97</v>
      </c>
      <c r="B282" s="193">
        <f>'Données projet'!D255</f>
        <v>90</v>
      </c>
      <c r="C282" s="206">
        <v>35</v>
      </c>
      <c r="D282" s="191">
        <f t="shared" si="14"/>
        <v>3150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98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108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109</v>
      </c>
      <c r="B285" s="193">
        <f>'Données projet'!D258</f>
        <v>91</v>
      </c>
      <c r="C285" s="206">
        <v>40</v>
      </c>
      <c r="D285" s="191">
        <f t="shared" si="14"/>
        <v>3640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110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120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121</v>
      </c>
      <c r="B288" s="193">
        <f>'Données projet'!D261</f>
        <v>234</v>
      </c>
      <c r="C288" s="206">
        <v>45</v>
      </c>
      <c r="D288" s="191">
        <f t="shared" si="14"/>
        <v>10530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122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131</v>
      </c>
      <c r="B290" s="193">
        <f>'Données projet'!D263</f>
        <v>294</v>
      </c>
      <c r="C290" s="206">
        <v>50</v>
      </c>
      <c r="D290" s="191">
        <f t="shared" si="14"/>
        <v>14700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>Chêne rouge d'Amérique</v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20</v>
      </c>
      <c r="B302" s="193">
        <f>'Données projet'!D270</f>
        <v>50</v>
      </c>
      <c r="C302" s="292">
        <v>5</v>
      </c>
      <c r="D302" s="194">
        <f>B302*C302</f>
        <v>250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25</v>
      </c>
      <c r="B303" s="193">
        <f>'Données projet'!D271</f>
        <v>37</v>
      </c>
      <c r="C303" s="292">
        <v>7</v>
      </c>
      <c r="D303" s="194">
        <f t="shared" ref="D303:D321" si="15">B303*C303</f>
        <v>259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30</v>
      </c>
      <c r="B304" s="193">
        <f>'Données projet'!D272</f>
        <v>37</v>
      </c>
      <c r="C304" s="292">
        <v>9</v>
      </c>
      <c r="D304" s="194">
        <f t="shared" si="15"/>
        <v>333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35</v>
      </c>
      <c r="B305" s="193">
        <f>'Données projet'!D273</f>
        <v>36</v>
      </c>
      <c r="C305" s="292">
        <v>9</v>
      </c>
      <c r="D305" s="194">
        <f t="shared" si="15"/>
        <v>324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40</v>
      </c>
      <c r="B306" s="193">
        <f>'Données projet'!D274</f>
        <v>33</v>
      </c>
      <c r="C306" s="292">
        <v>9</v>
      </c>
      <c r="D306" s="194">
        <f t="shared" si="15"/>
        <v>297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45</v>
      </c>
      <c r="B307" s="193">
        <f>'Données projet'!D275</f>
        <v>31</v>
      </c>
      <c r="C307" s="292">
        <v>14</v>
      </c>
      <c r="D307" s="194">
        <f t="shared" si="15"/>
        <v>434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50</v>
      </c>
      <c r="B308" s="193">
        <f>'Données projet'!D276</f>
        <v>28</v>
      </c>
      <c r="C308" s="292">
        <v>14</v>
      </c>
      <c r="D308" s="194">
        <f t="shared" si="15"/>
        <v>392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55</v>
      </c>
      <c r="B309" s="193">
        <f>'Données projet'!D277</f>
        <v>25</v>
      </c>
      <c r="C309" s="292">
        <v>14</v>
      </c>
      <c r="D309" s="194">
        <f t="shared" si="15"/>
        <v>350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60</v>
      </c>
      <c r="B310" s="193">
        <f>'Données projet'!D278</f>
        <v>22</v>
      </c>
      <c r="C310" s="292">
        <v>17</v>
      </c>
      <c r="D310" s="194">
        <f t="shared" si="15"/>
        <v>374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65</v>
      </c>
      <c r="B311" s="193">
        <f>'Données projet'!D279</f>
        <v>20</v>
      </c>
      <c r="C311" s="292">
        <v>17</v>
      </c>
      <c r="D311" s="194">
        <f t="shared" si="15"/>
        <v>340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70</v>
      </c>
      <c r="B312" s="193">
        <f>'Données projet'!D280</f>
        <v>17</v>
      </c>
      <c r="C312" s="292">
        <v>17</v>
      </c>
      <c r="D312" s="194">
        <f t="shared" si="15"/>
        <v>289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75</v>
      </c>
      <c r="B313" s="193">
        <f>'Données projet'!D281</f>
        <v>15</v>
      </c>
      <c r="C313" s="292">
        <v>20</v>
      </c>
      <c r="D313" s="194">
        <f t="shared" si="15"/>
        <v>300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80</v>
      </c>
      <c r="B314" s="193">
        <f>'Données projet'!D282</f>
        <v>13</v>
      </c>
      <c r="C314" s="292">
        <v>25</v>
      </c>
      <c r="D314" s="194">
        <f t="shared" si="15"/>
        <v>325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85</v>
      </c>
      <c r="B315" s="193">
        <f>'Données projet'!D283</f>
        <v>12</v>
      </c>
      <c r="C315" s="292">
        <v>30</v>
      </c>
      <c r="D315" s="194">
        <f t="shared" si="15"/>
        <v>360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90</v>
      </c>
      <c r="B316" s="193">
        <f>'Données projet'!D284</f>
        <v>236</v>
      </c>
      <c r="C316" s="292">
        <v>80</v>
      </c>
      <c r="D316" s="194">
        <f t="shared" si="15"/>
        <v>18880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2025-03-17T11:15:47Z</dcterms:modified>
</cp:coreProperties>
</file>