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esrineAhmedTounsi\Oklima\Team Oklima - Documents\03 - Développement\1 - FORET\1 - PROJETS\SogeForce\45_Dampierre en Burly_5ha_Gf Quintard\2.Dossier_LBC_déposé\"/>
    </mc:Choice>
  </mc:AlternateContent>
  <xr:revisionPtr revIDLastSave="0" documentId="13_ncr:1_{0EE7324F-EECD-462E-A80A-EB6E496EF9EC}" xr6:coauthVersionLast="47" xr6:coauthVersionMax="47" xr10:uidLastSave="{00000000-0000-0000-0000-000000000000}"/>
  <bookViews>
    <workbookView xWindow="-120" yWindow="-16320" windowWidth="29040" windowHeight="157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C10" i="1"/>
  <c r="B10" i="1"/>
  <c r="C9" i="1"/>
  <c r="B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Q4" i="2"/>
  <c r="BQ4" i="2"/>
  <c r="GL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H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V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W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A38" i="2"/>
  <c r="EW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DG43" i="2"/>
  <c r="EA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HG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EV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A107" i="2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FS113" i="2"/>
  <c r="EB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FQ120" i="2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I130" i="2"/>
  <c r="EB130" i="2"/>
  <c r="EW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EW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A145" i="2"/>
  <c r="EB145" i="2"/>
  <c r="FR145" i="2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FR146" i="2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V150" i="2"/>
  <c r="HH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A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W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B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47" i="2" l="1"/>
  <c r="BI105" i="2"/>
  <c r="BI174" i="2"/>
  <c r="BI66" i="2"/>
  <c r="BI44" i="2"/>
  <c r="BI162" i="2"/>
  <c r="BI83" i="2"/>
  <c r="BI182" i="2"/>
  <c r="BI31" i="2"/>
  <c r="BI36" i="2"/>
  <c r="BI133" i="2"/>
  <c r="BI35" i="2"/>
  <c r="BI203" i="2"/>
  <c r="BI40" i="2"/>
  <c r="BI78" i="2"/>
  <c r="BI93" i="2"/>
  <c r="BI137" i="2"/>
  <c r="BI46" i="2"/>
  <c r="BI142" i="2"/>
  <c r="BI152" i="2"/>
  <c r="BI200" i="2"/>
  <c r="BI96" i="2"/>
  <c r="BI127" i="2"/>
  <c r="BI92" i="2"/>
  <c r="BI97" i="2"/>
  <c r="BI126" i="2"/>
  <c r="BI57" i="2"/>
  <c r="BI135" i="2"/>
  <c r="BI163" i="2"/>
  <c r="BI81" i="2"/>
  <c r="BI28" i="2"/>
  <c r="BI140" i="2"/>
  <c r="BI15" i="2"/>
  <c r="BI95" i="2"/>
  <c r="BI55" i="2"/>
  <c r="BI37" i="2"/>
  <c r="BI108" i="2"/>
  <c r="BI52" i="2"/>
  <c r="BI70" i="2"/>
  <c r="BI121" i="2"/>
  <c r="BI169" i="2"/>
  <c r="BI168" i="2"/>
  <c r="BI155" i="2"/>
  <c r="BI188" i="2"/>
  <c r="BI71" i="2"/>
  <c r="BI80" i="2"/>
  <c r="BI198" i="2"/>
  <c r="BI3" i="2"/>
  <c r="C8" i="4" s="1"/>
  <c r="E8" i="4" s="1"/>
  <c r="F8" i="4" s="1"/>
  <c r="G8" i="4" s="1"/>
  <c r="L8" i="4" s="1"/>
  <c r="BI195" i="2"/>
  <c r="BI115" i="2"/>
  <c r="BI170" i="2"/>
  <c r="BI12" i="2"/>
  <c r="BI194" i="2"/>
  <c r="BI4" i="2"/>
  <c r="BI48" i="2"/>
  <c r="BI5" i="2"/>
  <c r="BI164" i="2"/>
  <c r="BI122" i="2"/>
  <c r="BI184" i="2"/>
  <c r="BI181" i="2"/>
  <c r="BI112" i="2"/>
  <c r="BI24" i="2"/>
  <c r="BI38" i="2"/>
  <c r="BI118" i="2"/>
  <c r="BI53" i="2"/>
  <c r="BI116" i="2"/>
  <c r="BI153" i="2"/>
  <c r="BI33" i="2"/>
  <c r="BI103" i="2"/>
  <c r="BI119" i="2"/>
  <c r="BI110" i="2"/>
  <c r="BI107" i="2"/>
  <c r="BI72" i="2"/>
  <c r="BI151" i="2"/>
  <c r="BI173" i="2"/>
  <c r="BI89" i="2"/>
  <c r="BI62" i="2"/>
  <c r="BI45" i="2"/>
  <c r="BI197" i="2"/>
  <c r="BI147" i="2"/>
  <c r="BI150" i="2"/>
  <c r="BI63" i="2"/>
  <c r="BI157" i="2"/>
  <c r="BI148" i="2"/>
  <c r="BI149" i="2"/>
  <c r="BI20" i="2"/>
  <c r="BI191" i="2"/>
  <c r="BI124" i="2"/>
  <c r="BI73" i="2"/>
  <c r="BI77" i="2"/>
  <c r="BI10" i="2"/>
  <c r="BI123" i="2"/>
  <c r="BI8" i="2"/>
  <c r="BI199" i="2"/>
  <c r="BI125" i="2"/>
  <c r="BI82" i="2"/>
  <c r="BI61" i="2"/>
  <c r="BI64" i="2"/>
  <c r="BI190" i="2"/>
  <c r="BI6" i="2"/>
  <c r="BI50" i="2"/>
  <c r="BI54" i="2"/>
  <c r="BI91" i="2"/>
  <c r="BI130" i="2"/>
  <c r="BI11" i="2"/>
  <c r="BI167" i="2"/>
  <c r="BI196" i="2"/>
  <c r="BI99" i="2"/>
  <c r="BI120" i="2"/>
  <c r="BI129" i="2"/>
  <c r="BI183" i="2"/>
  <c r="BI30" i="2"/>
  <c r="BI17" i="2"/>
  <c r="BI79" i="2"/>
  <c r="BI58" i="2"/>
  <c r="BI111" i="2"/>
  <c r="BI165" i="2"/>
  <c r="BI39" i="2"/>
  <c r="BI166" i="2"/>
  <c r="BI88" i="2"/>
  <c r="BI43" i="2"/>
  <c r="BI187" i="2"/>
  <c r="BI201" i="2"/>
  <c r="BI132" i="2"/>
  <c r="BI131" i="2"/>
  <c r="BI19" i="2"/>
  <c r="BI26" i="2"/>
  <c r="BI185" i="2"/>
  <c r="BI18" i="2"/>
  <c r="BI172" i="2"/>
  <c r="BI180" i="2"/>
  <c r="BI68" i="2"/>
  <c r="BI87" i="2"/>
  <c r="BI23" i="2"/>
  <c r="BI143" i="2"/>
  <c r="BI156" i="2"/>
  <c r="BI85" i="2"/>
  <c r="BI84" i="2"/>
  <c r="BI49" i="2"/>
  <c r="BI14" i="2"/>
  <c r="BI160" i="2"/>
  <c r="BI32" i="2"/>
  <c r="BI7" i="2"/>
  <c r="BI21" i="2"/>
  <c r="BI16" i="2"/>
  <c r="BI154" i="2"/>
  <c r="BI139" i="2"/>
  <c r="BI117" i="2"/>
  <c r="BI189" i="2"/>
  <c r="BI141" i="2"/>
  <c r="BI146" i="2"/>
  <c r="BI75" i="2"/>
  <c r="BI41" i="2"/>
  <c r="BI128" i="2"/>
  <c r="BI161" i="2"/>
  <c r="BI22" i="2"/>
  <c r="BI25" i="2"/>
  <c r="BI192" i="2"/>
  <c r="BI109" i="2"/>
  <c r="BI34" i="2"/>
  <c r="BI179" i="2"/>
  <c r="BI98" i="2"/>
  <c r="BI178" i="2"/>
  <c r="BI74" i="2"/>
  <c r="BI134" i="2"/>
  <c r="BI60" i="2"/>
  <c r="BI42" i="2"/>
  <c r="BI158" i="2"/>
  <c r="BI29" i="2"/>
  <c r="BI171" i="2"/>
  <c r="BI113" i="2"/>
  <c r="BI136" i="2"/>
  <c r="BI186" i="2"/>
  <c r="BI193" i="2"/>
  <c r="BI100" i="2"/>
  <c r="BI27" i="2"/>
  <c r="BI56" i="2"/>
  <c r="BI86" i="2"/>
  <c r="BI177" i="2"/>
  <c r="BI102" i="2"/>
  <c r="BI145" i="2"/>
  <c r="BI90" i="2"/>
  <c r="BI13" i="2"/>
  <c r="BI106" i="2"/>
  <c r="BI176" i="2"/>
  <c r="BI202" i="2"/>
  <c r="BI76" i="2"/>
  <c r="BI69" i="2"/>
  <c r="BI144" i="2"/>
  <c r="BI94" i="2"/>
  <c r="BI159" i="2"/>
  <c r="BI67" i="2"/>
  <c r="BI101" i="2"/>
  <c r="BI138" i="2"/>
  <c r="BI104" i="2"/>
  <c r="BI114" i="2"/>
  <c r="BI175" i="2"/>
  <c r="BI51" i="2"/>
  <c r="BI9" i="2"/>
  <c r="BI59" i="2"/>
  <c r="BI65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<sst xmlns="http://schemas.openxmlformats.org/spreadsheetml/2006/main" count="1171" uniqueCount="325">
  <si>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</si>
  <si>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</si>
  <si>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</si>
  <si>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</si>
  <si>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</si>
  <si>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</si>
  <si>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</si>
  <si>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</si>
  <si>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</si>
  <si>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</si>
  <si>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</si>
  <si>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</si>
  <si>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</si>
  <si>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</si>
  <si>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</si>
  <si>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</si>
  <si>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NB : La durée de révolution doit être identique à la dernière année indiquée dans la table de production renseignée en dessous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</si>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</sst>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291.44362414058196</c:v>
                </c:pt>
                <c:pt idx="28">
                  <c:v>316.40922168115691</c:v>
                </c:pt>
                <c:pt idx="29">
                  <c:v>341.33118577652465</c:v>
                </c:pt>
                <c:pt idx="30">
                  <c:v>366.2131477730768</c:v>
                </c:pt>
                <c:pt idx="31">
                  <c:v>390.65906037894007</c:v>
                </c:pt>
                <c:pt idx="32">
                  <c:v>415.07179480856433</c:v>
                </c:pt>
                <c:pt idx="33">
                  <c:v>355.88364575491551</c:v>
                </c:pt>
                <c:pt idx="34">
                  <c:v>378.90598373659327</c:v>
                </c:pt>
                <c:pt idx="35">
                  <c:v>401.89789012628256</c:v>
                </c:pt>
                <c:pt idx="36">
                  <c:v>424.8613493114824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516.46302801285572</c:v>
                </c:pt>
                <c:pt idx="41">
                  <c:v>418.21652921659637</c:v>
                </c:pt>
                <c:pt idx="42">
                  <c:v>437.54828979657401</c:v>
                </c:pt>
                <c:pt idx="43">
                  <c:v>456.86173367611201</c:v>
                </c:pt>
                <c:pt idx="44">
                  <c:v>476.15774366224099</c:v>
                </c:pt>
                <c:pt idx="45">
                  <c:v>495.43712521859487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463.11224037370857</c:v>
                </c:pt>
                <c:pt idx="50">
                  <c:v>479.3932375320328</c:v>
                </c:pt>
                <c:pt idx="51">
                  <c:v>495.66248405140635</c:v>
                </c:pt>
                <c:pt idx="52">
                  <c:v>511.92041976382592</c:v>
                </c:pt>
                <c:pt idx="53">
                  <c:v>528.16745429901346</c:v>
                </c:pt>
                <c:pt idx="54">
                  <c:v>544.40397004275667</c:v>
                </c:pt>
                <c:pt idx="55">
                  <c:v>560.63032472410339</c:v>
                </c:pt>
                <c:pt idx="56">
                  <c:v>576.84685368758073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1.9830898414103215</c:v>
                </c:pt>
                <c:pt idx="2">
                  <c:v>2.5358897943469625</c:v>
                </c:pt>
                <c:pt idx="3">
                  <c:v>3.2434053902640243</c:v>
                </c:pt>
                <c:pt idx="4">
                  <c:v>4.1491013676910162</c:v>
                </c:pt>
                <c:pt idx="5">
                  <c:v>5.3086961638054051</c:v>
                </c:pt>
                <c:pt idx="6">
                  <c:v>6.7936277869358754</c:v>
                </c:pt>
                <c:pt idx="7">
                  <c:v>8.6955029321760176</c:v>
                </c:pt>
                <c:pt idx="8">
                  <c:v>11.131809045990428</c:v>
                </c:pt>
                <c:pt idx="9">
                  <c:v>14.253248813468183</c:v>
                </c:pt>
                <c:pt idx="10">
                  <c:v>18.25315910971409</c:v>
                </c:pt>
                <c:pt idx="11">
                  <c:v>23.379608355026718</c:v>
                </c:pt>
                <c:pt idx="12">
                  <c:v>29.950935846041833</c:v>
                </c:pt>
                <c:pt idx="13">
                  <c:v>38.375714818299656</c:v>
                </c:pt>
                <c:pt idx="14">
                  <c:v>49.178401651990221</c:v>
                </c:pt>
                <c:pt idx="15">
                  <c:v>63.032294683329155</c:v>
                </c:pt>
                <c:pt idx="16">
                  <c:v>80.801890600111236</c:v>
                </c:pt>
                <c:pt idx="17">
                  <c:v>103.59732408398916</c:v>
                </c:pt>
                <c:pt idx="18">
                  <c:v>132.84434545688146</c:v>
                </c:pt>
                <c:pt idx="19">
                  <c:v>170.37428083713976</c:v>
                </c:pt>
                <c:pt idx="20">
                  <c:v>130.23960136812613</c:v>
                </c:pt>
                <c:pt idx="21">
                  <c:v>150.70436577575032</c:v>
                </c:pt>
                <c:pt idx="22">
                  <c:v>171.10283409899691</c:v>
                </c:pt>
                <c:pt idx="23">
                  <c:v>191.44402986530886</c:v>
                </c:pt>
                <c:pt idx="24">
                  <c:v>211.73489744686097</c:v>
                </c:pt>
                <c:pt idx="25">
                  <c:v>180.18542436067958</c:v>
                </c:pt>
                <c:pt idx="26">
                  <c:v>200.91767589861334</c:v>
                </c:pt>
                <c:pt idx="27">
                  <c:v>221.60034952388301</c:v>
                </c:pt>
                <c:pt idx="28">
                  <c:v>242.23872370500536</c:v>
                </c:pt>
                <c:pt idx="29">
                  <c:v>262.83710312637839</c:v>
                </c:pt>
                <c:pt idx="30">
                  <c:v>283.39906225257022</c:v>
                </c:pt>
                <c:pt idx="31">
                  <c:v>231.49394879910827</c:v>
                </c:pt>
                <c:pt idx="32">
                  <c:v>251.42218658177271</c:v>
                </c:pt>
                <c:pt idx="33">
                  <c:v>271.31463054978218</c:v>
                </c:pt>
                <c:pt idx="34">
                  <c:v>291.17427356157549</c:v>
                </c:pt>
                <c:pt idx="35">
                  <c:v>311.00366679642457</c:v>
                </c:pt>
                <c:pt idx="36">
                  <c:v>330.80500953824486</c:v>
                </c:pt>
                <c:pt idx="37">
                  <c:v>350.58021631475617</c:v>
                </c:pt>
                <c:pt idx="38">
                  <c:v>314.46887739606865</c:v>
                </c:pt>
                <c:pt idx="39">
                  <c:v>334.11294094960175</c:v>
                </c:pt>
                <c:pt idx="40">
                  <c:v>353.73156195241717</c:v>
                </c:pt>
                <c:pt idx="41">
                  <c:v>373.32634935906952</c:v>
                </c:pt>
                <c:pt idx="42">
                  <c:v>392.89872949433806</c:v>
                </c:pt>
                <c:pt idx="43">
                  <c:v>412.44997503614445</c:v>
                </c:pt>
                <c:pt idx="44">
                  <c:v>431.98122821530256</c:v>
                </c:pt>
                <c:pt idx="45">
                  <c:v>451.49351960053679</c:v>
                </c:pt>
                <c:pt idx="46">
                  <c:v>470.98778346710793</c:v>
                </c:pt>
                <c:pt idx="47">
                  <c:v>396.32168925579339</c:v>
                </c:pt>
                <c:pt idx="48">
                  <c:v>413.87245457205836</c:v>
                </c:pt>
                <c:pt idx="49">
                  <c:v>431.40717003189997</c:v>
                </c:pt>
                <c:pt idx="50">
                  <c:v>448.92657952752438</c:v>
                </c:pt>
                <c:pt idx="51">
                  <c:v>466.43136417869431</c:v>
                </c:pt>
                <c:pt idx="52">
                  <c:v>483.92214983519551</c:v>
                </c:pt>
                <c:pt idx="53">
                  <c:v>501.39951343839198</c:v>
                </c:pt>
                <c:pt idx="54">
                  <c:v>518.86398844987571</c:v>
                </c:pt>
                <c:pt idx="55">
                  <c:v>536.3160695114376</c:v>
                </c:pt>
                <c:pt idx="56">
                  <c:v>553.75621646716343</c:v>
                </c:pt>
                <c:pt idx="57">
                  <c:v>492.9675371004887</c:v>
                </c:pt>
                <c:pt idx="58">
                  <c:v>508.23604628992302</c:v>
                </c:pt>
                <c:pt idx="59">
                  <c:v>523.49486391950961</c:v>
                </c:pt>
                <c:pt idx="60">
                  <c:v>538.7443121486084</c:v>
                </c:pt>
                <c:pt idx="61">
                  <c:v>553.98469341960538</c:v>
                </c:pt>
                <c:pt idx="62">
                  <c:v>569.21629218509656</c:v>
                </c:pt>
                <c:pt idx="63">
                  <c:v>584.43937644066193</c:v>
                </c:pt>
                <c:pt idx="64">
                  <c:v>599.65419908970955</c:v>
                </c:pt>
                <c:pt idx="65">
                  <c:v>614.86099916266949</c:v>
                </c:pt>
                <c:pt idx="66">
                  <c:v>630.06000290936356</c:v>
                </c:pt>
                <c:pt idx="67">
                  <c:v>556.63682628095387</c:v>
                </c:pt>
                <c:pt idx="68">
                  <c:v>569.23572590689196</c:v>
                </c:pt>
                <c:pt idx="69">
                  <c:v>581.8287999403052</c:v>
                </c:pt>
                <c:pt idx="70">
                  <c:v>594.41619219958932</c:v>
                </c:pt>
                <c:pt idx="71">
                  <c:v>606.99803991747683</c:v>
                </c:pt>
                <c:pt idx="72">
                  <c:v>619.57447417572041</c:v>
                </c:pt>
                <c:pt idx="73">
                  <c:v>632.14562030266472</c:v>
                </c:pt>
                <c:pt idx="74">
                  <c:v>644.71159823756022</c:v>
                </c:pt>
                <c:pt idx="75">
                  <c:v>657.27252286501243</c:v>
                </c:pt>
                <c:pt idx="76">
                  <c:v>669.82850432254793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289.40050775542744</c:v>
                </c:pt>
                <c:pt idx="32">
                  <c:v>306.89948661909699</c:v>
                </c:pt>
                <c:pt idx="33">
                  <c:v>324.37629966034979</c:v>
                </c:pt>
                <c:pt idx="34">
                  <c:v>341.83230892368027</c:v>
                </c:pt>
                <c:pt idx="35">
                  <c:v>359.26872600336202</c:v>
                </c:pt>
                <c:pt idx="36">
                  <c:v>247.89733645105048</c:v>
                </c:pt>
                <c:pt idx="37">
                  <c:v>268.19388020667242</c:v>
                </c:pt>
                <c:pt idx="38">
                  <c:v>288.45583932928992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349.06002407123123</c:v>
                </c:pt>
                <c:pt idx="42">
                  <c:v>285.79224141654964</c:v>
                </c:pt>
                <c:pt idx="43">
                  <c:v>306.09401640717584</c:v>
                </c:pt>
                <c:pt idx="44">
                  <c:v>326.36586944014988</c:v>
                </c:pt>
                <c:pt idx="45">
                  <c:v>346.60991967996728</c:v>
                </c:pt>
                <c:pt idx="46">
                  <c:v>366.82801859171582</c:v>
                </c:pt>
                <c:pt idx="47">
                  <c:v>387.02179695470659</c:v>
                </c:pt>
                <c:pt idx="48">
                  <c:v>407.19270154733073</c:v>
                </c:pt>
                <c:pt idx="49">
                  <c:v>322.52624611434112</c:v>
                </c:pt>
                <c:pt idx="50">
                  <c:v>341.75417681771779</c:v>
                </c:pt>
                <c:pt idx="51">
                  <c:v>360.95833005636814</c:v>
                </c:pt>
                <c:pt idx="52">
                  <c:v>380.1401482882859</c:v>
                </c:pt>
                <c:pt idx="53">
                  <c:v>399.30091656620215</c:v>
                </c:pt>
                <c:pt idx="54">
                  <c:v>418.44178659894874</c:v>
                </c:pt>
                <c:pt idx="55">
                  <c:v>437.56379618008327</c:v>
                </c:pt>
                <c:pt idx="56">
                  <c:v>358.1923298746517</c:v>
                </c:pt>
                <c:pt idx="57">
                  <c:v>376.29808691039688</c:v>
                </c:pt>
                <c:pt idx="58">
                  <c:v>394.38487870170007</c:v>
                </c:pt>
                <c:pt idx="59">
                  <c:v>412.45369704960859</c:v>
                </c:pt>
                <c:pt idx="60">
                  <c:v>430.50543979939113</c:v>
                </c:pt>
                <c:pt idx="61">
                  <c:v>448.54092338886767</c:v>
                </c:pt>
                <c:pt idx="62">
                  <c:v>466.56089327347848</c:v>
                </c:pt>
                <c:pt idx="63">
                  <c:v>484.566032657113</c:v>
                </c:pt>
                <c:pt idx="64">
                  <c:v>412.17893074941094</c:v>
                </c:pt>
                <c:pt idx="65">
                  <c:v>429.64045267146849</c:v>
                </c:pt>
                <c:pt idx="66">
                  <c:v>447.08672748141771</c:v>
                </c:pt>
                <c:pt idx="67">
                  <c:v>464.51843363445613</c:v>
                </c:pt>
                <c:pt idx="68">
                  <c:v>481.93619453558489</c:v>
                </c:pt>
                <c:pt idx="69">
                  <c:v>499.34058487547162</c:v>
                </c:pt>
                <c:pt idx="70">
                  <c:v>516.73213603723286</c:v>
                </c:pt>
                <c:pt idx="71">
                  <c:v>534.11134073767676</c:v>
                </c:pt>
                <c:pt idx="72">
                  <c:v>465.17954885268068</c:v>
                </c:pt>
                <c:pt idx="73">
                  <c:v>482.04316980390831</c:v>
                </c:pt>
                <c:pt idx="74">
                  <c:v>498.89426037594109</c:v>
                </c:pt>
                <c:pt idx="75">
                  <c:v>515.73330318528826</c:v>
                </c:pt>
                <c:pt idx="76">
                  <c:v>532.56074677914273</c:v>
                </c:pt>
                <c:pt idx="77">
                  <c:v>549.37700906307055</c:v>
                </c:pt>
                <c:pt idx="78">
                  <c:v>566.18248028736241</c:v>
                </c:pt>
                <c:pt idx="79">
                  <c:v>582.97752566054464</c:v>
                </c:pt>
                <c:pt idx="80">
                  <c:v>599.76248764621096</c:v>
                </c:pt>
                <c:pt idx="81">
                  <c:v>518.0920654638179</c:v>
                </c:pt>
                <c:pt idx="82">
                  <c:v>534.17244594763577</c:v>
                </c:pt>
                <c:pt idx="83">
                  <c:v>550.24264963990152</c:v>
                </c:pt>
                <c:pt idx="84">
                  <c:v>566.30301546114617</c:v>
                </c:pt>
                <c:pt idx="85">
                  <c:v>582.35386155149297</c:v>
                </c:pt>
                <c:pt idx="86">
                  <c:v>598.39548709420319</c:v>
                </c:pt>
                <c:pt idx="87">
                  <c:v>614.42817393361736</c:v>
                </c:pt>
                <c:pt idx="88">
                  <c:v>630.45218801553858</c:v>
                </c:pt>
                <c:pt idx="89">
                  <c:v>646.46778067365187</c:v>
                </c:pt>
                <c:pt idx="90">
                  <c:v>556.15206169982298</c:v>
                </c:pt>
                <c:pt idx="91">
                  <c:v>571.53037088991744</c:v>
                </c:pt>
                <c:pt idx="92">
                  <c:v>586.90003943089675</c:v>
                </c:pt>
                <c:pt idx="93">
                  <c:v>602.26132535349996</c:v>
                </c:pt>
                <c:pt idx="94">
                  <c:v>617.6144724600515</c:v>
                </c:pt>
                <c:pt idx="95">
                  <c:v>632.95971145054534</c:v>
                </c:pt>
                <c:pt idx="96">
                  <c:v>648.29726093391253</c:v>
                </c:pt>
                <c:pt idx="97">
                  <c:v>663.62732833867358</c:v>
                </c:pt>
                <c:pt idx="98">
                  <c:v>678.95011073512637</c:v>
                </c:pt>
                <c:pt idx="99">
                  <c:v>694.26579557950515</c:v>
                </c:pt>
                <c:pt idx="100">
                  <c:v>606.63308794985471</c:v>
                </c:pt>
                <c:pt idx="101">
                  <c:v>621.5892527220193</c:v>
                </c:pt>
                <c:pt idx="102">
                  <c:v>636.53796577494199</c:v>
                </c:pt>
                <c:pt idx="103">
                  <c:v>651.47942665572896</c:v>
                </c:pt>
                <c:pt idx="104">
                  <c:v>666.41382501786154</c:v>
                </c:pt>
                <c:pt idx="105">
                  <c:v>681.34134132702627</c:v>
                </c:pt>
                <c:pt idx="106">
                  <c:v>696.26214750191332</c:v>
                </c:pt>
                <c:pt idx="107">
                  <c:v>711.17640749727252</c:v>
                </c:pt>
                <c:pt idx="108">
                  <c:v>726.08427783555044</c:v>
                </c:pt>
                <c:pt idx="109">
                  <c:v>740.98590809263044</c:v>
                </c:pt>
                <c:pt idx="110">
                  <c:v>646.18020296138832</c:v>
                </c:pt>
                <c:pt idx="111">
                  <c:v>660.80226469034744</c:v>
                </c:pt>
                <c:pt idx="112">
                  <c:v>675.41766750836871</c:v>
                </c:pt>
                <c:pt idx="113">
                  <c:v>690.02657571578584</c:v>
                </c:pt>
                <c:pt idx="114">
                  <c:v>704.62914609342113</c:v>
                </c:pt>
                <c:pt idx="115">
                  <c:v>719.22552839864738</c:v>
                </c:pt>
                <c:pt idx="116">
                  <c:v>733.81586581911597</c:v>
                </c:pt>
                <c:pt idx="117">
                  <c:v>748.40029538855242</c:v>
                </c:pt>
                <c:pt idx="118">
                  <c:v>762.97894836847979</c:v>
                </c:pt>
                <c:pt idx="119">
                  <c:v>777.55195059927792</c:v>
                </c:pt>
                <c:pt idx="120">
                  <c:v>464.90453348622708</c:v>
                </c:pt>
                <c:pt idx="121">
                  <c:v>473.14200892852961</c:v>
                </c:pt>
                <c:pt idx="122">
                  <c:v>481.37643199343648</c:v>
                </c:pt>
                <c:pt idx="123">
                  <c:v>489.60786227699901</c:v>
                </c:pt>
                <c:pt idx="124">
                  <c:v>328.15381176580001</c:v>
                </c:pt>
                <c:pt idx="125">
                  <c:v>333.21377234826514</c:v>
                </c:pt>
                <c:pt idx="126">
                  <c:v>338.27203930015764</c:v>
                </c:pt>
                <c:pt idx="127">
                  <c:v>343.32864155402285</c:v>
                </c:pt>
                <c:pt idx="128">
                  <c:v>238.10594921033294</c:v>
                </c:pt>
                <c:pt idx="129">
                  <c:v>241.39406120554747</c:v>
                </c:pt>
                <c:pt idx="130">
                  <c:v>244.6811538808515</c:v>
                </c:pt>
                <c:pt idx="131">
                  <c:v>247.96724289368069</c:v>
                </c:pt>
                <c:pt idx="132">
                  <c:v>1.3303388911427938E-11</c:v>
                </c:pt>
                <c:pt idx="133">
                  <c:v>1.3303388911427938E-11</c:v>
                </c:pt>
                <c:pt idx="134">
                  <c:v>1.3303388911427938E-11</c:v>
                </c:pt>
                <c:pt idx="135">
                  <c:v>1.3303388911427938E-11</c:v>
                </c:pt>
                <c:pt idx="136">
                  <c:v>1.3303388911427938E-11</c:v>
                </c:pt>
                <c:pt idx="137">
                  <c:v>1.3303388911427938E-11</c:v>
                </c:pt>
                <c:pt idx="138">
                  <c:v>1.3303388911427938E-11</c:v>
                </c:pt>
                <c:pt idx="139">
                  <c:v>1.3303388911427938E-11</c:v>
                </c:pt>
                <c:pt idx="140">
                  <c:v>1.3303388911427938E-11</c:v>
                </c:pt>
                <c:pt idx="141">
                  <c:v>1.3303388911427938E-11</c:v>
                </c:pt>
                <c:pt idx="142">
                  <c:v>1.3303388911427938E-11</c:v>
                </c:pt>
                <c:pt idx="143">
                  <c:v>1.3303388911427938E-11</c:v>
                </c:pt>
                <c:pt idx="144">
                  <c:v>1.3303388911427938E-11</c:v>
                </c:pt>
                <c:pt idx="145">
                  <c:v>1.3303388911427938E-11</c:v>
                </c:pt>
                <c:pt idx="146">
                  <c:v>1.3303388911427938E-11</c:v>
                </c:pt>
                <c:pt idx="147">
                  <c:v>1.3303388911427938E-11</c:v>
                </c:pt>
                <c:pt idx="148">
                  <c:v>1.3303388911427938E-11</c:v>
                </c:pt>
                <c:pt idx="149">
                  <c:v>1.3303388911427938E-11</c:v>
                </c:pt>
                <c:pt idx="150">
                  <c:v>1.3303388911427938E-11</c:v>
                </c:pt>
                <c:pt idx="151">
                  <c:v>1.3303388911427938E-11</c:v>
                </c:pt>
                <c:pt idx="152">
                  <c:v>1.3303388911427938E-11</c:v>
                </c:pt>
                <c:pt idx="153">
                  <c:v>1.3303388911427938E-11</c:v>
                </c:pt>
                <c:pt idx="154">
                  <c:v>1.3303388911427938E-11</c:v>
                </c:pt>
                <c:pt idx="155">
                  <c:v>1.3303388911427938E-11</c:v>
                </c:pt>
                <c:pt idx="156">
                  <c:v>1.3303388911427938E-11</c:v>
                </c:pt>
                <c:pt idx="157">
                  <c:v>1.3303388911427938E-11</c:v>
                </c:pt>
                <c:pt idx="158">
                  <c:v>1.3303388911427938E-11</c:v>
                </c:pt>
                <c:pt idx="159">
                  <c:v>1.3303388911427938E-11</c:v>
                </c:pt>
                <c:pt idx="160">
                  <c:v>1.3303388911427938E-11</c:v>
                </c:pt>
                <c:pt idx="161">
                  <c:v>1.3303388911427938E-11</c:v>
                </c:pt>
                <c:pt idx="162">
                  <c:v>1.3303388911427938E-11</c:v>
                </c:pt>
                <c:pt idx="163">
                  <c:v>1.3303388911427938E-11</c:v>
                </c:pt>
                <c:pt idx="164">
                  <c:v>1.3303388911427938E-11</c:v>
                </c:pt>
                <c:pt idx="165">
                  <c:v>1.3303388911427938E-11</c:v>
                </c:pt>
                <c:pt idx="166">
                  <c:v>1.3303388911427938E-11</c:v>
                </c:pt>
                <c:pt idx="167">
                  <c:v>1.3303388911427938E-11</c:v>
                </c:pt>
                <c:pt idx="168">
                  <c:v>1.3303388911427938E-11</c:v>
                </c:pt>
                <c:pt idx="169">
                  <c:v>1.3303388911427938E-11</c:v>
                </c:pt>
                <c:pt idx="170">
                  <c:v>1.3303388911427938E-11</c:v>
                </c:pt>
                <c:pt idx="171">
                  <c:v>1.3303388911427938E-11</c:v>
                </c:pt>
                <c:pt idx="172">
                  <c:v>1.3303388911427938E-11</c:v>
                </c:pt>
                <c:pt idx="173">
                  <c:v>1.3303388911427938E-11</c:v>
                </c:pt>
                <c:pt idx="174">
                  <c:v>1.3303388911427938E-11</c:v>
                </c:pt>
                <c:pt idx="175">
                  <c:v>1.3303388911427938E-11</c:v>
                </c:pt>
                <c:pt idx="176">
                  <c:v>1.3303388911427938E-11</c:v>
                </c:pt>
                <c:pt idx="177">
                  <c:v>1.3303388911427938E-11</c:v>
                </c:pt>
                <c:pt idx="178">
                  <c:v>1.3303388911427938E-11</c:v>
                </c:pt>
                <c:pt idx="179">
                  <c:v>1.3303388911427938E-11</c:v>
                </c:pt>
                <c:pt idx="180">
                  <c:v>1.3303388911427938E-11</c:v>
                </c:pt>
                <c:pt idx="181">
                  <c:v>1.3303388911427938E-11</c:v>
                </c:pt>
                <c:pt idx="182">
                  <c:v>1.3303388911427938E-11</c:v>
                </c:pt>
                <c:pt idx="183">
                  <c:v>1.3303388911427938E-11</c:v>
                </c:pt>
                <c:pt idx="184">
                  <c:v>1.3303388911427938E-11</c:v>
                </c:pt>
                <c:pt idx="185">
                  <c:v>1.3303388911427938E-11</c:v>
                </c:pt>
                <c:pt idx="186">
                  <c:v>1.3303388911427938E-11</c:v>
                </c:pt>
                <c:pt idx="187">
                  <c:v>1.3303388911427938E-11</c:v>
                </c:pt>
                <c:pt idx="188">
                  <c:v>1.3303388911427938E-11</c:v>
                </c:pt>
                <c:pt idx="189">
                  <c:v>1.3303388911427938E-11</c:v>
                </c:pt>
                <c:pt idx="190">
                  <c:v>1.3303388911427938E-11</c:v>
                </c:pt>
                <c:pt idx="191">
                  <c:v>1.3303388911427938E-11</c:v>
                </c:pt>
                <c:pt idx="192">
                  <c:v>1.3303388911427938E-11</c:v>
                </c:pt>
                <c:pt idx="193">
                  <c:v>1.3303388911427938E-11</c:v>
                </c:pt>
                <c:pt idx="194">
                  <c:v>1.3303388911427938E-11</c:v>
                </c:pt>
                <c:pt idx="195">
                  <c:v>1.3303388911427938E-11</c:v>
                </c:pt>
                <c:pt idx="196">
                  <c:v>1.3303388911427938E-11</c:v>
                </c:pt>
                <c:pt idx="197">
                  <c:v>1.3303388911427938E-11</c:v>
                </c:pt>
                <c:pt idx="198">
                  <c:v>1.3303388911427938E-11</c:v>
                </c:pt>
                <c:pt idx="199">
                  <c:v>1.3303388911427938E-11</c:v>
                </c:pt>
                <c:pt idx="200">
                  <c:v>1.3303388911427938E-11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oklima1.sharepoint.com/sites/TeamOklima/Shared%20Documents/03%20-%20D&#233;veloppement/1%20-%20FORET/1%20-%20PROJETS/SogeForce/45_Dampierre%20en%20Burly_5ha_Gf%20Quintard/3.Devis_finaux/Calculateur_RE_OKLIMA_v4.3.xlsx" TargetMode="External"/><Relationship Id="rId1" Type="http://schemas.openxmlformats.org/officeDocument/2006/relationships/externalLinkPath" Target="https://oklima1.sharepoint.com/sites/TeamOklima/Shared%20Documents/03%20-%20D&#233;veloppement/1%20-%20FORET/1%20-%20PROJETS/SogeForce/45_Dampierre%20en%20Burly_5ha_Gf%20Quintard/3.Devis_finaux/Calculateur_RE_OKLIMA_v4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ez-moi"/>
      <sheetName val="CO2"/>
      <sheetName val="ECO"/>
      <sheetName val="Financement"/>
      <sheetName val="Communes Francaises"/>
      <sheetName val="&gt;"/>
      <sheetName val="Données projet"/>
      <sheetName val="Scénario référence"/>
      <sheetName val="Calculateur"/>
      <sheetName val="Paramètres"/>
      <sheetName val="REE"/>
      <sheetName val="VAN"/>
      <sheetName val="&gt;&gt;"/>
      <sheetName val="COUT"/>
      <sheetName val="Feuil2"/>
      <sheetName val="ESSENCES"/>
      <sheetName val="param"/>
    </sheetNames>
    <sheetDataSet>
      <sheetData sheetId="0" refreshError="1"/>
      <sheetData sheetId="1">
        <row r="34">
          <cell r="D34" t="str">
            <v>Pin maritime</v>
          </cell>
          <cell r="E34">
            <v>0.37</v>
          </cell>
        </row>
        <row r="35">
          <cell r="D35" t="str">
            <v>Pin laricio</v>
          </cell>
          <cell r="E35">
            <v>0.4</v>
          </cell>
        </row>
        <row r="36">
          <cell r="D36" t="str">
            <v>Chêne pubescent</v>
          </cell>
          <cell r="E36">
            <v>0.23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C52" sqref="C52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80" zoomScaleNormal="80" workbookViewId="0">
      <selection activeCell="B9" sqref="B9:C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tr">
        <f>[1]CO2!D34</f>
        <v>Pin maritime</v>
      </c>
      <c r="C9" s="32">
        <f>[1]CO2!E34</f>
        <v>0.37</v>
      </c>
      <c r="D9" s="33">
        <f t="shared" ref="D9:D18" si="0">C9*$C$5</f>
        <v>1.85</v>
      </c>
      <c r="E9" s="34">
        <v>56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17</v>
      </c>
      <c r="B10" s="31" t="str">
        <f>[1]CO2!D35</f>
        <v>Pin laricio</v>
      </c>
      <c r="C10" s="32">
        <f>[1]CO2!E35</f>
        <v>0.4</v>
      </c>
      <c r="D10" s="33">
        <f t="shared" si="0"/>
        <v>2</v>
      </c>
      <c r="E10" s="34">
        <v>76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18</v>
      </c>
      <c r="B11" s="31" t="str">
        <f>[1]CO2!D36</f>
        <v>Chêne pubescent</v>
      </c>
      <c r="C11" s="32">
        <f>[1]CO2!E36</f>
        <v>0.23</v>
      </c>
      <c r="D11" s="33">
        <f t="shared" si="0"/>
        <v>1.1500000000000001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19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20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21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22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23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24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25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26</v>
      </c>
      <c r="C19" s="37">
        <f>SUM(C9:C18)</f>
        <v>1</v>
      </c>
      <c r="D19" s="38">
        <f>SUM(D9:D18)</f>
        <v>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27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28</v>
      </c>
      <c r="B24" s="42" t="s">
        <v>29</v>
      </c>
      <c r="C24" s="43">
        <v>0</v>
      </c>
      <c r="D24" s="44" t="s">
        <v>30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31</v>
      </c>
      <c r="B25" s="42" t="s">
        <v>32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33</v>
      </c>
      <c r="B26" s="42" t="s">
        <v>34</v>
      </c>
      <c r="C26" s="43">
        <v>0.15</v>
      </c>
      <c r="D26" s="44" t="s">
        <v>35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36</v>
      </c>
      <c r="B27" s="42" t="s">
        <v>37</v>
      </c>
      <c r="C27" s="43">
        <v>0</v>
      </c>
      <c r="D27" s="44" t="s">
        <v>38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39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40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41</v>
      </c>
      <c r="C34" s="259" t="s">
        <v>42</v>
      </c>
      <c r="D34" s="259"/>
      <c r="E34" s="260" t="s">
        <v>43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44</v>
      </c>
      <c r="B35" s="36" t="s">
        <v>45</v>
      </c>
      <c r="C35" s="48" t="s">
        <v>46</v>
      </c>
      <c r="D35" s="48" t="s">
        <v>47</v>
      </c>
      <c r="E35" s="36" t="s">
        <v>48</v>
      </c>
      <c r="F35" s="36" t="s">
        <v>49</v>
      </c>
      <c r="G35" s="36" t="s">
        <v>50</v>
      </c>
      <c r="H35" s="36" t="s">
        <v>51</v>
      </c>
      <c r="I35" s="48" t="s">
        <v>52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15</v>
      </c>
      <c r="B36" s="60">
        <v>141.17692307692306</v>
      </c>
      <c r="C36" s="60">
        <v>1</v>
      </c>
      <c r="D36" s="60">
        <v>49.784615384615385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9.4117948717948714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20</v>
      </c>
      <c r="B37" s="60">
        <v>183.7076923076923</v>
      </c>
      <c r="C37" s="60">
        <v>2</v>
      </c>
      <c r="D37" s="60">
        <v>48.723076923076924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18.463076923076926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26</v>
      </c>
      <c r="B38" s="60">
        <v>249.41538461538462</v>
      </c>
      <c r="C38" s="60">
        <v>3</v>
      </c>
      <c r="D38" s="60">
        <v>46.984615384615381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19.071794871794875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30</v>
      </c>
      <c r="B39" s="60">
        <v>280.42307692307691</v>
      </c>
      <c r="C39" s="60" t="s">
        <v>324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19.498076923076916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32</v>
      </c>
      <c r="B40" s="60">
        <v>318.7923076923077</v>
      </c>
      <c r="C40" s="60">
        <v>4</v>
      </c>
      <c r="D40" s="60">
        <v>64.523076923076914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19.184615384615398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40</v>
      </c>
      <c r="B41" s="60">
        <v>398.71538461538461</v>
      </c>
      <c r="C41" s="60">
        <v>5</v>
      </c>
      <c r="D41" s="60">
        <v>92.661538461538456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18.055769230769229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48</v>
      </c>
      <c r="B42" s="60">
        <v>427.74615384615385</v>
      </c>
      <c r="C42" s="60">
        <v>6</v>
      </c>
      <c r="D42" s="60">
        <v>83.969230769230762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15.21153846153846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56</v>
      </c>
      <c r="B43" s="60">
        <v>446.47692307692301</v>
      </c>
      <c r="C43" s="60">
        <v>7</v>
      </c>
      <c r="D43" s="60">
        <v>446.47692307692301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12.837499999999991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17</v>
      </c>
      <c r="B58" s="52" t="str">
        <f>IF(B10="","",B10)</f>
        <v>Pin laricio</v>
      </c>
      <c r="D58" s="229" t="s">
        <v>40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41</v>
      </c>
      <c r="C60" s="259" t="s">
        <v>42</v>
      </c>
      <c r="D60" s="259"/>
      <c r="E60" s="260" t="s">
        <v>43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44</v>
      </c>
      <c r="B61" s="36" t="s">
        <v>45</v>
      </c>
      <c r="C61" s="48" t="s">
        <v>46</v>
      </c>
      <c r="D61" s="48" t="s">
        <v>47</v>
      </c>
      <c r="E61" s="36" t="s">
        <v>48</v>
      </c>
      <c r="F61" s="36" t="s">
        <v>49</v>
      </c>
      <c r="G61" s="36" t="s">
        <v>50</v>
      </c>
      <c r="H61" s="36" t="s">
        <v>51</v>
      </c>
      <c r="I61" s="48" t="s">
        <v>52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19</v>
      </c>
      <c r="B62" s="60">
        <v>127.98461538461538</v>
      </c>
      <c r="C62" s="60">
        <v>1</v>
      </c>
      <c r="D62" s="60">
        <v>46.53846153846154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6.7360323886639675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24</v>
      </c>
      <c r="B63" s="60">
        <v>159.94615384615383</v>
      </c>
      <c r="C63" s="60">
        <v>2</v>
      </c>
      <c r="D63" s="60">
        <v>40.41538461538461</v>
      </c>
      <c r="E63" s="51">
        <v>0.7</v>
      </c>
      <c r="F63" s="51">
        <v>0.16800000000000001</v>
      </c>
      <c r="G63" s="51">
        <v>0.13200000000000001</v>
      </c>
      <c r="H63" s="51">
        <v>0</v>
      </c>
      <c r="I63" s="49">
        <f>IF(A63&lt;&gt;0,(B63-(B62-D62))/(A63-A62),"")</f>
        <v>15.7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215.65384615384616</v>
      </c>
      <c r="C64" s="60">
        <v>3</v>
      </c>
      <c r="D64" s="60">
        <v>55.869230769230761</v>
      </c>
      <c r="E64" s="51">
        <v>0.7</v>
      </c>
      <c r="F64" s="51">
        <v>0.16800000000000001</v>
      </c>
      <c r="G64" s="51">
        <v>0.13200000000000001</v>
      </c>
      <c r="H64" s="51">
        <v>0</v>
      </c>
      <c r="I64" s="49">
        <f>IF(A64&lt;&gt;0,(B64-(B63-D63))/(A64-A63),"")</f>
        <v>16.020512820512824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37</v>
      </c>
      <c r="B65" s="60">
        <v>268.16923076923075</v>
      </c>
      <c r="C65" s="60">
        <v>4</v>
      </c>
      <c r="D65" s="60">
        <v>43.623076923076923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15.48351648351648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46</v>
      </c>
      <c r="B66" s="60">
        <v>362.82307692307688</v>
      </c>
      <c r="C66" s="60">
        <v>5</v>
      </c>
      <c r="D66" s="60">
        <v>72.561538461538461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15.364102564102561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56</v>
      </c>
      <c r="B67" s="60">
        <v>428.20000000000005</v>
      </c>
      <c r="C67" s="60">
        <v>6</v>
      </c>
      <c r="D67" s="60">
        <v>60.092307692307692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13.793846153846165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66</v>
      </c>
      <c r="B68" s="60">
        <v>488.65384615384613</v>
      </c>
      <c r="C68" s="60">
        <v>7</v>
      </c>
      <c r="D68" s="60">
        <v>68.146153846153851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12.05461538461538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76</v>
      </c>
      <c r="B69" s="50">
        <v>520.22307692307686</v>
      </c>
      <c r="C69" s="50">
        <v>8</v>
      </c>
      <c r="D69" s="50">
        <v>520.22307692307686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9.9715384615384544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18</v>
      </c>
      <c r="B84" s="52" t="str">
        <f>IF(B11="","",B11)</f>
        <v>Chêne pubescent</v>
      </c>
      <c r="D84" s="229" t="s">
        <v>40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41</v>
      </c>
      <c r="C86" s="259" t="s">
        <v>42</v>
      </c>
      <c r="D86" s="259"/>
      <c r="E86" s="260" t="s">
        <v>43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44</v>
      </c>
      <c r="B87" s="36" t="s">
        <v>45</v>
      </c>
      <c r="C87" s="48" t="s">
        <v>46</v>
      </c>
      <c r="D87" s="48" t="s">
        <v>47</v>
      </c>
      <c r="E87" s="36" t="s">
        <v>48</v>
      </c>
      <c r="F87" s="36" t="s">
        <v>49</v>
      </c>
      <c r="G87" s="36" t="s">
        <v>50</v>
      </c>
      <c r="H87" s="36" t="s">
        <v>51</v>
      </c>
      <c r="I87" s="48" t="s">
        <v>52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30</v>
      </c>
      <c r="B88" s="60">
        <v>121.88461538461537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4.0628205128205126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35</v>
      </c>
      <c r="B89" s="60">
        <v>162.16666666666669</v>
      </c>
      <c r="C89" s="60">
        <v>1</v>
      </c>
      <c r="D89" s="60">
        <v>60.602564102564102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8.0564102564102633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41</v>
      </c>
      <c r="B90" s="60">
        <v>157.44871794871796</v>
      </c>
      <c r="C90" s="60">
        <v>2</v>
      </c>
      <c r="D90" s="60">
        <v>38.512820512820511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9.3141025641025621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48</v>
      </c>
      <c r="B91" s="60">
        <v>184.35256410256409</v>
      </c>
      <c r="C91" s="60">
        <v>3</v>
      </c>
      <c r="D91" s="60">
        <v>48.025641025641022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9.3452380952380913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55</v>
      </c>
      <c r="B92" s="60">
        <v>198.44230769230768</v>
      </c>
      <c r="C92" s="60">
        <v>4</v>
      </c>
      <c r="D92" s="60">
        <v>45.147435897435898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8.8736263736263741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63</v>
      </c>
      <c r="B93" s="60">
        <v>220.28846153846152</v>
      </c>
      <c r="C93" s="60">
        <v>5</v>
      </c>
      <c r="D93" s="60">
        <v>41.724358974358978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8.374198717948719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71</v>
      </c>
      <c r="B94" s="60">
        <v>243.36538461538464</v>
      </c>
      <c r="C94" s="60">
        <v>6</v>
      </c>
      <c r="D94" s="60">
        <v>39.935897435897431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8.1001602564102626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80</v>
      </c>
      <c r="B95" s="60">
        <v>274.01282051282055</v>
      </c>
      <c r="C95" s="60">
        <v>7</v>
      </c>
      <c r="D95" s="60">
        <v>45.608974358974358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7.8425925925925934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89</v>
      </c>
      <c r="B96" s="60">
        <v>295.85897435897436</v>
      </c>
      <c r="C96" s="60">
        <v>8</v>
      </c>
      <c r="D96" s="60">
        <v>49.391025641025635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7.4950142450142421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99</v>
      </c>
      <c r="B97" s="60">
        <v>318.25</v>
      </c>
      <c r="C97" s="60">
        <v>9</v>
      </c>
      <c r="D97" s="60">
        <v>48.019230769230766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7.1782051282051267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109</v>
      </c>
      <c r="B98" s="60">
        <v>340.16666666666663</v>
      </c>
      <c r="C98" s="60">
        <v>10</v>
      </c>
      <c r="D98" s="60">
        <v>51.28846153846154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3"/>
        <v>6.9935897435897401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119</v>
      </c>
      <c r="B99" s="60">
        <v>357.33974358974359</v>
      </c>
      <c r="C99" s="60">
        <v>11</v>
      </c>
      <c r="D99" s="60">
        <v>150.02564102564102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6.8461538461538511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123</v>
      </c>
      <c r="B100" s="60">
        <v>222.63461538461539</v>
      </c>
      <c r="C100" s="60">
        <v>12</v>
      </c>
      <c r="D100" s="60">
        <v>77.17307692307692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3.8301282051282044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127</v>
      </c>
      <c r="B101" s="60">
        <v>154.80128205128204</v>
      </c>
      <c r="C101" s="60">
        <v>13</v>
      </c>
      <c r="D101" s="60">
        <v>49.916666666666671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2.3349358974358978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131</v>
      </c>
      <c r="B102" s="50">
        <v>110.91025641025641</v>
      </c>
      <c r="C102" s="60">
        <v>14</v>
      </c>
      <c r="D102" s="50">
        <v>110.91025641025641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1.5064102564102591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19</v>
      </c>
      <c r="B110" s="52" t="str">
        <f>IF(B12="","",B12)</f>
        <v/>
      </c>
      <c r="D110" s="229" t="s">
        <v>40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41</v>
      </c>
      <c r="C112" s="259" t="s">
        <v>42</v>
      </c>
      <c r="D112" s="259"/>
      <c r="E112" s="260" t="s">
        <v>43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44</v>
      </c>
      <c r="B113" s="36" t="s">
        <v>45</v>
      </c>
      <c r="C113" s="48" t="s">
        <v>46</v>
      </c>
      <c r="D113" s="48" t="s">
        <v>47</v>
      </c>
      <c r="E113" s="36" t="s">
        <v>48</v>
      </c>
      <c r="F113" s="36" t="s">
        <v>49</v>
      </c>
      <c r="G113" s="36" t="s">
        <v>50</v>
      </c>
      <c r="H113" s="36" t="s">
        <v>51</v>
      </c>
      <c r="I113" s="48" t="s">
        <v>52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20</v>
      </c>
      <c r="B136" s="52" t="str">
        <f>IF(B13="","",B13)</f>
        <v/>
      </c>
      <c r="D136" s="229" t="s">
        <v>40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41</v>
      </c>
      <c r="C138" s="259" t="s">
        <v>42</v>
      </c>
      <c r="D138" s="259"/>
      <c r="E138" s="260" t="s">
        <v>43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44</v>
      </c>
      <c r="B139" s="36" t="s">
        <v>45</v>
      </c>
      <c r="C139" s="48" t="s">
        <v>46</v>
      </c>
      <c r="D139" s="48" t="s">
        <v>47</v>
      </c>
      <c r="E139" s="36" t="s">
        <v>48</v>
      </c>
      <c r="F139" s="36" t="s">
        <v>49</v>
      </c>
      <c r="G139" s="36" t="s">
        <v>50</v>
      </c>
      <c r="H139" s="36" t="s">
        <v>51</v>
      </c>
      <c r="I139" s="48" t="s">
        <v>52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21</v>
      </c>
      <c r="B162" s="52" t="str">
        <f>IF(B14="","",B14)</f>
        <v/>
      </c>
      <c r="D162" s="229" t="s">
        <v>40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41</v>
      </c>
      <c r="C164" s="259" t="s">
        <v>42</v>
      </c>
      <c r="D164" s="259"/>
      <c r="E164" s="260" t="s">
        <v>43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44</v>
      </c>
      <c r="B165" s="36" t="s">
        <v>45</v>
      </c>
      <c r="C165" s="48" t="s">
        <v>46</v>
      </c>
      <c r="D165" s="48" t="s">
        <v>47</v>
      </c>
      <c r="E165" s="36" t="s">
        <v>48</v>
      </c>
      <c r="F165" s="36" t="s">
        <v>49</v>
      </c>
      <c r="G165" s="36" t="s">
        <v>50</v>
      </c>
      <c r="H165" s="36" t="s">
        <v>51</v>
      </c>
      <c r="I165" s="48" t="s">
        <v>52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22</v>
      </c>
      <c r="B188" s="52" t="str">
        <f>IF(B15="","",B15)</f>
        <v/>
      </c>
      <c r="D188" s="229" t="s">
        <v>40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41</v>
      </c>
      <c r="C190" s="259" t="s">
        <v>42</v>
      </c>
      <c r="D190" s="259"/>
      <c r="E190" s="260" t="s">
        <v>43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44</v>
      </c>
      <c r="B191" s="36" t="s">
        <v>45</v>
      </c>
      <c r="C191" s="48" t="s">
        <v>46</v>
      </c>
      <c r="D191" s="48" t="s">
        <v>47</v>
      </c>
      <c r="E191" s="36" t="s">
        <v>48</v>
      </c>
      <c r="F191" s="36" t="s">
        <v>49</v>
      </c>
      <c r="G191" s="36" t="s">
        <v>50</v>
      </c>
      <c r="H191" s="36" t="s">
        <v>51</v>
      </c>
      <c r="I191" s="48" t="s">
        <v>52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23</v>
      </c>
      <c r="B214" s="52" t="str">
        <f>IF(B16="","",B16)</f>
        <v/>
      </c>
      <c r="D214" s="229" t="s">
        <v>40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41</v>
      </c>
      <c r="C216" s="259" t="s">
        <v>42</v>
      </c>
      <c r="D216" s="259"/>
      <c r="E216" s="260" t="s">
        <v>43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44</v>
      </c>
      <c r="B217" s="36" t="s">
        <v>45</v>
      </c>
      <c r="C217" s="48" t="s">
        <v>46</v>
      </c>
      <c r="D217" s="48" t="s">
        <v>47</v>
      </c>
      <c r="E217" s="36" t="s">
        <v>48</v>
      </c>
      <c r="F217" s="36" t="s">
        <v>49</v>
      </c>
      <c r="G217" s="36" t="s">
        <v>50</v>
      </c>
      <c r="H217" s="36" t="s">
        <v>51</v>
      </c>
      <c r="I217" s="48" t="s">
        <v>52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24</v>
      </c>
      <c r="B240" s="52" t="str">
        <f>IF(B17="","",B17)</f>
        <v/>
      </c>
      <c r="D240" s="229" t="s">
        <v>40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41</v>
      </c>
      <c r="C242" s="259" t="s">
        <v>42</v>
      </c>
      <c r="D242" s="259"/>
      <c r="E242" s="260" t="s">
        <v>43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44</v>
      </c>
      <c r="B243" s="36" t="s">
        <v>45</v>
      </c>
      <c r="C243" s="48" t="s">
        <v>46</v>
      </c>
      <c r="D243" s="48" t="s">
        <v>47</v>
      </c>
      <c r="E243" s="36" t="s">
        <v>48</v>
      </c>
      <c r="F243" s="36" t="s">
        <v>49</v>
      </c>
      <c r="G243" s="36" t="s">
        <v>50</v>
      </c>
      <c r="H243" s="36" t="s">
        <v>51</v>
      </c>
      <c r="I243" s="48" t="s">
        <v>52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25</v>
      </c>
      <c r="B266" s="52" t="str">
        <f>IF(B18="","",B18)</f>
        <v/>
      </c>
      <c r="D266" s="229" t="s">
        <v>40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41</v>
      </c>
      <c r="C268" s="259" t="s">
        <v>42</v>
      </c>
      <c r="D268" s="259"/>
      <c r="E268" s="260" t="s">
        <v>43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44</v>
      </c>
      <c r="B269" s="36" t="s">
        <v>45</v>
      </c>
      <c r="C269" s="48" t="s">
        <v>46</v>
      </c>
      <c r="D269" s="48" t="s">
        <v>47</v>
      </c>
      <c r="E269" s="36" t="s">
        <v>48</v>
      </c>
      <c r="F269" s="36" t="s">
        <v>49</v>
      </c>
      <c r="G269" s="36" t="s">
        <v>50</v>
      </c>
      <c r="H269" s="36" t="s">
        <v>51</v>
      </c>
      <c r="I269" s="48" t="s">
        <v>52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53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54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55</v>
      </c>
      <c r="C7" s="100" t="s">
        <v>56</v>
      </c>
      <c r="D7" s="215"/>
      <c r="E7" s="101"/>
      <c r="F7" s="26" t="s">
        <v>55</v>
      </c>
      <c r="G7" s="100" t="s">
        <v>57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58</v>
      </c>
      <c r="D8" s="23"/>
      <c r="E8" s="105">
        <v>4</v>
      </c>
      <c r="F8" s="61">
        <v>0</v>
      </c>
      <c r="G8" s="102" t="s">
        <v>59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60</v>
      </c>
      <c r="D9" s="23"/>
      <c r="E9" s="105">
        <v>5</v>
      </c>
      <c r="F9" s="61">
        <v>0</v>
      </c>
      <c r="G9" s="103" t="s">
        <v>61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62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63</v>
      </c>
      <c r="D13" s="216"/>
      <c r="E13" s="99"/>
      <c r="F13" s="107"/>
      <c r="G13" s="98" t="s">
        <v>64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65</v>
      </c>
      <c r="D14" s="216"/>
      <c r="E14" s="99"/>
      <c r="F14" s="107"/>
      <c r="G14" s="98" t="s">
        <v>66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55</v>
      </c>
      <c r="C15" s="4"/>
      <c r="D15" s="23"/>
      <c r="E15" s="4"/>
      <c r="F15" s="4"/>
      <c r="G15" s="2" t="s">
        <v>229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68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69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71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Pin laricio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72</v>
      </c>
      <c r="B2" s="72" t="s">
        <v>73</v>
      </c>
      <c r="C2" s="5" t="s">
        <v>74</v>
      </c>
      <c r="D2" s="5" t="s">
        <v>75</v>
      </c>
      <c r="E2" s="5" t="s">
        <v>76</v>
      </c>
      <c r="F2" s="5" t="s">
        <v>77</v>
      </c>
      <c r="G2" s="5" t="s">
        <v>78</v>
      </c>
      <c r="H2" s="66" t="s">
        <v>79</v>
      </c>
      <c r="I2" s="68" t="s">
        <v>76</v>
      </c>
      <c r="J2" s="69" t="s">
        <v>77</v>
      </c>
      <c r="K2" s="6" t="s">
        <v>80</v>
      </c>
      <c r="L2" s="6" t="s">
        <v>81</v>
      </c>
      <c r="M2" s="6" t="s">
        <v>81</v>
      </c>
      <c r="N2" s="6" t="s">
        <v>82</v>
      </c>
      <c r="O2" s="6" t="s">
        <v>83</v>
      </c>
      <c r="P2" s="6" t="s">
        <v>84</v>
      </c>
      <c r="Q2" s="6" t="s">
        <v>78</v>
      </c>
      <c r="R2" s="6" t="s">
        <v>85</v>
      </c>
      <c r="S2" s="6" t="s">
        <v>86</v>
      </c>
      <c r="T2" s="6" t="s">
        <v>87</v>
      </c>
      <c r="U2" s="7" t="s">
        <v>88</v>
      </c>
      <c r="V2" s="8" t="s">
        <v>89</v>
      </c>
      <c r="W2" s="7" t="s">
        <v>48</v>
      </c>
      <c r="X2" s="7" t="s">
        <v>49</v>
      </c>
      <c r="Y2" s="7" t="s">
        <v>90</v>
      </c>
      <c r="Z2" s="8" t="s">
        <v>91</v>
      </c>
      <c r="AA2" s="8" t="s">
        <v>92</v>
      </c>
      <c r="AB2" s="8" t="s">
        <v>93</v>
      </c>
      <c r="AC2" s="9" t="s">
        <v>94</v>
      </c>
      <c r="AD2" s="69" t="s">
        <v>76</v>
      </c>
      <c r="AE2" s="69" t="s">
        <v>77</v>
      </c>
      <c r="AF2" s="6" t="s">
        <v>80</v>
      </c>
      <c r="AG2" s="6" t="s">
        <v>81</v>
      </c>
      <c r="AH2" s="6" t="s">
        <v>81</v>
      </c>
      <c r="AI2" s="6" t="s">
        <v>82</v>
      </c>
      <c r="AJ2" s="6" t="s">
        <v>83</v>
      </c>
      <c r="AK2" s="6" t="s">
        <v>84</v>
      </c>
      <c r="AL2" s="6" t="s">
        <v>78</v>
      </c>
      <c r="AM2" s="6" t="s">
        <v>85</v>
      </c>
      <c r="AN2" s="6" t="s">
        <v>86</v>
      </c>
      <c r="AO2" s="6" t="s">
        <v>87</v>
      </c>
      <c r="AP2" s="7" t="s">
        <v>88</v>
      </c>
      <c r="AQ2" s="8" t="s">
        <v>89</v>
      </c>
      <c r="AR2" s="7" t="s">
        <v>48</v>
      </c>
      <c r="AS2" s="7" t="s">
        <v>49</v>
      </c>
      <c r="AT2" s="8" t="s">
        <v>95</v>
      </c>
      <c r="AU2" s="8" t="s">
        <v>91</v>
      </c>
      <c r="AV2" s="8" t="s">
        <v>92</v>
      </c>
      <c r="AW2" s="8" t="s">
        <v>93</v>
      </c>
      <c r="AX2" s="8" t="s">
        <v>94</v>
      </c>
      <c r="AY2" s="68" t="s">
        <v>76</v>
      </c>
      <c r="AZ2" s="69" t="s">
        <v>77</v>
      </c>
      <c r="BA2" s="6" t="s">
        <v>80</v>
      </c>
      <c r="BB2" s="6" t="s">
        <v>81</v>
      </c>
      <c r="BC2" s="6" t="s">
        <v>81</v>
      </c>
      <c r="BD2" s="6" t="s">
        <v>82</v>
      </c>
      <c r="BE2" s="6" t="s">
        <v>83</v>
      </c>
      <c r="BF2" s="6" t="s">
        <v>84</v>
      </c>
      <c r="BG2" s="6" t="s">
        <v>78</v>
      </c>
      <c r="BH2" s="6" t="s">
        <v>85</v>
      </c>
      <c r="BI2" s="6" t="s">
        <v>86</v>
      </c>
      <c r="BJ2" s="6" t="s">
        <v>87</v>
      </c>
      <c r="BK2" s="7" t="s">
        <v>88</v>
      </c>
      <c r="BL2" s="8" t="s">
        <v>89</v>
      </c>
      <c r="BM2" s="7" t="s">
        <v>48</v>
      </c>
      <c r="BN2" s="7" t="s">
        <v>49</v>
      </c>
      <c r="BO2" s="8" t="s">
        <v>95</v>
      </c>
      <c r="BP2" s="8" t="s">
        <v>91</v>
      </c>
      <c r="BQ2" s="8" t="s">
        <v>92</v>
      </c>
      <c r="BR2" s="8" t="s">
        <v>93</v>
      </c>
      <c r="BS2" s="9" t="s">
        <v>94</v>
      </c>
      <c r="BT2" s="68" t="s">
        <v>76</v>
      </c>
      <c r="BU2" s="69" t="s">
        <v>77</v>
      </c>
      <c r="BV2" s="6" t="s">
        <v>80</v>
      </c>
      <c r="BW2" s="6" t="s">
        <v>81</v>
      </c>
      <c r="BX2" s="6" t="s">
        <v>81</v>
      </c>
      <c r="BY2" s="6" t="s">
        <v>82</v>
      </c>
      <c r="BZ2" s="6" t="s">
        <v>83</v>
      </c>
      <c r="CA2" s="6" t="s">
        <v>84</v>
      </c>
      <c r="CB2" s="6" t="s">
        <v>78</v>
      </c>
      <c r="CC2" s="6" t="s">
        <v>85</v>
      </c>
      <c r="CD2" s="6" t="s">
        <v>86</v>
      </c>
      <c r="CE2" s="6" t="s">
        <v>87</v>
      </c>
      <c r="CF2" s="7" t="s">
        <v>88</v>
      </c>
      <c r="CG2" s="8" t="s">
        <v>89</v>
      </c>
      <c r="CH2" s="7" t="s">
        <v>48</v>
      </c>
      <c r="CI2" s="7" t="s">
        <v>49</v>
      </c>
      <c r="CJ2" s="8" t="s">
        <v>95</v>
      </c>
      <c r="CK2" s="8" t="s">
        <v>91</v>
      </c>
      <c r="CL2" s="8" t="s">
        <v>92</v>
      </c>
      <c r="CM2" s="8" t="s">
        <v>93</v>
      </c>
      <c r="CN2" s="9" t="s">
        <v>94</v>
      </c>
      <c r="CO2" s="68" t="s">
        <v>76</v>
      </c>
      <c r="CP2" s="69" t="s">
        <v>77</v>
      </c>
      <c r="CQ2" s="6" t="s">
        <v>80</v>
      </c>
      <c r="CR2" s="6" t="s">
        <v>81</v>
      </c>
      <c r="CS2" s="6" t="s">
        <v>81</v>
      </c>
      <c r="CT2" s="6" t="s">
        <v>82</v>
      </c>
      <c r="CU2" s="6" t="s">
        <v>83</v>
      </c>
      <c r="CV2" s="6" t="s">
        <v>84</v>
      </c>
      <c r="CW2" s="6" t="s">
        <v>78</v>
      </c>
      <c r="CX2" s="6" t="s">
        <v>85</v>
      </c>
      <c r="CY2" s="6" t="s">
        <v>86</v>
      </c>
      <c r="CZ2" s="6" t="s">
        <v>87</v>
      </c>
      <c r="DA2" s="7" t="s">
        <v>88</v>
      </c>
      <c r="DB2" s="8" t="s">
        <v>89</v>
      </c>
      <c r="DC2" s="7" t="s">
        <v>48</v>
      </c>
      <c r="DD2" s="7" t="s">
        <v>49</v>
      </c>
      <c r="DE2" s="8" t="s">
        <v>95</v>
      </c>
      <c r="DF2" s="8" t="s">
        <v>91</v>
      </c>
      <c r="DG2" s="8" t="s">
        <v>92</v>
      </c>
      <c r="DH2" s="8" t="s">
        <v>93</v>
      </c>
      <c r="DI2" s="9" t="s">
        <v>94</v>
      </c>
      <c r="DJ2" s="68" t="s">
        <v>76</v>
      </c>
      <c r="DK2" s="69" t="s">
        <v>77</v>
      </c>
      <c r="DL2" s="6" t="s">
        <v>80</v>
      </c>
      <c r="DM2" s="6" t="s">
        <v>81</v>
      </c>
      <c r="DN2" s="6" t="s">
        <v>81</v>
      </c>
      <c r="DO2" s="6" t="s">
        <v>82</v>
      </c>
      <c r="DP2" s="6" t="s">
        <v>83</v>
      </c>
      <c r="DQ2" s="6" t="s">
        <v>84</v>
      </c>
      <c r="DR2" s="6" t="s">
        <v>78</v>
      </c>
      <c r="DS2" s="6" t="s">
        <v>85</v>
      </c>
      <c r="DT2" s="6" t="s">
        <v>86</v>
      </c>
      <c r="DU2" s="6" t="s">
        <v>87</v>
      </c>
      <c r="DV2" s="7" t="s">
        <v>88</v>
      </c>
      <c r="DW2" s="8" t="s">
        <v>89</v>
      </c>
      <c r="DX2" s="7" t="s">
        <v>48</v>
      </c>
      <c r="DY2" s="7" t="s">
        <v>49</v>
      </c>
      <c r="DZ2" s="8" t="s">
        <v>95</v>
      </c>
      <c r="EA2" s="8" t="s">
        <v>91</v>
      </c>
      <c r="EB2" s="8" t="s">
        <v>92</v>
      </c>
      <c r="EC2" s="8" t="s">
        <v>93</v>
      </c>
      <c r="ED2" s="9" t="s">
        <v>94</v>
      </c>
      <c r="EE2" s="68" t="s">
        <v>76</v>
      </c>
      <c r="EF2" s="69" t="s">
        <v>77</v>
      </c>
      <c r="EG2" s="6" t="s">
        <v>80</v>
      </c>
      <c r="EH2" s="6" t="s">
        <v>81</v>
      </c>
      <c r="EI2" s="6" t="s">
        <v>81</v>
      </c>
      <c r="EJ2" s="6" t="s">
        <v>82</v>
      </c>
      <c r="EK2" s="6" t="s">
        <v>83</v>
      </c>
      <c r="EL2" s="6" t="s">
        <v>84</v>
      </c>
      <c r="EM2" s="6" t="s">
        <v>78</v>
      </c>
      <c r="EN2" s="6" t="s">
        <v>85</v>
      </c>
      <c r="EO2" s="6" t="s">
        <v>86</v>
      </c>
      <c r="EP2" s="6" t="s">
        <v>87</v>
      </c>
      <c r="EQ2" s="7" t="s">
        <v>88</v>
      </c>
      <c r="ER2" s="8" t="s">
        <v>89</v>
      </c>
      <c r="ES2" s="7" t="s">
        <v>48</v>
      </c>
      <c r="ET2" s="7" t="s">
        <v>49</v>
      </c>
      <c r="EU2" s="8" t="s">
        <v>95</v>
      </c>
      <c r="EV2" s="8" t="s">
        <v>91</v>
      </c>
      <c r="EW2" s="8" t="s">
        <v>92</v>
      </c>
      <c r="EX2" s="8" t="s">
        <v>93</v>
      </c>
      <c r="EY2" s="9" t="s">
        <v>94</v>
      </c>
      <c r="EZ2" s="68" t="s">
        <v>76</v>
      </c>
      <c r="FA2" s="69" t="s">
        <v>77</v>
      </c>
      <c r="FB2" s="6" t="s">
        <v>80</v>
      </c>
      <c r="FC2" s="6" t="s">
        <v>81</v>
      </c>
      <c r="FD2" s="6" t="s">
        <v>81</v>
      </c>
      <c r="FE2" s="6" t="s">
        <v>82</v>
      </c>
      <c r="FF2" s="6" t="s">
        <v>83</v>
      </c>
      <c r="FG2" s="6" t="s">
        <v>84</v>
      </c>
      <c r="FH2" s="6" t="s">
        <v>78</v>
      </c>
      <c r="FI2" s="6" t="s">
        <v>85</v>
      </c>
      <c r="FJ2" s="6" t="s">
        <v>86</v>
      </c>
      <c r="FK2" s="6" t="s">
        <v>87</v>
      </c>
      <c r="FL2" s="7" t="s">
        <v>88</v>
      </c>
      <c r="FM2" s="8" t="s">
        <v>89</v>
      </c>
      <c r="FN2" s="7" t="s">
        <v>48</v>
      </c>
      <c r="FO2" s="7" t="s">
        <v>49</v>
      </c>
      <c r="FP2" s="8" t="s">
        <v>96</v>
      </c>
      <c r="FQ2" s="8" t="s">
        <v>91</v>
      </c>
      <c r="FR2" s="8" t="s">
        <v>92</v>
      </c>
      <c r="FS2" s="8" t="s">
        <v>93</v>
      </c>
      <c r="FT2" s="9" t="s">
        <v>94</v>
      </c>
      <c r="FU2" s="68" t="s">
        <v>76</v>
      </c>
      <c r="FV2" s="69" t="s">
        <v>77</v>
      </c>
      <c r="FW2" s="6" t="s">
        <v>80</v>
      </c>
      <c r="FX2" s="6" t="s">
        <v>81</v>
      </c>
      <c r="FY2" s="6" t="s">
        <v>81</v>
      </c>
      <c r="FZ2" s="6" t="s">
        <v>82</v>
      </c>
      <c r="GA2" s="6" t="s">
        <v>83</v>
      </c>
      <c r="GB2" s="6" t="s">
        <v>84</v>
      </c>
      <c r="GC2" s="6" t="s">
        <v>78</v>
      </c>
      <c r="GD2" s="6" t="s">
        <v>85</v>
      </c>
      <c r="GE2" s="6" t="s">
        <v>86</v>
      </c>
      <c r="GF2" s="6" t="s">
        <v>87</v>
      </c>
      <c r="GG2" s="7" t="s">
        <v>88</v>
      </c>
      <c r="GH2" s="8" t="s">
        <v>89</v>
      </c>
      <c r="GI2" s="7" t="s">
        <v>48</v>
      </c>
      <c r="GJ2" s="7" t="s">
        <v>49</v>
      </c>
      <c r="GK2" s="8" t="s">
        <v>95</v>
      </c>
      <c r="GL2" s="8" t="s">
        <v>91</v>
      </c>
      <c r="GM2" s="8" t="s">
        <v>92</v>
      </c>
      <c r="GN2" s="8" t="s">
        <v>93</v>
      </c>
      <c r="GO2" s="8" t="s">
        <v>94</v>
      </c>
      <c r="GP2" s="68" t="s">
        <v>76</v>
      </c>
      <c r="GQ2" s="69" t="s">
        <v>77</v>
      </c>
      <c r="GR2" s="6" t="s">
        <v>80</v>
      </c>
      <c r="GS2" s="6" t="s">
        <v>81</v>
      </c>
      <c r="GT2" s="6" t="s">
        <v>81</v>
      </c>
      <c r="GU2" s="6" t="s">
        <v>82</v>
      </c>
      <c r="GV2" s="6" t="s">
        <v>83</v>
      </c>
      <c r="GW2" s="6" t="s">
        <v>84</v>
      </c>
      <c r="GX2" s="6" t="s">
        <v>78</v>
      </c>
      <c r="GY2" s="6" t="s">
        <v>85</v>
      </c>
      <c r="GZ2" s="6" t="s">
        <v>86</v>
      </c>
      <c r="HA2" s="6" t="s">
        <v>87</v>
      </c>
      <c r="HB2" s="7" t="s">
        <v>88</v>
      </c>
      <c r="HC2" s="8" t="s">
        <v>89</v>
      </c>
      <c r="HD2" s="7" t="s">
        <v>48</v>
      </c>
      <c r="HE2" s="7" t="s">
        <v>49</v>
      </c>
      <c r="HF2" s="8" t="s">
        <v>95</v>
      </c>
      <c r="HG2" s="8" t="s">
        <v>91</v>
      </c>
      <c r="HH2" s="8" t="s">
        <v>92</v>
      </c>
      <c r="HI2" s="8" t="s">
        <v>93</v>
      </c>
      <c r="HJ2" s="9" t="s">
        <v>94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323.20040177531774</v>
      </c>
      <c r="T3" s="59">
        <f>IF('Données projet'!E9&gt;30,$R$33-$H$33,LOOKUP('Données projet'!$E$9,$A$3:$A$203,R3:R203)-LOOKUP('Données projet'!$E$9,$A$3:$A$203,$H$3:$H$203))</f>
        <v>402.87981443974337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355.09162485318728</v>
      </c>
      <c r="AO3" s="59">
        <f>IF('Données projet'!E10&gt;30,$AM$33-$H$33,LOOKUP('Données projet'!$E$10,$A$3:$A$203,AM3:AM203)-LOOKUP('Données projet'!$E$10,$A$3:$A$203,$H$3:$H$203))</f>
        <v>320.06572891923685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425.47148407510412</v>
      </c>
      <c r="BJ3" s="59">
        <f>IF('Données projet'!E11&gt;30,$BH$33-$H$33,LOOKUP('Données projet'!$E$11,$A$3:$A$203,BH3:BH203)-LOOKUP('Données projet'!$E$11,$A$3:$A$203,$H$3:$H$203))</f>
        <v>308.54448799922471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9.4117948717948714</v>
      </c>
      <c r="N4" s="13">
        <f>IF('Données projet'!$A$36&gt;35,N3+M4-V3,IF(A4&lt;'Données projet'!$A$36,$K$205^A4,IF(A4='Données projet'!$A$36,'Données projet'!$B$36,N3+M4-V3)))</f>
        <v>1.3909694153327172</v>
      </c>
      <c r="O4" s="13">
        <f>N4*VLOOKUP('Données projet'!$B$9,Paramètres!$A$1:$I$89,3,0)*VLOOKUP('Données projet'!$B$9,Paramètres!$A$1:$I$89,5,0)</f>
        <v>0.83179971036896505</v>
      </c>
      <c r="P4" s="13">
        <f>EXP(-1.0587+0.8836*LN(O4)+0.284)</f>
        <v>0.39163423183147406</v>
      </c>
      <c r="Q4" s="20">
        <f t="shared" ref="Q4:Q34" si="2">(O4+P4)*0.475*44/12</f>
        <v>2.1308141159990979</v>
      </c>
      <c r="R4" s="59">
        <f t="shared" si="0"/>
        <v>260.01970300488796</v>
      </c>
      <c r="S4" s="59">
        <f ca="1">AVERAGE(OFFSET($R$3,0,0,'Données projet'!$E$9+1,1))-AVERAGE(OFFSET($H$3,0,0,'Données projet'!$E$9+1,1))</f>
        <v>323.20040177531774</v>
      </c>
      <c r="T4" s="59">
        <f>$T$3</f>
        <v>402.87981443974337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6.7360323886639675</v>
      </c>
      <c r="AI4" s="13">
        <f>IF('Données projet'!$A$62&gt;35,AI3+AH4-AQ3,IF(A4&lt;'Données projet'!$A$62,$AF$205^A4,IF(A4='Données projet'!$A$62,'Données projet'!$B$62,AI3+AH4-AQ3)))</f>
        <v>1.2909310311160476</v>
      </c>
      <c r="AJ4" s="13">
        <f>AI4*VLOOKUP('Données projet'!$B$10,Paramètres!$A$1:$I$89,3,0)*VLOOKUP('Données projet'!$B$10,Paramètres!$A$1:$I$89,5,0)</f>
        <v>0.77197675660739651</v>
      </c>
      <c r="AK4" s="13">
        <f>EXP(-1.0587+0.8836*LN(AJ4)+0.284)</f>
        <v>0.36663942027891244</v>
      </c>
      <c r="AL4" s="20">
        <f t="shared" ref="AL4:AL67" si="4">(AJ4+AK4)*0.475*44/12</f>
        <v>1.9830898414103215</v>
      </c>
      <c r="AM4" s="59">
        <f t="shared" ref="AM4:AM67" si="5">AL4+(AD4+AE4)*44/12</f>
        <v>259.87197873029919</v>
      </c>
      <c r="AN4" s="59">
        <f ca="1">AVERAGE(OFFSET($AM$3,0,0,'Données projet'!$E$10+1,1))-AVERAGE(OFFSET($H$3,0,0,'Données projet'!$E$10+1,1))</f>
        <v>355.09162485318728</v>
      </c>
      <c r="AO4" s="59">
        <f>$AO$3</f>
        <v>320.06572891923685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4.0628205128205126</v>
      </c>
      <c r="BD4" s="12">
        <f>IF('Données projet'!$A$88&gt;35,BD3+BC4-BL3,IF(A4&lt;'Données projet'!$A$88,$BA$205^A4,IF(A4='Données projet'!$A$88,'Données projet'!$B$88,BD3+BC4-BL3)))</f>
        <v>1.1736311550444201</v>
      </c>
      <c r="BE4" s="13">
        <f>BD4*VLOOKUP('Données projet'!$B$11,Paramètres!$A$1:$I$89,3,0)*VLOOKUP('Données projet'!$B$11,Paramètres!$A$1:$I$89,5,0)</f>
        <v>1.1900619912150421</v>
      </c>
      <c r="BF4" s="13">
        <f>EXP(-1.0587+0.8836*LN(BE4)+0.284)</f>
        <v>0.53743426225295832</v>
      </c>
      <c r="BG4" s="20">
        <f t="shared" ref="BG4:BG67" si="7">(BE4+BF4)*0.475*44/12</f>
        <v>3.0087226414567669</v>
      </c>
      <c r="BH4" s="59">
        <f t="shared" ref="BH4:BH67" si="8">BG4+(AY4+AZ4)*44/12</f>
        <v>260.89761153034561</v>
      </c>
      <c r="BI4" s="59">
        <f ca="1">AVERAGE(OFFSET($BH$3,0,0,'Données projet'!$E$11+1,1))-AVERAGE(OFFSET($H$3,0,0,'Données projet'!$E$11+1,1))</f>
        <v>425.47148407510412</v>
      </c>
      <c r="BJ4" s="59">
        <f>$BJ$3</f>
        <v>308.54448799922471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9.4117948717948714</v>
      </c>
      <c r="N5" s="13">
        <f>IF('Données projet'!$A$36&gt;35,N4+M5-V4,IF(A5&lt;'Données projet'!$A$36,$K$205^A5,IF(A5='Données projet'!$A$36,'Données projet'!$B$36,N4+M5-V4)))</f>
        <v>1.9347959143910411</v>
      </c>
      <c r="O5" s="13">
        <f>N5*VLOOKUP('Données projet'!$B$9,Paramètres!$A$1:$I$89,3,0)*VLOOKUP('Données projet'!$B$9,Paramètres!$A$1:$I$89,5,0)</f>
        <v>1.1570079568058427</v>
      </c>
      <c r="P5" s="13">
        <f t="shared" ref="P5:P68" si="33">EXP(-1.0587+0.8836*LN(O5)+0.284)</f>
        <v>0.52422298600197004</v>
      </c>
      <c r="Q5" s="20">
        <f t="shared" si="2"/>
        <v>2.9281438920569403</v>
      </c>
      <c r="R5" s="59">
        <f t="shared" si="0"/>
        <v>262.03925500316808</v>
      </c>
      <c r="S5" s="59">
        <f ca="1">AVERAGE(OFFSET($R$3,0,0,'Données projet'!$E$9+1,1))-AVERAGE(OFFSET($H$3,0,0,'Données projet'!$E$9+1,1))</f>
        <v>323.20040177531774</v>
      </c>
      <c r="T5" s="59">
        <f t="shared" ref="T5:T68" si="34">$T$3</f>
        <v>402.87981443974337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6.7360323886639675</v>
      </c>
      <c r="AI5" s="13">
        <f>IF('Données projet'!$A$62&gt;35,AI4+AH5-AQ4,IF(A5&lt;'Données projet'!$A$62,$AF$205^A5,IF(A5='Données projet'!$A$62,'Données projet'!$B$62,AI4+AH5-AQ4)))</f>
        <v>1.6665029270983418</v>
      </c>
      <c r="AJ5" s="13">
        <f>AI5*VLOOKUP('Données projet'!$B$10,Paramètres!$A$1:$I$89,3,0)*VLOOKUP('Données projet'!$B$10,Paramètres!$A$1:$I$89,5,0)</f>
        <v>0.99656875040480852</v>
      </c>
      <c r="AK5" s="13">
        <f t="shared" ref="AK5:AK68" si="35">EXP(-1.0587+0.8836*LN(AJ5)+0.284)</f>
        <v>0.45944452864607926</v>
      </c>
      <c r="AL5" s="20">
        <f t="shared" si="4"/>
        <v>2.5358897943469625</v>
      </c>
      <c r="AM5" s="59">
        <f t="shared" si="5"/>
        <v>261.64700090545813</v>
      </c>
      <c r="AN5" s="59">
        <f ca="1">AVERAGE(OFFSET($AM$3,0,0,'Données projet'!$E$10+1,1))-AVERAGE(OFFSET($H$3,0,0,'Données projet'!$E$10+1,1))</f>
        <v>355.09162485318728</v>
      </c>
      <c r="AO5" s="59">
        <f t="shared" ref="AO5:AO68" si="36">$AO$3</f>
        <v>320.06572891923685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4.0628205128205126</v>
      </c>
      <c r="BD5" s="12">
        <f>IF('Données projet'!$A$88&gt;35,BD4+BC5-BL4,IF(A5&lt;'Données projet'!$A$88,$BA$205^A5,IF(A5='Données projet'!$A$88,'Données projet'!$B$88,BD4+BC5-BL4)))</f>
        <v>1.3774100880908995</v>
      </c>
      <c r="BE5" s="13">
        <f>BD5*VLOOKUP('Données projet'!$B$11,Paramètres!$A$1:$I$89,3,0)*VLOOKUP('Données projet'!$B$11,Paramètres!$A$1:$I$89,5,0)</f>
        <v>1.3966938293241722</v>
      </c>
      <c r="BF5" s="13">
        <f t="shared" ref="BF5:BF68" si="37">EXP(-1.0587+0.8836*LN(BE5)+0.284)</f>
        <v>0.61910384026408283</v>
      </c>
      <c r="BG5" s="20">
        <f t="shared" si="7"/>
        <v>3.5108476078662108</v>
      </c>
      <c r="BH5" s="59">
        <f t="shared" si="8"/>
        <v>262.62195871897734</v>
      </c>
      <c r="BI5" s="59">
        <f ca="1">AVERAGE(OFFSET($BH$3,0,0,'Données projet'!$E$11+1,1))-AVERAGE(OFFSET($H$3,0,0,'Données projet'!$E$11+1,1))</f>
        <v>425.47148407510412</v>
      </c>
      <c r="BJ5" s="59">
        <f t="shared" ref="BJ5:BJ68" si="38">$BJ$3</f>
        <v>308.54448799922471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9.4117948717948714</v>
      </c>
      <c r="N6" s="13">
        <f>IF('Données projet'!$A$36&gt;35,N5+M6-V5,IF(A6&lt;'Données projet'!$A$36,$K$205^A6,IF(A6='Données projet'!$A$36,'Données projet'!$B$36,N5+M6-V5)))</f>
        <v>2.6912419418286366</v>
      </c>
      <c r="O6" s="13">
        <f>N6*VLOOKUP('Données projet'!$B$9,Paramètres!$A$1:$I$89,3,0)*VLOOKUP('Données projet'!$B$9,Paramètres!$A$1:$I$89,5,0)</f>
        <v>1.6093626812135247</v>
      </c>
      <c r="P6" s="13">
        <f t="shared" si="33"/>
        <v>0.70169999636568137</v>
      </c>
      <c r="Q6" s="20">
        <f t="shared" si="2"/>
        <v>4.0251008301171156</v>
      </c>
      <c r="R6" s="59">
        <f t="shared" si="0"/>
        <v>264.35843416345045</v>
      </c>
      <c r="S6" s="59">
        <f ca="1">AVERAGE(OFFSET($R$3,0,0,'Données projet'!$E$9+1,1))-AVERAGE(OFFSET($H$3,0,0,'Données projet'!$E$9+1,1))</f>
        <v>323.20040177531774</v>
      </c>
      <c r="T6" s="59">
        <f t="shared" si="34"/>
        <v>402.87981443974337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6.7360323886639675</v>
      </c>
      <c r="AI6" s="13">
        <f>IF('Données projet'!$A$62&gt;35,AI5+AH6-AQ5,IF(A6&lt;'Données projet'!$A$62,$AF$205^A6,IF(A6='Données projet'!$A$62,'Données projet'!$B$62,AI5+AH6-AQ5)))</f>
        <v>2.1513403420369737</v>
      </c>
      <c r="AJ6" s="13">
        <f>AI6*VLOOKUP('Données projet'!$B$10,Paramètres!$A$1:$I$89,3,0)*VLOOKUP('Données projet'!$B$10,Paramètres!$A$1:$I$89,5,0)</f>
        <v>1.2865015245381104</v>
      </c>
      <c r="AK6" s="13">
        <f t="shared" si="35"/>
        <v>0.57574080480008571</v>
      </c>
      <c r="AL6" s="20">
        <f t="shared" si="4"/>
        <v>3.2434053902640243</v>
      </c>
      <c r="AM6" s="59">
        <f t="shared" si="5"/>
        <v>263.57673872359732</v>
      </c>
      <c r="AN6" s="59">
        <f ca="1">AVERAGE(OFFSET($AM$3,0,0,'Données projet'!$E$10+1,1))-AVERAGE(OFFSET($H$3,0,0,'Données projet'!$E$10+1,1))</f>
        <v>355.09162485318728</v>
      </c>
      <c r="AO6" s="59">
        <f t="shared" si="36"/>
        <v>320.06572891923685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4.0628205128205126</v>
      </c>
      <c r="BD6" s="12">
        <f>IF('Données projet'!$A$88&gt;35,BD5+BC6-BL5,IF(A6&lt;'Données projet'!$A$88,$BA$205^A6,IF(A6='Données projet'!$A$88,'Données projet'!$B$88,BD5+BC6-BL5)))</f>
        <v>1.6165713926559588</v>
      </c>
      <c r="BE6" s="13">
        <f>BD6*VLOOKUP('Données projet'!$B$11,Paramètres!$A$1:$I$89,3,0)*VLOOKUP('Données projet'!$B$11,Paramètres!$A$1:$I$89,5,0)</f>
        <v>1.6392033921531424</v>
      </c>
      <c r="BF6" s="13">
        <f t="shared" si="37"/>
        <v>0.71318408957211055</v>
      </c>
      <c r="BG6" s="20">
        <f t="shared" si="7"/>
        <v>4.0970748640048145</v>
      </c>
      <c r="BH6" s="59">
        <f t="shared" si="8"/>
        <v>264.43040819733812</v>
      </c>
      <c r="BI6" s="59">
        <f ca="1">AVERAGE(OFFSET($BH$3,0,0,'Données projet'!$E$11+1,1))-AVERAGE(OFFSET($H$3,0,0,'Données projet'!$E$11+1,1))</f>
        <v>425.47148407510412</v>
      </c>
      <c r="BJ6" s="59">
        <f t="shared" si="38"/>
        <v>308.54448799922471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9.4117948717948714</v>
      </c>
      <c r="N7" s="13">
        <f>IF('Données projet'!$A$36&gt;35,N6+M7-V6,IF(A7&lt;'Données projet'!$A$36,$K$205^A7,IF(A7='Données projet'!$A$36,'Données projet'!$B$36,N6+M7-V6)))</f>
        <v>3.7434352303442648</v>
      </c>
      <c r="O7" s="13">
        <f>N7*VLOOKUP('Données projet'!$B$9,Paramètres!$A$1:$I$89,3,0)*VLOOKUP('Données projet'!$B$9,Paramètres!$A$1:$I$89,5,0)</f>
        <v>2.2385742677458706</v>
      </c>
      <c r="P7" s="13">
        <f t="shared" si="33"/>
        <v>0.93926229495351976</v>
      </c>
      <c r="Q7" s="20">
        <f t="shared" si="2"/>
        <v>5.5347320133681039</v>
      </c>
      <c r="R7" s="59">
        <f t="shared" si="0"/>
        <v>267.09028756892366</v>
      </c>
      <c r="S7" s="59">
        <f ca="1">AVERAGE(OFFSET($R$3,0,0,'Données projet'!$E$9+1,1))-AVERAGE(OFFSET($H$3,0,0,'Données projet'!$E$9+1,1))</f>
        <v>323.20040177531774</v>
      </c>
      <c r="T7" s="59">
        <f t="shared" si="34"/>
        <v>402.87981443974337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6.7360323886639675</v>
      </c>
      <c r="AI7" s="13">
        <f>IF('Données projet'!$A$62&gt;35,AI6+AH7-AQ6,IF(A7&lt;'Données projet'!$A$62,$AF$205^A7,IF(A7='Données projet'!$A$62,'Données projet'!$B$62,AI6+AH7-AQ6)))</f>
        <v>2.777232006027341</v>
      </c>
      <c r="AJ7" s="13">
        <f>AI7*VLOOKUP('Données projet'!$B$10,Paramètres!$A$1:$I$89,3,0)*VLOOKUP('Données projet'!$B$10,Paramètres!$A$1:$I$89,5,0)</f>
        <v>1.66078473960435</v>
      </c>
      <c r="AK7" s="13">
        <f t="shared" si="35"/>
        <v>0.7214744188785307</v>
      </c>
      <c r="AL7" s="20">
        <f t="shared" si="4"/>
        <v>4.1491013676910162</v>
      </c>
      <c r="AM7" s="59">
        <f t="shared" si="5"/>
        <v>265.70465692324655</v>
      </c>
      <c r="AN7" s="59">
        <f ca="1">AVERAGE(OFFSET($AM$3,0,0,'Données projet'!$E$10+1,1))-AVERAGE(OFFSET($H$3,0,0,'Données projet'!$E$10+1,1))</f>
        <v>355.09162485318728</v>
      </c>
      <c r="AO7" s="59">
        <f t="shared" si="36"/>
        <v>320.06572891923685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4.0628205128205126</v>
      </c>
      <c r="BD7" s="12">
        <f>IF('Données projet'!$A$88&gt;35,BD6+BC7-BL6,IF(A7&lt;'Données projet'!$A$88,$BA$205^A7,IF(A7='Données projet'!$A$88,'Données projet'!$B$88,BD6+BC7-BL6)))</f>
        <v>1.8972585507745794</v>
      </c>
      <c r="BE7" s="13">
        <f>BD7*VLOOKUP('Données projet'!$B$11,Paramètres!$A$1:$I$89,3,0)*VLOOKUP('Données projet'!$B$11,Paramètres!$A$1:$I$89,5,0)</f>
        <v>1.9238201704854236</v>
      </c>
      <c r="BF7" s="13">
        <f t="shared" si="37"/>
        <v>0.82156096043894689</v>
      </c>
      <c r="BG7" s="20">
        <f t="shared" si="7"/>
        <v>4.7815388030266117</v>
      </c>
      <c r="BH7" s="59">
        <f t="shared" si="8"/>
        <v>266.33709435858214</v>
      </c>
      <c r="BI7" s="59">
        <f ca="1">AVERAGE(OFFSET($BH$3,0,0,'Données projet'!$E$11+1,1))-AVERAGE(OFFSET($H$3,0,0,'Données projet'!$E$11+1,1))</f>
        <v>425.47148407510412</v>
      </c>
      <c r="BJ7" s="59">
        <f t="shared" si="38"/>
        <v>308.54448799922471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9.4117948717948714</v>
      </c>
      <c r="N8" s="13">
        <f>IF('Données projet'!$A$36&gt;35,N7+M8-V7,IF(A8&lt;'Données projet'!$A$36,$K$205^A8,IF(A8='Données projet'!$A$36,'Données projet'!$B$36,N7+M8-V7)))</f>
        <v>5.2070039136878581</v>
      </c>
      <c r="O8" s="13">
        <f>N8*VLOOKUP('Données projet'!$B$9,Paramètres!$A$1:$I$89,3,0)*VLOOKUP('Données projet'!$B$9,Paramètres!$A$1:$I$89,5,0)</f>
        <v>3.1137883403853395</v>
      </c>
      <c r="P8" s="13">
        <f t="shared" si="33"/>
        <v>1.2572519072119237</v>
      </c>
      <c r="Q8" s="20">
        <f t="shared" si="2"/>
        <v>7.6128950978985666</v>
      </c>
      <c r="R8" s="59">
        <f t="shared" si="0"/>
        <v>270.39067287567633</v>
      </c>
      <c r="S8" s="59">
        <f ca="1">AVERAGE(OFFSET($R$3,0,0,'Données projet'!$E$9+1,1))-AVERAGE(OFFSET($H$3,0,0,'Données projet'!$E$9+1,1))</f>
        <v>323.20040177531774</v>
      </c>
      <c r="T8" s="59">
        <f t="shared" si="34"/>
        <v>402.87981443974337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6.7360323886639675</v>
      </c>
      <c r="AI8" s="13">
        <f>IF('Données projet'!$A$62&gt;35,AI7+AH8-AQ7,IF(A8&lt;'Données projet'!$A$62,$AF$205^A8,IF(A8='Données projet'!$A$62,'Données projet'!$B$62,AI7+AH8-AQ7)))</f>
        <v>3.5852149771893647</v>
      </c>
      <c r="AJ8" s="13">
        <f>AI8*VLOOKUP('Données projet'!$B$10,Paramètres!$A$1:$I$89,3,0)*VLOOKUP('Données projet'!$B$10,Paramètres!$A$1:$I$89,5,0)</f>
        <v>2.1439585563592405</v>
      </c>
      <c r="AK8" s="13">
        <f t="shared" si="35"/>
        <v>0.90409665730893507</v>
      </c>
      <c r="AL8" s="20">
        <f t="shared" si="4"/>
        <v>5.3086961638054051</v>
      </c>
      <c r="AM8" s="59">
        <f t="shared" si="5"/>
        <v>268.08647394158317</v>
      </c>
      <c r="AN8" s="59">
        <f ca="1">AVERAGE(OFFSET($AM$3,0,0,'Données projet'!$E$10+1,1))-AVERAGE(OFFSET($H$3,0,0,'Données projet'!$E$10+1,1))</f>
        <v>355.09162485318728</v>
      </c>
      <c r="AO8" s="59">
        <f t="shared" si="36"/>
        <v>320.06572891923685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4.0628205128205126</v>
      </c>
      <c r="BD8" s="12">
        <f>IF('Données projet'!$A$88&gt;35,BD7+BC8-BL7,IF(A8&lt;'Données projet'!$A$88,$BA$205^A8,IF(A8='Données projet'!$A$88,'Données projet'!$B$88,BD7+BC8-BL7)))</f>
        <v>2.2266817443634719</v>
      </c>
      <c r="BE8" s="13">
        <f>BD8*VLOOKUP('Données projet'!$B$11,Paramètres!$A$1:$I$89,3,0)*VLOOKUP('Données projet'!$B$11,Paramètres!$A$1:$I$89,5,0)</f>
        <v>2.2578552887845609</v>
      </c>
      <c r="BF8" s="13">
        <f t="shared" si="37"/>
        <v>0.94640699587440658</v>
      </c>
      <c r="BG8" s="20">
        <f t="shared" si="7"/>
        <v>5.5807568124477021</v>
      </c>
      <c r="BH8" s="59">
        <f t="shared" si="8"/>
        <v>268.35853459022547</v>
      </c>
      <c r="BI8" s="59">
        <f ca="1">AVERAGE(OFFSET($BH$3,0,0,'Données projet'!$E$11+1,1))-AVERAGE(OFFSET($H$3,0,0,'Données projet'!$E$11+1,1))</f>
        <v>425.47148407510412</v>
      </c>
      <c r="BJ8" s="59">
        <f t="shared" si="38"/>
        <v>308.54448799922471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9.4117948717948714</v>
      </c>
      <c r="N9" s="13">
        <f>IF('Données projet'!$A$36&gt;35,N8+M9-V8,IF(A9&lt;'Données projet'!$A$36,$K$205^A9,IF(A9='Données projet'!$A$36,'Données projet'!$B$36,N8+M9-V8)))</f>
        <v>7.2427831894575698</v>
      </c>
      <c r="O9" s="13">
        <f>N9*VLOOKUP('Données projet'!$B$9,Paramètres!$A$1:$I$89,3,0)*VLOOKUP('Données projet'!$B$9,Paramètres!$A$1:$I$89,5,0)</f>
        <v>4.3311843472956273</v>
      </c>
      <c r="P9" s="13">
        <f t="shared" si="33"/>
        <v>1.6828977024636564</v>
      </c>
      <c r="Q9" s="20">
        <f t="shared" si="2"/>
        <v>10.474526236664085</v>
      </c>
      <c r="R9" s="59">
        <f t="shared" si="0"/>
        <v>274.47452623666408</v>
      </c>
      <c r="S9" s="59">
        <f ca="1">AVERAGE(OFFSET($R$3,0,0,'Données projet'!$E$9+1,1))-AVERAGE(OFFSET($H$3,0,0,'Données projet'!$E$9+1,1))</f>
        <v>323.20040177531774</v>
      </c>
      <c r="T9" s="59">
        <f t="shared" si="34"/>
        <v>402.87981443974337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6.7360323886639675</v>
      </c>
      <c r="AI9" s="13">
        <f>IF('Données projet'!$A$62&gt;35,AI8+AH9-AQ8,IF(A9&lt;'Données projet'!$A$62,$AF$205^A9,IF(A9='Données projet'!$A$62,'Données projet'!$B$62,AI8+AH9-AQ8)))</f>
        <v>4.6282652672757632</v>
      </c>
      <c r="AJ9" s="13">
        <f>AI9*VLOOKUP('Données projet'!$B$10,Paramètres!$A$1:$I$89,3,0)*VLOOKUP('Données projet'!$B$10,Paramètres!$A$1:$I$89,5,0)</f>
        <v>2.7677026298309064</v>
      </c>
      <c r="AK9" s="13">
        <f t="shared" si="35"/>
        <v>1.1329449033380179</v>
      </c>
      <c r="AL9" s="20">
        <f t="shared" si="4"/>
        <v>6.7936277869358754</v>
      </c>
      <c r="AM9" s="59">
        <f t="shared" si="5"/>
        <v>270.79362778693587</v>
      </c>
      <c r="AN9" s="59">
        <f ca="1">AVERAGE(OFFSET($AM$3,0,0,'Données projet'!$E$10+1,1))-AVERAGE(OFFSET($H$3,0,0,'Données projet'!$E$10+1,1))</f>
        <v>355.09162485318728</v>
      </c>
      <c r="AO9" s="59">
        <f t="shared" si="36"/>
        <v>320.06572891923685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4.0628205128205126</v>
      </c>
      <c r="BD9" s="12">
        <f>IF('Données projet'!$A$88&gt;35,BD8+BC9-BL8,IF(A9&lt;'Données projet'!$A$88,$BA$205^A9,IF(A9='Données projet'!$A$88,'Données projet'!$B$88,BD8+BC9-BL8)))</f>
        <v>2.6133030675536255</v>
      </c>
      <c r="BE9" s="13">
        <f>BD9*VLOOKUP('Données projet'!$B$11,Paramètres!$A$1:$I$89,3,0)*VLOOKUP('Données projet'!$B$11,Paramètres!$A$1:$I$89,5,0)</f>
        <v>2.6498893104993768</v>
      </c>
      <c r="BF9" s="13">
        <f t="shared" si="37"/>
        <v>1.0902248828394525</v>
      </c>
      <c r="BG9" s="20">
        <f t="shared" si="7"/>
        <v>6.5140322200651282</v>
      </c>
      <c r="BH9" s="59">
        <f t="shared" si="8"/>
        <v>270.51403222006513</v>
      </c>
      <c r="BI9" s="59">
        <f ca="1">AVERAGE(OFFSET($BH$3,0,0,'Données projet'!$E$11+1,1))-AVERAGE(OFFSET($H$3,0,0,'Données projet'!$E$11+1,1))</f>
        <v>425.47148407510412</v>
      </c>
      <c r="BJ9" s="59">
        <f t="shared" si="38"/>
        <v>308.54448799922471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9.4117948717948714</v>
      </c>
      <c r="N10" s="13">
        <f>IF('Données projet'!$A$36&gt;35,N9+M10-V9,IF(A10&lt;'Données projet'!$A$36,$K$205^A10,IF(A10='Données projet'!$A$36,'Données projet'!$B$36,N9+M10-V9)))</f>
        <v>10.07448989842143</v>
      </c>
      <c r="O10" s="13">
        <f>N10*VLOOKUP('Données projet'!$B$9,Paramètres!$A$1:$I$89,3,0)*VLOOKUP('Données projet'!$B$9,Paramètres!$A$1:$I$89,5,0)</f>
        <v>6.0245449592560147</v>
      </c>
      <c r="P10" s="13">
        <f t="shared" si="33"/>
        <v>2.2526469522229675</v>
      </c>
      <c r="Q10" s="20">
        <f t="shared" si="2"/>
        <v>14.416109245825893</v>
      </c>
      <c r="R10" s="59">
        <f t="shared" si="0"/>
        <v>279.63833146804814</v>
      </c>
      <c r="S10" s="59">
        <f ca="1">AVERAGE(OFFSET($R$3,0,0,'Données projet'!$E$9+1,1))-AVERAGE(OFFSET($H$3,0,0,'Données projet'!$E$9+1,1))</f>
        <v>323.20040177531774</v>
      </c>
      <c r="T10" s="59">
        <f t="shared" si="34"/>
        <v>402.87981443974337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6.7360323886639675</v>
      </c>
      <c r="AI10" s="13">
        <f>IF('Données projet'!$A$62&gt;35,AI9+AH10-AQ9,IF(A10&lt;'Données projet'!$A$62,$AF$205^A10,IF(A10='Données projet'!$A$62,'Données projet'!$B$62,AI9+AH10-AQ9)))</f>
        <v>5.9747712537628903</v>
      </c>
      <c r="AJ10" s="13">
        <f>AI10*VLOOKUP('Données projet'!$B$10,Paramètres!$A$1:$I$89,3,0)*VLOOKUP('Données projet'!$B$10,Paramètres!$A$1:$I$89,5,0)</f>
        <v>3.5729132097502085</v>
      </c>
      <c r="AK10" s="13">
        <f t="shared" si="35"/>
        <v>1.4197200527431988</v>
      </c>
      <c r="AL10" s="20">
        <f t="shared" si="4"/>
        <v>8.6955029321760176</v>
      </c>
      <c r="AM10" s="59">
        <f t="shared" si="5"/>
        <v>273.91772515439823</v>
      </c>
      <c r="AN10" s="59">
        <f ca="1">AVERAGE(OFFSET($AM$3,0,0,'Données projet'!$E$10+1,1))-AVERAGE(OFFSET($H$3,0,0,'Données projet'!$E$10+1,1))</f>
        <v>355.09162485318728</v>
      </c>
      <c r="AO10" s="59">
        <f t="shared" si="36"/>
        <v>320.06572891923685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4.0628205128205126</v>
      </c>
      <c r="BD10" s="12">
        <f>IF('Données projet'!$A$88&gt;35,BD9+BC10-BL9,IF(A10&lt;'Données projet'!$A$88,$BA$205^A10,IF(A10='Données projet'!$A$88,'Données projet'!$B$88,BD9+BC10-BL9)))</f>
        <v>3.067053897654088</v>
      </c>
      <c r="BE10" s="13">
        <f>BD10*VLOOKUP('Données projet'!$B$11,Paramètres!$A$1:$I$89,3,0)*VLOOKUP('Données projet'!$B$11,Paramètres!$A$1:$I$89,5,0)</f>
        <v>3.1099926522212455</v>
      </c>
      <c r="BF10" s="13">
        <f t="shared" si="37"/>
        <v>1.2558976215767859</v>
      </c>
      <c r="BG10" s="20">
        <f t="shared" si="7"/>
        <v>7.6039255601982383</v>
      </c>
      <c r="BH10" s="59">
        <f t="shared" si="8"/>
        <v>272.82614778242049</v>
      </c>
      <c r="BI10" s="59">
        <f ca="1">AVERAGE(OFFSET($BH$3,0,0,'Données projet'!$E$11+1,1))-AVERAGE(OFFSET($H$3,0,0,'Données projet'!$E$11+1,1))</f>
        <v>425.47148407510412</v>
      </c>
      <c r="BJ10" s="59">
        <f t="shared" si="38"/>
        <v>308.54448799922471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9.4117948717948714</v>
      </c>
      <c r="N11" s="13">
        <f>IF('Données projet'!$A$36&gt;35,N10+M11-V10,IF(A11&lt;'Données projet'!$A$36,$K$205^A11,IF(A11='Données projet'!$A$36,'Données projet'!$B$36,N10+M11-V10)))</f>
        <v>14.01330732378262</v>
      </c>
      <c r="O11" s="13">
        <f>N11*VLOOKUP('Données projet'!$B$9,Paramètres!$A$1:$I$89,3,0)*VLOOKUP('Données projet'!$B$9,Paramètres!$A$1:$I$89,5,0)</f>
        <v>8.3799577796220071</v>
      </c>
      <c r="P11" s="13">
        <f t="shared" si="33"/>
        <v>3.0152862434423646</v>
      </c>
      <c r="Q11" s="20">
        <f t="shared" si="2"/>
        <v>19.846716673503781</v>
      </c>
      <c r="R11" s="59">
        <f t="shared" si="0"/>
        <v>286.29116111794826</v>
      </c>
      <c r="S11" s="59">
        <f ca="1">AVERAGE(OFFSET($R$3,0,0,'Données projet'!$E$9+1,1))-AVERAGE(OFFSET($H$3,0,0,'Données projet'!$E$9+1,1))</f>
        <v>323.20040177531774</v>
      </c>
      <c r="T11" s="59">
        <f t="shared" si="34"/>
        <v>402.87981443974337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6.7360323886639675</v>
      </c>
      <c r="AI11" s="13">
        <f>IF('Données projet'!$A$62&gt;35,AI10+AH11-AQ10,IF(A11&lt;'Données projet'!$A$62,$AF$205^A11,IF(A11='Données projet'!$A$62,'Données projet'!$B$62,AI10+AH11-AQ10)))</f>
        <v>7.7130176153026486</v>
      </c>
      <c r="AJ11" s="13">
        <f>AI11*VLOOKUP('Données projet'!$B$10,Paramètres!$A$1:$I$89,3,0)*VLOOKUP('Données projet'!$B$10,Paramètres!$A$1:$I$89,5,0)</f>
        <v>4.6123845339509844</v>
      </c>
      <c r="AK11" s="13">
        <f t="shared" si="35"/>
        <v>1.7790847747516541</v>
      </c>
      <c r="AL11" s="20">
        <f t="shared" si="4"/>
        <v>11.131809045990428</v>
      </c>
      <c r="AM11" s="59">
        <f t="shared" si="5"/>
        <v>277.57625349043491</v>
      </c>
      <c r="AN11" s="59">
        <f ca="1">AVERAGE(OFFSET($AM$3,0,0,'Données projet'!$E$10+1,1))-AVERAGE(OFFSET($H$3,0,0,'Données projet'!$E$10+1,1))</f>
        <v>355.09162485318728</v>
      </c>
      <c r="AO11" s="59">
        <f t="shared" si="36"/>
        <v>320.06572891923685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4.0628205128205126</v>
      </c>
      <c r="BD11" s="12">
        <f>IF('Données projet'!$A$88&gt;35,BD10+BC11-BL10,IF(A11&lt;'Données projet'!$A$88,$BA$205^A11,IF(A11='Données projet'!$A$88,'Données projet'!$B$88,BD10+BC11-BL10)))</f>
        <v>3.5995900084872572</v>
      </c>
      <c r="BE11" s="13">
        <f>BD11*VLOOKUP('Données projet'!$B$11,Paramètres!$A$1:$I$89,3,0)*VLOOKUP('Données projet'!$B$11,Paramètres!$A$1:$I$89,5,0)</f>
        <v>3.6499842686060791</v>
      </c>
      <c r="BF11" s="13">
        <f t="shared" si="37"/>
        <v>1.4467463187725633</v>
      </c>
      <c r="BG11" s="20">
        <f t="shared" si="7"/>
        <v>8.8768057730178018</v>
      </c>
      <c r="BH11" s="59">
        <f t="shared" si="8"/>
        <v>275.32125021746225</v>
      </c>
      <c r="BI11" s="59">
        <f ca="1">AVERAGE(OFFSET($BH$3,0,0,'Données projet'!$E$11+1,1))-AVERAGE(OFFSET($H$3,0,0,'Données projet'!$E$11+1,1))</f>
        <v>425.47148407510412</v>
      </c>
      <c r="BJ11" s="59">
        <f t="shared" si="38"/>
        <v>308.54448799922471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9.4117948717948714</v>
      </c>
      <c r="N12" s="13">
        <f>IF('Données projet'!$A$36&gt;35,N11+M12-V11,IF(A12&lt;'Données projet'!$A$36,$K$205^A12,IF(A12='Données projet'!$A$36,'Données projet'!$B$36,N11+M12-V11)))</f>
        <v>19.492081895039593</v>
      </c>
      <c r="O12" s="13">
        <f>N12*VLOOKUP('Données projet'!$B$9,Paramètres!$A$1:$I$89,3,0)*VLOOKUP('Données projet'!$B$9,Paramètres!$A$1:$I$89,5,0)</f>
        <v>11.656264973233679</v>
      </c>
      <c r="P12" s="13">
        <f t="shared" si="33"/>
        <v>4.0361189847883647</v>
      </c>
      <c r="Q12" s="20">
        <f t="shared" si="2"/>
        <v>27.330902060221728</v>
      </c>
      <c r="R12" s="59">
        <f t="shared" si="0"/>
        <v>294.9975687268884</v>
      </c>
      <c r="S12" s="59">
        <f ca="1">AVERAGE(OFFSET($R$3,0,0,'Données projet'!$E$9+1,1))-AVERAGE(OFFSET($H$3,0,0,'Données projet'!$E$9+1,1))</f>
        <v>323.20040177531774</v>
      </c>
      <c r="T12" s="59">
        <f t="shared" si="34"/>
        <v>402.87981443974337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6.7360323886639675</v>
      </c>
      <c r="AI12" s="13">
        <f>IF('Données projet'!$A$62&gt;35,AI11+AH12-AQ11,IF(A12&lt;'Données projet'!$A$62,$AF$205^A12,IF(A12='Données projet'!$A$62,'Données projet'!$B$62,AI11+AH12-AQ11)))</f>
        <v>9.9569737831388867</v>
      </c>
      <c r="AJ12" s="13">
        <f>AI12*VLOOKUP('Données projet'!$B$10,Paramètres!$A$1:$I$89,3,0)*VLOOKUP('Données projet'!$B$10,Paramètres!$A$1:$I$89,5,0)</f>
        <v>5.9542703223170541</v>
      </c>
      <c r="AK12" s="13">
        <f t="shared" si="35"/>
        <v>2.2294132069469743</v>
      </c>
      <c r="AL12" s="20">
        <f t="shared" si="4"/>
        <v>14.253248813468183</v>
      </c>
      <c r="AM12" s="59">
        <f t="shared" si="5"/>
        <v>281.91991548013488</v>
      </c>
      <c r="AN12" s="59">
        <f ca="1">AVERAGE(OFFSET($AM$3,0,0,'Données projet'!$E$10+1,1))-AVERAGE(OFFSET($H$3,0,0,'Données projet'!$E$10+1,1))</f>
        <v>355.09162485318728</v>
      </c>
      <c r="AO12" s="59">
        <f t="shared" si="36"/>
        <v>320.06572891923685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4.0628205128205126</v>
      </c>
      <c r="BD12" s="12">
        <f>IF('Données projet'!$A$88&gt;35,BD11+BC12-BL11,IF(A12&lt;'Données projet'!$A$88,$BA$205^A12,IF(A12='Données projet'!$A$88,'Données projet'!$B$88,BD11+BC12-BL11)))</f>
        <v>4.2245909793472531</v>
      </c>
      <c r="BE12" s="13">
        <f>BD12*VLOOKUP('Données projet'!$B$11,Paramètres!$A$1:$I$89,3,0)*VLOOKUP('Données projet'!$B$11,Paramètres!$A$1:$I$89,5,0)</f>
        <v>4.283735253058115</v>
      </c>
      <c r="BF12" s="13">
        <f t="shared" si="37"/>
        <v>1.6665967630817691</v>
      </c>
      <c r="BG12" s="20">
        <f t="shared" si="7"/>
        <v>10.363494928110297</v>
      </c>
      <c r="BH12" s="59">
        <f t="shared" si="8"/>
        <v>278.03016159477698</v>
      </c>
      <c r="BI12" s="59">
        <f ca="1">AVERAGE(OFFSET($BH$3,0,0,'Données projet'!$E$11+1,1))-AVERAGE(OFFSET($H$3,0,0,'Données projet'!$E$11+1,1))</f>
        <v>425.47148407510412</v>
      </c>
      <c r="BJ12" s="59">
        <f t="shared" si="38"/>
        <v>308.54448799922471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9.4117948717948714</v>
      </c>
      <c r="N13" s="13">
        <f>IF('Données projet'!$A$36&gt;35,N12+M13-V12,IF(A13&lt;'Données projet'!$A$36,$K$205^A13,IF(A13='Données projet'!$A$36,'Données projet'!$B$36,N12+M13-V12)))</f>
        <v>27.112889757160666</v>
      </c>
      <c r="O13" s="13">
        <f>N13*VLOOKUP('Données projet'!$B$9,Paramètres!$A$1:$I$89,3,0)*VLOOKUP('Données projet'!$B$9,Paramètres!$A$1:$I$89,5,0)</f>
        <v>16.21350807478208</v>
      </c>
      <c r="P13" s="13">
        <f t="shared" si="33"/>
        <v>5.4025572181735821</v>
      </c>
      <c r="Q13" s="20">
        <f t="shared" si="2"/>
        <v>37.647980385231108</v>
      </c>
      <c r="R13" s="59">
        <f t="shared" si="0"/>
        <v>306.53686927411997</v>
      </c>
      <c r="S13" s="59">
        <f ca="1">AVERAGE(OFFSET($R$3,0,0,'Données projet'!$E$9+1,1))-AVERAGE(OFFSET($H$3,0,0,'Données projet'!$E$9+1,1))</f>
        <v>323.20040177531774</v>
      </c>
      <c r="T13" s="59">
        <f t="shared" si="34"/>
        <v>402.87981443974337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6.7360323886639675</v>
      </c>
      <c r="AI13" s="13">
        <f>IF('Données projet'!$A$62&gt;35,AI12+AH13-AQ12,IF(A13&lt;'Données projet'!$A$62,$AF$205^A13,IF(A13='Données projet'!$A$62,'Données projet'!$B$62,AI12+AH13-AQ12)))</f>
        <v>12.853766432662937</v>
      </c>
      <c r="AJ13" s="13">
        <f>AI13*VLOOKUP('Données projet'!$B$10,Paramètres!$A$1:$I$89,3,0)*VLOOKUP('Données projet'!$B$10,Paramètres!$A$1:$I$89,5,0)</f>
        <v>7.6865523267324365</v>
      </c>
      <c r="AK13" s="13">
        <f t="shared" si="35"/>
        <v>2.7937304156871372</v>
      </c>
      <c r="AL13" s="20">
        <f t="shared" si="4"/>
        <v>18.25315910971409</v>
      </c>
      <c r="AM13" s="59">
        <f t="shared" si="5"/>
        <v>287.14204799860295</v>
      </c>
      <c r="AN13" s="59">
        <f ca="1">AVERAGE(OFFSET($AM$3,0,0,'Données projet'!$E$10+1,1))-AVERAGE(OFFSET($H$3,0,0,'Données projet'!$E$10+1,1))</f>
        <v>355.09162485318728</v>
      </c>
      <c r="AO13" s="59">
        <f t="shared" si="36"/>
        <v>320.06572891923685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4.0628205128205126</v>
      </c>
      <c r="BD13" s="12">
        <f>IF('Données projet'!$A$88&gt;35,BD12+BC13-BL12,IF(A13&lt;'Données projet'!$A$88,$BA$205^A13,IF(A13='Données projet'!$A$88,'Données projet'!$B$88,BD12+BC13-BL12)))</f>
        <v>4.9581115906815549</v>
      </c>
      <c r="BE13" s="13">
        <f>BD13*VLOOKUP('Données projet'!$B$11,Paramètres!$A$1:$I$89,3,0)*VLOOKUP('Données projet'!$B$11,Paramètres!$A$1:$I$89,5,0)</f>
        <v>5.0275251529510969</v>
      </c>
      <c r="BF13" s="13">
        <f t="shared" si="37"/>
        <v>1.9198561176026576</v>
      </c>
      <c r="BG13" s="20">
        <f t="shared" si="7"/>
        <v>12.10002237954779</v>
      </c>
      <c r="BH13" s="59">
        <f t="shared" si="8"/>
        <v>280.98891126843665</v>
      </c>
      <c r="BI13" s="59">
        <f ca="1">AVERAGE(OFFSET($BH$3,0,0,'Données projet'!$E$11+1,1))-AVERAGE(OFFSET($H$3,0,0,'Données projet'!$E$11+1,1))</f>
        <v>425.47148407510412</v>
      </c>
      <c r="BJ13" s="59">
        <f t="shared" si="38"/>
        <v>308.54448799922471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9.4117948717948714</v>
      </c>
      <c r="N14" s="13">
        <f>IF('Données projet'!$A$36&gt;35,N13+M14-V13,IF(A14&lt;'Données projet'!$A$36,$K$205^A14,IF(A14='Données projet'!$A$36,'Données projet'!$B$36,N13+M14-V13)))</f>
        <v>37.713200413498193</v>
      </c>
      <c r="O14" s="13">
        <f>N14*VLOOKUP('Données projet'!$B$9,Paramètres!$A$1:$I$89,3,0)*VLOOKUP('Données projet'!$B$9,Paramètres!$A$1:$I$89,5,0)</f>
        <v>22.552493847271922</v>
      </c>
      <c r="P14" s="13">
        <f t="shared" si="33"/>
        <v>7.2316065521467667</v>
      </c>
      <c r="Q14" s="20">
        <f t="shared" si="2"/>
        <v>51.873974862320885</v>
      </c>
      <c r="R14" s="59">
        <f t="shared" si="0"/>
        <v>321.98508597343204</v>
      </c>
      <c r="S14" s="59">
        <f ca="1">AVERAGE(OFFSET($R$3,0,0,'Données projet'!$E$9+1,1))-AVERAGE(OFFSET($H$3,0,0,'Données projet'!$E$9+1,1))</f>
        <v>323.20040177531774</v>
      </c>
      <c r="T14" s="59">
        <f t="shared" si="34"/>
        <v>402.87981443974337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6.7360323886639675</v>
      </c>
      <c r="AI14" s="13">
        <f>IF('Données projet'!$A$62&gt;35,AI13+AH14-AQ13,IF(A14&lt;'Données projet'!$A$62,$AF$205^A14,IF(A14='Données projet'!$A$62,'Données projet'!$B$62,AI13+AH14-AQ13)))</f>
        <v>16.593325954642403</v>
      </c>
      <c r="AJ14" s="13">
        <f>AI14*VLOOKUP('Données projet'!$B$10,Paramètres!$A$1:$I$89,3,0)*VLOOKUP('Données projet'!$B$10,Paramètres!$A$1:$I$89,5,0)</f>
        <v>9.9228089208761574</v>
      </c>
      <c r="AK14" s="13">
        <f t="shared" si="35"/>
        <v>3.5008896561726774</v>
      </c>
      <c r="AL14" s="20">
        <f t="shared" si="4"/>
        <v>23.379608355026718</v>
      </c>
      <c r="AM14" s="59">
        <f t="shared" si="5"/>
        <v>293.49071946613788</v>
      </c>
      <c r="AN14" s="59">
        <f ca="1">AVERAGE(OFFSET($AM$3,0,0,'Données projet'!$E$10+1,1))-AVERAGE(OFFSET($H$3,0,0,'Données projet'!$E$10+1,1))</f>
        <v>355.09162485318728</v>
      </c>
      <c r="AO14" s="59">
        <f t="shared" si="36"/>
        <v>320.06572891923685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4.0628205128205126</v>
      </c>
      <c r="BD14" s="12">
        <f>IF('Données projet'!$A$88&gt;35,BD13+BC14-BL13,IF(A14&lt;'Données projet'!$A$88,$BA$205^A14,IF(A14='Données projet'!$A$88,'Données projet'!$B$88,BD13+BC14-BL13)))</f>
        <v>5.8189942330107201</v>
      </c>
      <c r="BE14" s="13">
        <f>BD14*VLOOKUP('Données projet'!$B$11,Paramètres!$A$1:$I$89,3,0)*VLOOKUP('Données projet'!$B$11,Paramètres!$A$1:$I$89,5,0)</f>
        <v>5.9004601522728706</v>
      </c>
      <c r="BF14" s="13">
        <f t="shared" si="37"/>
        <v>2.2116012666919538</v>
      </c>
      <c r="BG14" s="20">
        <f t="shared" si="7"/>
        <v>14.128506971363736</v>
      </c>
      <c r="BH14" s="59">
        <f t="shared" si="8"/>
        <v>284.23961808247486</v>
      </c>
      <c r="BI14" s="59">
        <f ca="1">AVERAGE(OFFSET($BH$3,0,0,'Données projet'!$E$11+1,1))-AVERAGE(OFFSET($H$3,0,0,'Données projet'!$E$11+1,1))</f>
        <v>425.47148407510412</v>
      </c>
      <c r="BJ14" s="59">
        <f t="shared" si="38"/>
        <v>308.54448799922471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9.4117948717948714</v>
      </c>
      <c r="N15" s="13">
        <f>IF('Données projet'!$A$36&gt;35,N14+M15-V14,IF(A15&lt;'Données projet'!$A$36,$K$205^A15,IF(A15='Données projet'!$A$36,'Données projet'!$B$36,N14+M15-V14)))</f>
        <v>52.457908329489165</v>
      </c>
      <c r="O15" s="13">
        <f>N15*VLOOKUP('Données projet'!$B$9,Paramètres!$A$1:$I$89,3,0)*VLOOKUP('Données projet'!$B$9,Paramètres!$A$1:$I$89,5,0)</f>
        <v>31.369829181034525</v>
      </c>
      <c r="P15" s="13">
        <f t="shared" si="33"/>
        <v>9.6798851383070676</v>
      </c>
      <c r="Q15" s="20">
        <f t="shared" si="2"/>
        <v>71.4949191061866</v>
      </c>
      <c r="R15" s="59">
        <f t="shared" si="0"/>
        <v>342.82825243951993</v>
      </c>
      <c r="S15" s="59">
        <f ca="1">AVERAGE(OFFSET($R$3,0,0,'Données projet'!$E$9+1,1))-AVERAGE(OFFSET($H$3,0,0,'Données projet'!$E$9+1,1))</f>
        <v>323.20040177531774</v>
      </c>
      <c r="T15" s="59">
        <f t="shared" si="34"/>
        <v>402.87981443974337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6.7360323886639675</v>
      </c>
      <c r="AI15" s="13">
        <f>IF('Données projet'!$A$62&gt;35,AI14+AH15-AQ14,IF(A15&lt;'Données projet'!$A$62,$AF$205^A15,IF(A15='Données projet'!$A$62,'Données projet'!$B$62,AI14+AH15-AQ14)))</f>
        <v>21.420839384271193</v>
      </c>
      <c r="AJ15" s="13">
        <f>AI15*VLOOKUP('Données projet'!$B$10,Paramètres!$A$1:$I$89,3,0)*VLOOKUP('Données projet'!$B$10,Paramètres!$A$1:$I$89,5,0)</f>
        <v>12.809661951794174</v>
      </c>
      <c r="AK15" s="13">
        <f t="shared" si="35"/>
        <v>4.3870476248805641</v>
      </c>
      <c r="AL15" s="20">
        <f t="shared" si="4"/>
        <v>29.950935846041833</v>
      </c>
      <c r="AM15" s="59">
        <f t="shared" si="5"/>
        <v>301.28426917937514</v>
      </c>
      <c r="AN15" s="59">
        <f ca="1">AVERAGE(OFFSET($AM$3,0,0,'Données projet'!$E$10+1,1))-AVERAGE(OFFSET($H$3,0,0,'Données projet'!$E$10+1,1))</f>
        <v>355.09162485318728</v>
      </c>
      <c r="AO15" s="59">
        <f t="shared" si="36"/>
        <v>320.06572891923685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4.0628205128205126</v>
      </c>
      <c r="BD15" s="12">
        <f>IF('Données projet'!$A$88&gt;35,BD14+BC15-BL14,IF(A15&lt;'Données projet'!$A$88,$BA$205^A15,IF(A15='Données projet'!$A$88,'Données projet'!$B$88,BD14+BC15-BL14)))</f>
        <v>6.8293529228851897</v>
      </c>
      <c r="BE15" s="13">
        <f>BD15*VLOOKUP('Données projet'!$B$11,Paramètres!$A$1:$I$89,3,0)*VLOOKUP('Données projet'!$B$11,Paramètres!$A$1:$I$89,5,0)</f>
        <v>6.9249638638055826</v>
      </c>
      <c r="BF15" s="13">
        <f t="shared" si="37"/>
        <v>2.5476805881375704</v>
      </c>
      <c r="BG15" s="20">
        <f t="shared" si="7"/>
        <v>16.498189087134325</v>
      </c>
      <c r="BH15" s="59">
        <f t="shared" si="8"/>
        <v>287.83152242046765</v>
      </c>
      <c r="BI15" s="59">
        <f ca="1">AVERAGE(OFFSET($BH$3,0,0,'Données projet'!$E$11+1,1))-AVERAGE(OFFSET($H$3,0,0,'Données projet'!$E$11+1,1))</f>
        <v>425.47148407510412</v>
      </c>
      <c r="BJ15" s="59">
        <f t="shared" si="38"/>
        <v>308.54448799922471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9.4117948717948714</v>
      </c>
      <c r="N16" s="13">
        <f>IF('Données projet'!$A$36&gt;35,N15+M16-V15,IF(A16&lt;'Données projet'!$A$36,$K$205^A16,IF(A16='Données projet'!$A$36,'Données projet'!$B$36,N15+M16-V15)))</f>
        <v>72.967346078646827</v>
      </c>
      <c r="O16" s="13">
        <f>N16*VLOOKUP('Données projet'!$B$9,Paramètres!$A$1:$I$89,3,0)*VLOOKUP('Données projet'!$B$9,Paramètres!$A$1:$I$89,5,0)</f>
        <v>43.634472955030802</v>
      </c>
      <c r="P16" s="13">
        <f t="shared" si="33"/>
        <v>12.957034597381723</v>
      </c>
      <c r="Q16" s="20">
        <f t="shared" si="2"/>
        <v>98.563542320451802</v>
      </c>
      <c r="R16" s="59">
        <f t="shared" si="0"/>
        <v>371.11909787600734</v>
      </c>
      <c r="S16" s="59">
        <f ca="1">AVERAGE(OFFSET($R$3,0,0,'Données projet'!$E$9+1,1))-AVERAGE(OFFSET($H$3,0,0,'Données projet'!$E$9+1,1))</f>
        <v>323.20040177531774</v>
      </c>
      <c r="T16" s="59">
        <f t="shared" si="34"/>
        <v>402.87981443974337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6.7360323886639675</v>
      </c>
      <c r="AI16" s="13">
        <f>IF('Données projet'!$A$62&gt;35,AI15+AH16-AQ15,IF(A16&lt;'Données projet'!$A$62,$AF$205^A16,IF(A16='Données projet'!$A$62,'Données projet'!$B$62,AI15+AH16-AQ15)))</f>
        <v>27.652826273708452</v>
      </c>
      <c r="AJ16" s="13">
        <f>AI16*VLOOKUP('Données projet'!$B$10,Paramètres!$A$1:$I$89,3,0)*VLOOKUP('Données projet'!$B$10,Paramètres!$A$1:$I$89,5,0)</f>
        <v>16.536390111677655</v>
      </c>
      <c r="AK16" s="13">
        <f t="shared" si="35"/>
        <v>5.4975131332790896</v>
      </c>
      <c r="AL16" s="20">
        <f t="shared" si="4"/>
        <v>38.375714818299656</v>
      </c>
      <c r="AM16" s="59">
        <f t="shared" si="5"/>
        <v>310.93127037385523</v>
      </c>
      <c r="AN16" s="59">
        <f ca="1">AVERAGE(OFFSET($AM$3,0,0,'Données projet'!$E$10+1,1))-AVERAGE(OFFSET($H$3,0,0,'Données projet'!$E$10+1,1))</f>
        <v>355.09162485318728</v>
      </c>
      <c r="AO16" s="59">
        <f t="shared" si="36"/>
        <v>320.06572891923685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4.0628205128205126</v>
      </c>
      <c r="BD16" s="12">
        <f>IF('Données projet'!$A$88&gt;35,BD15+BC16-BL15,IF(A16&lt;'Données projet'!$A$88,$BA$205^A16,IF(A16='Données projet'!$A$88,'Données projet'!$B$88,BD15+BC16-BL15)))</f>
        <v>8.0151413590917304</v>
      </c>
      <c r="BE16" s="13">
        <f>BD16*VLOOKUP('Données projet'!$B$11,Paramètres!$A$1:$I$89,3,0)*VLOOKUP('Données projet'!$B$11,Paramètres!$A$1:$I$89,5,0)</f>
        <v>8.1273533381190166</v>
      </c>
      <c r="BF16" s="13">
        <f t="shared" si="37"/>
        <v>2.9348311908328566</v>
      </c>
      <c r="BG16" s="20">
        <f t="shared" si="7"/>
        <v>19.26663805459118</v>
      </c>
      <c r="BH16" s="59">
        <f t="shared" si="8"/>
        <v>291.82219361014671</v>
      </c>
      <c r="BI16" s="59">
        <f ca="1">AVERAGE(OFFSET($BH$3,0,0,'Données projet'!$E$11+1,1))-AVERAGE(OFFSET($H$3,0,0,'Données projet'!$E$11+1,1))</f>
        <v>425.47148407510412</v>
      </c>
      <c r="BJ16" s="59">
        <f t="shared" si="38"/>
        <v>308.54448799922471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9.4117948717948714</v>
      </c>
      <c r="N17" s="13">
        <f>IF('Données projet'!$A$36&gt;35,N16+M17-V16,IF(A17&lt;'Données projet'!$A$36,$K$205^A17,IF(A17='Données projet'!$A$36,'Données projet'!$B$36,N16+M17-V16)))</f>
        <v>101.49534671339541</v>
      </c>
      <c r="O17" s="13">
        <f>N17*VLOOKUP('Données projet'!$B$9,Paramètres!$A$1:$I$89,3,0)*VLOOKUP('Données projet'!$B$9,Paramètres!$A$1:$I$89,5,0)</f>
        <v>60.694217334610457</v>
      </c>
      <c r="P17" s="13">
        <f t="shared" si="33"/>
        <v>17.343671248056637</v>
      </c>
      <c r="Q17" s="20">
        <f t="shared" si="2"/>
        <v>135.91598928147849</v>
      </c>
      <c r="R17" s="59">
        <f t="shared" si="0"/>
        <v>409.69376705925629</v>
      </c>
      <c r="S17" s="59">
        <f ca="1">AVERAGE(OFFSET($R$3,0,0,'Données projet'!$E$9+1,1))-AVERAGE(OFFSET($H$3,0,0,'Données projet'!$E$9+1,1))</f>
        <v>323.20040177531774</v>
      </c>
      <c r="T17" s="59">
        <f t="shared" si="34"/>
        <v>402.87981443974337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6.7360323886639675</v>
      </c>
      <c r="AI17" s="13">
        <f>IF('Données projet'!$A$62&gt;35,AI16+AH17-AQ16,IF(A17&lt;'Données projet'!$A$62,$AF$205^A17,IF(A17='Données projet'!$A$62,'Données projet'!$B$62,AI16+AH17-AQ16)))</f>
        <v>35.697891534791381</v>
      </c>
      <c r="AJ17" s="13">
        <f>AI17*VLOOKUP('Données projet'!$B$10,Paramètres!$A$1:$I$89,3,0)*VLOOKUP('Données projet'!$B$10,Paramètres!$A$1:$I$89,5,0)</f>
        <v>21.347339137805246</v>
      </c>
      <c r="AK17" s="13">
        <f t="shared" si="35"/>
        <v>6.8890637245814856</v>
      </c>
      <c r="AL17" s="20">
        <f t="shared" si="4"/>
        <v>49.178401651990221</v>
      </c>
      <c r="AM17" s="59">
        <f t="shared" si="5"/>
        <v>322.95617942976799</v>
      </c>
      <c r="AN17" s="59">
        <f ca="1">AVERAGE(OFFSET($AM$3,0,0,'Données projet'!$E$10+1,1))-AVERAGE(OFFSET($H$3,0,0,'Données projet'!$E$10+1,1))</f>
        <v>355.09162485318728</v>
      </c>
      <c r="AO17" s="59">
        <f t="shared" si="36"/>
        <v>320.06572891923685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4.0628205128205126</v>
      </c>
      <c r="BD17" s="12">
        <f>IF('Données projet'!$A$88&gt;35,BD16+BC17-BL16,IF(A17&lt;'Données projet'!$A$88,$BA$205^A17,IF(A17='Données projet'!$A$88,'Données projet'!$B$88,BD16+BC17-BL16)))</f>
        <v>9.4068196111151305</v>
      </c>
      <c r="BE17" s="13">
        <f>BD17*VLOOKUP('Données projet'!$B$11,Paramètres!$A$1:$I$89,3,0)*VLOOKUP('Données projet'!$B$11,Paramètres!$A$1:$I$89,5,0)</f>
        <v>9.5385150856707419</v>
      </c>
      <c r="BF17" s="13">
        <f t="shared" si="37"/>
        <v>3.3808139681206768</v>
      </c>
      <c r="BG17" s="20">
        <f t="shared" si="7"/>
        <v>22.501164768686721</v>
      </c>
      <c r="BH17" s="59">
        <f t="shared" si="8"/>
        <v>296.27894254646446</v>
      </c>
      <c r="BI17" s="59">
        <f ca="1">AVERAGE(OFFSET($BH$3,0,0,'Données projet'!$E$11+1,1))-AVERAGE(OFFSET($H$3,0,0,'Données projet'!$E$11+1,1))</f>
        <v>425.47148407510412</v>
      </c>
      <c r="BJ17" s="59">
        <f t="shared" si="38"/>
        <v>308.54448799922471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141.17692307692306</v>
      </c>
      <c r="L18" s="12">
        <f>VLOOKUP(A18,'Données projet'!$A$35:$I$55,9,0)</f>
        <v>9.4117948717948714</v>
      </c>
      <c r="M18" s="12">
        <f t="array" ref="M18">INDEX(L:L,MIN(IF(ISNUMBER(L18:L214),ROW(L18:L214),"")))</f>
        <v>9.4117948717948714</v>
      </c>
      <c r="N18" s="13">
        <f>IF('Données projet'!$A$36&gt;35,N17+M18-V17,IF(A18&lt;'Données projet'!$A$36,$K$205^A18,IF(A18='Données projet'!$A$36,'Données projet'!$B$36,N17+M18-V17)))</f>
        <v>141.17692307692306</v>
      </c>
      <c r="O18" s="13">
        <f>N18*VLOOKUP('Données projet'!$B$9,Paramètres!$A$1:$I$89,3,0)*VLOOKUP('Données projet'!$B$9,Paramètres!$A$1:$I$89,5,0)</f>
        <v>84.423799999999986</v>
      </c>
      <c r="P18" s="13">
        <f t="shared" si="33"/>
        <v>23.215414769475935</v>
      </c>
      <c r="Q18" s="20">
        <f t="shared" si="2"/>
        <v>187.47163239017053</v>
      </c>
      <c r="R18" s="59">
        <f t="shared" si="0"/>
        <v>462.4716323901705</v>
      </c>
      <c r="S18" s="59">
        <f ca="1">AVERAGE(OFFSET($R$3,0,0,'Données projet'!$E$9+1,1))-AVERAGE(OFFSET($H$3,0,0,'Données projet'!$E$9+1,1))</f>
        <v>323.20040177531774</v>
      </c>
      <c r="T18" s="59">
        <f t="shared" si="34"/>
        <v>402.87981443974337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49.784615384615385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0.25200000000000006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9.9131546026642408</v>
      </c>
      <c r="AB18" s="21">
        <f>EXP(-LN(2)/2)*AB17+(1-EXP(-LN(2)/2))/(LN(2)/2)*V18*Y18*VLOOKUP('Données projet'!$B$9,Paramètres!$A$1:$I$89,3,0)*0.475*44/12</f>
        <v>14.831482237492764</v>
      </c>
      <c r="AC18" s="22">
        <f t="shared" si="3"/>
        <v>24.744636840157007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6.7360323886639675</v>
      </c>
      <c r="AI18" s="13">
        <f>IF('Données projet'!$A$62&gt;35,AI17+AH18-AQ17,IF(A18&lt;'Données projet'!$A$62,$AF$205^A18,IF(A18='Données projet'!$A$62,'Données projet'!$B$62,AI17+AH18-AQ17)))</f>
        <v>46.083515927677063</v>
      </c>
      <c r="AJ18" s="13">
        <f>AI18*VLOOKUP('Données projet'!$B$10,Paramètres!$A$1:$I$89,3,0)*VLOOKUP('Données projet'!$B$10,Paramètres!$A$1:$I$89,5,0)</f>
        <v>27.557942524750885</v>
      </c>
      <c r="AK18" s="13">
        <f t="shared" si="35"/>
        <v>8.6328486809883493</v>
      </c>
      <c r="AL18" s="20">
        <f t="shared" si="4"/>
        <v>63.032294683329155</v>
      </c>
      <c r="AM18" s="59">
        <f t="shared" si="5"/>
        <v>338.03229468332916</v>
      </c>
      <c r="AN18" s="59">
        <f ca="1">AVERAGE(OFFSET($AM$3,0,0,'Données projet'!$E$10+1,1))-AVERAGE(OFFSET($H$3,0,0,'Données projet'!$E$10+1,1))</f>
        <v>355.09162485318728</v>
      </c>
      <c r="AO18" s="59">
        <f t="shared" si="36"/>
        <v>320.06572891923685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4.0628205128205126</v>
      </c>
      <c r="BD18" s="12">
        <f>IF('Données projet'!$A$88&gt;35,BD17+BC18-BL17,IF(A18&lt;'Données projet'!$A$88,$BA$205^A18,IF(A18='Données projet'!$A$88,'Données projet'!$B$88,BD17+BC18-BL17)))</f>
        <v>11.040136565487554</v>
      </c>
      <c r="BE18" s="13">
        <f>BD18*VLOOKUP('Données projet'!$B$11,Paramètres!$A$1:$I$89,3,0)*VLOOKUP('Données projet'!$B$11,Paramètres!$A$1:$I$89,5,0)</f>
        <v>11.194698477404382</v>
      </c>
      <c r="BF18" s="13">
        <f t="shared" si="37"/>
        <v>3.8945691741119406</v>
      </c>
      <c r="BG18" s="20">
        <f t="shared" si="7"/>
        <v>26.280474493057593</v>
      </c>
      <c r="BH18" s="59">
        <f t="shared" si="8"/>
        <v>301.28047449305757</v>
      </c>
      <c r="BI18" s="59">
        <f ca="1">AVERAGE(OFFSET($BH$3,0,0,'Données projet'!$E$11+1,1))-AVERAGE(OFFSET($H$3,0,0,'Données projet'!$E$11+1,1))</f>
        <v>425.47148407510412</v>
      </c>
      <c r="BJ18" s="59">
        <f t="shared" si="38"/>
        <v>308.54448799922471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18.463076923076926</v>
      </c>
      <c r="N19" s="13">
        <f>IF('Données projet'!$A$36&gt;35,N18+M19-V18,IF(A19&lt;'Données projet'!$A$36,$K$205^A19,IF(A19='Données projet'!$A$36,'Données projet'!$B$36,N18+M19-V18)))</f>
        <v>109.85538461538459</v>
      </c>
      <c r="O19" s="13">
        <f>N19*VLOOKUP('Données projet'!$B$9,Paramètres!$A$1:$I$89,3,0)*VLOOKUP('Données projet'!$B$9,Paramètres!$A$1:$I$89,5,0)</f>
        <v>65.693519999999992</v>
      </c>
      <c r="P19" s="13">
        <f t="shared" si="33"/>
        <v>18.600086973007183</v>
      </c>
      <c r="Q19" s="20">
        <f t="shared" si="2"/>
        <v>146.81136547798749</v>
      </c>
      <c r="R19" s="59">
        <f t="shared" si="0"/>
        <v>423.03358770020975</v>
      </c>
      <c r="S19" s="59">
        <f ca="1">AVERAGE(OFFSET($R$3,0,0,'Données projet'!$E$9+1,1))-AVERAGE(OFFSET($H$3,0,0,'Données projet'!$E$9+1,1))</f>
        <v>323.20040177531774</v>
      </c>
      <c r="T19" s="59">
        <f t="shared" si="34"/>
        <v>402.87981443974337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9.6420788687442442</v>
      </c>
      <c r="AB19" s="21">
        <f>EXP(-LN(2)/2)*AB18+(1-EXP(-LN(2)/2))/(LN(2)/2)*V19*Y19*VLOOKUP('Données projet'!$B$9,Paramètres!$A$1:$I$89,3,0)*0.475*44/12</f>
        <v>10.487441665178963</v>
      </c>
      <c r="AC19" s="22">
        <f t="shared" si="3"/>
        <v>20.129520533923206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6.7360323886639675</v>
      </c>
      <c r="AI19" s="13">
        <f>IF('Données projet'!$A$62&gt;35,AI18+AH19-AQ18,IF(A19&lt;'Données projet'!$A$62,$AF$205^A19,IF(A19='Données projet'!$A$62,'Données projet'!$B$62,AI18+AH19-AQ18)))</f>
        <v>59.490640733968959</v>
      </c>
      <c r="AJ19" s="13">
        <f>AI19*VLOOKUP('Données projet'!$B$10,Paramètres!$A$1:$I$89,3,0)*VLOOKUP('Données projet'!$B$10,Paramètres!$A$1:$I$89,5,0)</f>
        <v>35.575403158913439</v>
      </c>
      <c r="AK19" s="13">
        <f t="shared" si="35"/>
        <v>10.818026850719807</v>
      </c>
      <c r="AL19" s="20">
        <f t="shared" si="4"/>
        <v>80.801890600111236</v>
      </c>
      <c r="AM19" s="59">
        <f t="shared" si="5"/>
        <v>357.02411282233345</v>
      </c>
      <c r="AN19" s="59">
        <f ca="1">AVERAGE(OFFSET($AM$3,0,0,'Données projet'!$E$10+1,1))-AVERAGE(OFFSET($H$3,0,0,'Données projet'!$E$10+1,1))</f>
        <v>355.09162485318728</v>
      </c>
      <c r="AO19" s="59">
        <f t="shared" si="36"/>
        <v>320.06572891923685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4.0628205128205126</v>
      </c>
      <c r="BD19" s="12">
        <f>IF('Données projet'!$A$88&gt;35,BD18+BC19-BL18,IF(A19&lt;'Données projet'!$A$88,$BA$205^A19,IF(A19='Données projet'!$A$88,'Données projet'!$B$88,BD18+BC19-BL18)))</f>
        <v>12.957048229201293</v>
      </c>
      <c r="BE19" s="13">
        <f>BD19*VLOOKUP('Données projet'!$B$11,Paramètres!$A$1:$I$89,3,0)*VLOOKUP('Données projet'!$B$11,Paramètres!$A$1:$I$89,5,0)</f>
        <v>13.138446904410113</v>
      </c>
      <c r="BF19" s="13">
        <f t="shared" si="37"/>
        <v>4.486395641690498</v>
      </c>
      <c r="BG19" s="20">
        <f t="shared" si="7"/>
        <v>30.696600767791892</v>
      </c>
      <c r="BH19" s="59">
        <f t="shared" si="8"/>
        <v>306.91882299001412</v>
      </c>
      <c r="BI19" s="59">
        <f ca="1">AVERAGE(OFFSET($BH$3,0,0,'Données projet'!$E$11+1,1))-AVERAGE(OFFSET($H$3,0,0,'Données projet'!$E$11+1,1))</f>
        <v>425.47148407510412</v>
      </c>
      <c r="BJ19" s="59">
        <f t="shared" si="38"/>
        <v>308.54448799922471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18.463076923076926</v>
      </c>
      <c r="N20" s="13">
        <f>IF('Données projet'!$A$36&gt;35,N19+M20-V19,IF(A20&lt;'Données projet'!$A$36,$K$205^A20,IF(A20='Données projet'!$A$36,'Données projet'!$B$36,N19+M20-V19)))</f>
        <v>128.31846153846152</v>
      </c>
      <c r="O20" s="13">
        <f>N20*VLOOKUP('Données projet'!$B$9,Paramètres!$A$1:$I$89,3,0)*VLOOKUP('Données projet'!$B$9,Paramètres!$A$1:$I$89,5,0)</f>
        <v>76.734439999999992</v>
      </c>
      <c r="P20" s="13">
        <f t="shared" si="33"/>
        <v>21.336811414414317</v>
      </c>
      <c r="Q20" s="20">
        <f t="shared" si="2"/>
        <v>170.80742954677157</v>
      </c>
      <c r="R20" s="59">
        <f t="shared" si="0"/>
        <v>448.25187399121603</v>
      </c>
      <c r="S20" s="59">
        <f ca="1">AVERAGE(OFFSET($R$3,0,0,'Données projet'!$E$9+1,1))-AVERAGE(OFFSET($H$3,0,0,'Données projet'!$E$9+1,1))</f>
        <v>323.20040177531774</v>
      </c>
      <c r="T20" s="59">
        <f t="shared" si="34"/>
        <v>402.87981443974337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9.378415715023543</v>
      </c>
      <c r="AB20" s="21">
        <f>EXP(-LN(2)/2)*AB19+(1-EXP(-LN(2)/2))/(LN(2)/2)*V20*Y20*VLOOKUP('Données projet'!$B$9,Paramètres!$A$1:$I$89,3,0)*0.475*44/12</f>
        <v>7.4157411187463831</v>
      </c>
      <c r="AC20" s="22">
        <f t="shared" si="3"/>
        <v>16.794156833769925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6.7360323886639675</v>
      </c>
      <c r="AI20" s="13">
        <f>IF('Données projet'!$A$62&gt;35,AI19+AH20-AQ19,IF(A20&lt;'Données projet'!$A$62,$AF$205^A20,IF(A20='Données projet'!$A$62,'Données projet'!$B$62,AI19+AH20-AQ19)))</f>
        <v>76.798314184456885</v>
      </c>
      <c r="AJ20" s="13">
        <f>AI20*VLOOKUP('Données projet'!$B$10,Paramètres!$A$1:$I$89,3,0)*VLOOKUP('Données projet'!$B$10,Paramètres!$A$1:$I$89,5,0)</f>
        <v>45.92539188230522</v>
      </c>
      <c r="AK20" s="13">
        <f t="shared" si="35"/>
        <v>13.556325295104831</v>
      </c>
      <c r="AL20" s="20">
        <f t="shared" si="4"/>
        <v>103.59732408398916</v>
      </c>
      <c r="AM20" s="59">
        <f t="shared" si="5"/>
        <v>381.04176852843364</v>
      </c>
      <c r="AN20" s="59">
        <f ca="1">AVERAGE(OFFSET($AM$3,0,0,'Données projet'!$E$10+1,1))-AVERAGE(OFFSET($H$3,0,0,'Données projet'!$E$10+1,1))</f>
        <v>355.09162485318728</v>
      </c>
      <c r="AO20" s="59">
        <f t="shared" si="36"/>
        <v>320.06572891923685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4.0628205128205126</v>
      </c>
      <c r="BD20" s="12">
        <f>IF('Données projet'!$A$88&gt;35,BD19+BC20-BL19,IF(A20&lt;'Données projet'!$A$88,$BA$205^A20,IF(A20='Données projet'!$A$88,'Données projet'!$B$88,BD19+BC20-BL19)))</f>
        <v>15.206795479203771</v>
      </c>
      <c r="BE20" s="13">
        <f>BD20*VLOOKUP('Données projet'!$B$11,Paramètres!$A$1:$I$89,3,0)*VLOOKUP('Données projet'!$B$11,Paramètres!$A$1:$I$89,5,0)</f>
        <v>15.419690615912625</v>
      </c>
      <c r="BF20" s="13">
        <f t="shared" si="37"/>
        <v>5.1681572348420586</v>
      </c>
      <c r="BG20" s="20">
        <f t="shared" si="7"/>
        <v>35.857168340064412</v>
      </c>
      <c r="BH20" s="59">
        <f t="shared" si="8"/>
        <v>313.30161278450885</v>
      </c>
      <c r="BI20" s="59">
        <f ca="1">AVERAGE(OFFSET($BH$3,0,0,'Données projet'!$E$11+1,1))-AVERAGE(OFFSET($H$3,0,0,'Données projet'!$E$11+1,1))</f>
        <v>425.47148407510412</v>
      </c>
      <c r="BJ20" s="59">
        <f t="shared" si="38"/>
        <v>308.54448799922471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18.463076923076926</v>
      </c>
      <c r="N21" s="13">
        <f>IF('Données projet'!$A$36&gt;35,N20+M21-V20,IF(A21&lt;'Données projet'!$A$36,$K$205^A21,IF(A21='Données projet'!$A$36,'Données projet'!$B$36,N20+M21-V20)))</f>
        <v>146.78153846153845</v>
      </c>
      <c r="O21" s="13">
        <f>N21*VLOOKUP('Données projet'!$B$9,Paramètres!$A$1:$I$89,3,0)*VLOOKUP('Données projet'!$B$9,Paramètres!$A$1:$I$89,5,0)</f>
        <v>87.775359999999992</v>
      </c>
      <c r="P21" s="13">
        <f t="shared" si="33"/>
        <v>24.02791634919064</v>
      </c>
      <c r="Q21" s="20">
        <f t="shared" si="2"/>
        <v>194.72403964150703</v>
      </c>
      <c r="R21" s="59">
        <f t="shared" si="0"/>
        <v>473.39070630817372</v>
      </c>
      <c r="S21" s="59">
        <f ca="1">AVERAGE(OFFSET($R$3,0,0,'Données projet'!$E$9+1,1))-AVERAGE(OFFSET($H$3,0,0,'Données projet'!$E$9+1,1))</f>
        <v>323.20040177531774</v>
      </c>
      <c r="T21" s="59">
        <f t="shared" si="34"/>
        <v>402.87981443974337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9.1219624441067761</v>
      </c>
      <c r="AB21" s="21">
        <f>EXP(-LN(2)/2)*AB20+(1-EXP(-LN(2)/2))/(LN(2)/2)*V21*Y21*VLOOKUP('Données projet'!$B$9,Paramètres!$A$1:$I$89,3,0)*0.475*44/12</f>
        <v>5.2437208325894824</v>
      </c>
      <c r="AC21" s="22">
        <f t="shared" si="3"/>
        <v>14.365683276696259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6.7360323886639675</v>
      </c>
      <c r="AI21" s="13">
        <f>IF('Données projet'!$A$62&gt;35,AI20+AH21-AQ20,IF(A21&lt;'Données projet'!$A$62,$AF$205^A21,IF(A21='Données projet'!$A$62,'Données projet'!$B$62,AI20+AH21-AQ20)))</f>
        <v>99.141326918115112</v>
      </c>
      <c r="AJ21" s="13">
        <f>AI21*VLOOKUP('Données projet'!$B$10,Paramètres!$A$1:$I$89,3,0)*VLOOKUP('Données projet'!$B$10,Paramètres!$A$1:$I$89,5,0)</f>
        <v>59.286513497032843</v>
      </c>
      <c r="AK21" s="13">
        <f t="shared" si="35"/>
        <v>16.987751837061783</v>
      </c>
      <c r="AL21" s="20">
        <f t="shared" si="4"/>
        <v>132.84434545688146</v>
      </c>
      <c r="AM21" s="59">
        <f t="shared" si="5"/>
        <v>411.51101212354814</v>
      </c>
      <c r="AN21" s="59">
        <f ca="1">AVERAGE(OFFSET($AM$3,0,0,'Données projet'!$E$10+1,1))-AVERAGE(OFFSET($H$3,0,0,'Données projet'!$E$10+1,1))</f>
        <v>355.09162485318728</v>
      </c>
      <c r="AO21" s="59">
        <f t="shared" si="36"/>
        <v>320.06572891923685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4.0628205128205126</v>
      </c>
      <c r="BD21" s="12">
        <f>IF('Données projet'!$A$88&gt;35,BD20+BC21-BL20,IF(A21&lt;'Données projet'!$A$88,$BA$205^A21,IF(A21='Données projet'!$A$88,'Données projet'!$B$88,BD20+BC21-BL20)))</f>
        <v>17.847168942782186</v>
      </c>
      <c r="BE21" s="13">
        <f>BD21*VLOOKUP('Données projet'!$B$11,Paramètres!$A$1:$I$89,3,0)*VLOOKUP('Données projet'!$B$11,Paramètres!$A$1:$I$89,5,0)</f>
        <v>18.097029307981138</v>
      </c>
      <c r="BF21" s="13">
        <f t="shared" si="37"/>
        <v>5.9535206738890976</v>
      </c>
      <c r="BG21" s="20">
        <f t="shared" si="7"/>
        <v>41.888041218423993</v>
      </c>
      <c r="BH21" s="59">
        <f t="shared" si="8"/>
        <v>320.55470788509069</v>
      </c>
      <c r="BI21" s="59">
        <f ca="1">AVERAGE(OFFSET($BH$3,0,0,'Données projet'!$E$11+1,1))-AVERAGE(OFFSET($H$3,0,0,'Données projet'!$E$11+1,1))</f>
        <v>425.47148407510412</v>
      </c>
      <c r="BJ21" s="59">
        <f t="shared" si="38"/>
        <v>308.54448799922471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18.463076923076926</v>
      </c>
      <c r="N22" s="13">
        <f>IF('Données projet'!$A$36&gt;35,N21+M22-V21,IF(A22&lt;'Données projet'!$A$36,$K$205^A22,IF(A22='Données projet'!$A$36,'Données projet'!$B$36,N21+M22-V21)))</f>
        <v>165.24461538461537</v>
      </c>
      <c r="O22" s="13">
        <f>N22*VLOOKUP('Données projet'!$B$9,Paramètres!$A$1:$I$89,3,0)*VLOOKUP('Données projet'!$B$9,Paramètres!$A$1:$I$89,5,0)</f>
        <v>98.816280000000006</v>
      </c>
      <c r="P22" s="13">
        <f t="shared" si="33"/>
        <v>26.679797439959771</v>
      </c>
      <c r="Q22" s="20">
        <f t="shared" si="2"/>
        <v>218.57233487459663</v>
      </c>
      <c r="R22" s="59">
        <f t="shared" si="0"/>
        <v>498.46122376348546</v>
      </c>
      <c r="S22" s="59">
        <f ca="1">AVERAGE(OFFSET($R$3,0,0,'Données projet'!$E$9+1,1))-AVERAGE(OFFSET($H$3,0,0,'Données projet'!$E$9+1,1))</f>
        <v>323.20040177531774</v>
      </c>
      <c r="T22" s="59">
        <f t="shared" si="34"/>
        <v>402.87981443974337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8.8725219013695202</v>
      </c>
      <c r="AB22" s="21">
        <f>EXP(-LN(2)/2)*AB21+(1-EXP(-LN(2)/2))/(LN(2)/2)*V22*Y22*VLOOKUP('Données projet'!$B$9,Paramètres!$A$1:$I$89,3,0)*0.475*44/12</f>
        <v>3.707870559373192</v>
      </c>
      <c r="AC22" s="22">
        <f t="shared" si="3"/>
        <v>12.580392460742711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127.98461538461538</v>
      </c>
      <c r="AG22" s="12">
        <f>VLOOKUP(A22,'Données projet'!$A$61:$I$81,9,0)</f>
        <v>6.7360323886639675</v>
      </c>
      <c r="AH22" s="12">
        <f t="array" ref="AH22">INDEX(AG:AG,MIN(IF(ISNUMBER(AG22:AG218),ROW(AG22:AG218),"")))</f>
        <v>6.7360323886639675</v>
      </c>
      <c r="AI22" s="13">
        <f>IF('Données projet'!$A$62&gt;35,AI21+AH22-AQ21,IF(A22&lt;'Données projet'!$A$62,$AF$205^A22,IF(A22='Données projet'!$A$62,'Données projet'!$B$62,AI21+AH22-AQ21)))</f>
        <v>127.98461538461538</v>
      </c>
      <c r="AJ22" s="13">
        <f>AI22*VLOOKUP('Données projet'!$B$10,Paramètres!$A$1:$I$89,3,0)*VLOOKUP('Données projet'!$B$10,Paramètres!$A$1:$I$89,5,0)</f>
        <v>76.534800000000004</v>
      </c>
      <c r="AK22" s="13">
        <f t="shared" si="35"/>
        <v>21.287753590702248</v>
      </c>
      <c r="AL22" s="20">
        <f t="shared" si="4"/>
        <v>170.37428083713976</v>
      </c>
      <c r="AM22" s="59">
        <f t="shared" si="5"/>
        <v>450.26316972602865</v>
      </c>
      <c r="AN22" s="59">
        <f ca="1">AVERAGE(OFFSET($AM$3,0,0,'Données projet'!$E$10+1,1))-AVERAGE(OFFSET($H$3,0,0,'Données projet'!$E$10+1,1))</f>
        <v>355.09162485318728</v>
      </c>
      <c r="AO22" s="59">
        <f t="shared" si="36"/>
        <v>320.06572891923685</v>
      </c>
      <c r="AP22" s="15">
        <f>IF(ISNA(VLOOKUP(A22,'Données projet'!$A$61:$I$81,3,0)),0,VLOOKUP(A22,'Données projet'!$A$61:$I$81,3,0))</f>
        <v>1</v>
      </c>
      <c r="AQ22" s="15">
        <f>IF(ISNA(VLOOKUP(A22,'Données projet'!$A$61:$I$81,4,0)),0,VLOOKUP(A22,'Données projet'!$A$61:$I$81,4,0))</f>
        <v>46.53846153846154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9.2667777110813798</v>
      </c>
      <c r="AW22" s="21">
        <f>EXP(-LN(2)/2)*AW21+(1-EXP(-LN(2)/2))/(LN(2)/2)*AQ22*AT22*VLOOKUP('Données projet'!$B$10,Paramètres!$A$1:$I$89,3,0)*0.475*44/12</f>
        <v>13.864410929671079</v>
      </c>
      <c r="AX22" s="21">
        <f t="shared" si="6"/>
        <v>23.131188640752459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4.0628205128205126</v>
      </c>
      <c r="BD22" s="12">
        <f>IF('Données projet'!$A$88&gt;35,BD21+BC22-BL21,IF(A22&lt;'Données projet'!$A$88,$BA$205^A22,IF(A22='Données projet'!$A$88,'Données projet'!$B$88,BD21+BC22-BL21)))</f>
        <v>20.945993500590358</v>
      </c>
      <c r="BE22" s="13">
        <f>BD22*VLOOKUP('Données projet'!$B$11,Paramètres!$A$1:$I$89,3,0)*VLOOKUP('Données projet'!$B$11,Paramètres!$A$1:$I$89,5,0)</f>
        <v>21.239237409598623</v>
      </c>
      <c r="BF22" s="13">
        <f t="shared" si="37"/>
        <v>6.8582295011208343</v>
      </c>
      <c r="BG22" s="20">
        <f t="shared" si="7"/>
        <v>48.936421536169718</v>
      </c>
      <c r="BH22" s="59">
        <f t="shared" si="8"/>
        <v>328.82531042505855</v>
      </c>
      <c r="BI22" s="59">
        <f ca="1">AVERAGE(OFFSET($BH$3,0,0,'Données projet'!$E$11+1,1))-AVERAGE(OFFSET($H$3,0,0,'Données projet'!$E$11+1,1))</f>
        <v>425.47148407510412</v>
      </c>
      <c r="BJ22" s="59">
        <f t="shared" si="38"/>
        <v>308.54448799922471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183.7076923076923</v>
      </c>
      <c r="L23" s="12">
        <f>VLOOKUP(A23,'Données projet'!$A$35:$I$55,9,0)</f>
        <v>18.463076923076926</v>
      </c>
      <c r="M23" s="12">
        <f t="array" ref="M23">INDEX(L:L,MIN(IF(ISNUMBER(L23:L219),ROW(L23:L219),"")))</f>
        <v>18.463076923076926</v>
      </c>
      <c r="N23" s="13">
        <f>IF('Données projet'!$A$36&gt;35,N22+M23-V22,IF(A23&lt;'Données projet'!$A$36,$K$205^A23,IF(A23='Données projet'!$A$36,'Données projet'!$B$36,N22+M23-V22)))</f>
        <v>183.7076923076923</v>
      </c>
      <c r="O23" s="13">
        <f>N23*VLOOKUP('Données projet'!$B$9,Paramètres!$A$1:$I$89,3,0)*VLOOKUP('Données projet'!$B$9,Paramètres!$A$1:$I$89,5,0)</f>
        <v>109.85720000000001</v>
      </c>
      <c r="P23" s="13">
        <f t="shared" si="33"/>
        <v>29.297337235526424</v>
      </c>
      <c r="Q23" s="20">
        <f t="shared" si="2"/>
        <v>242.36081901854183</v>
      </c>
      <c r="R23" s="59">
        <f t="shared" si="0"/>
        <v>523.47193012965295</v>
      </c>
      <c r="S23" s="59">
        <f ca="1">AVERAGE(OFFSET($R$3,0,0,'Données projet'!$E$9+1,1))-AVERAGE(OFFSET($H$3,0,0,'Données projet'!$E$9+1,1))</f>
        <v>323.20040177531774</v>
      </c>
      <c r="T23" s="59">
        <f t="shared" si="34"/>
        <v>402.87981443974337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48.723076923076924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0.25200000000000006</v>
      </c>
      <c r="Y23" s="16">
        <f>IF(ISNA(VLOOKUP(A23,'Données projet'!$A$35:$I$55,7,0)),0%,VLOOKUP(A23,'Données projet'!$A$35:$I$55,7,0))</f>
        <v>0.44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18.331682492314798</v>
      </c>
      <c r="AB23" s="21">
        <f>EXP(-LN(2)/2)*AB22+(1-EXP(-LN(2)/2))/(LN(2)/2)*V23*Y23*VLOOKUP('Données projet'!$B$9,Paramètres!$A$1:$I$89,3,0)*0.475*44/12</f>
        <v>17.137096586300796</v>
      </c>
      <c r="AC23" s="22">
        <f t="shared" si="3"/>
        <v>35.468779078615597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15.7</v>
      </c>
      <c r="AI23" s="13">
        <f>IF('Données projet'!$A$62&gt;35,AI22+AH23-AQ22,IF(A23&lt;'Données projet'!$A$62,$AF$205^A23,IF(A23='Données projet'!$A$62,'Données projet'!$B$62,AI22+AH23-AQ22)))</f>
        <v>97.146153846153823</v>
      </c>
      <c r="AJ23" s="13">
        <f>AI23*VLOOKUP('Données projet'!$B$10,Paramètres!$A$1:$I$89,3,0)*VLOOKUP('Données projet'!$B$10,Paramètres!$A$1:$I$89,5,0)</f>
        <v>58.093399999999988</v>
      </c>
      <c r="AK23" s="13">
        <f t="shared" si="35"/>
        <v>16.68531848887627</v>
      </c>
      <c r="AL23" s="20">
        <f t="shared" si="4"/>
        <v>130.23960136812613</v>
      </c>
      <c r="AM23" s="59">
        <f t="shared" si="5"/>
        <v>411.35071247923725</v>
      </c>
      <c r="AN23" s="59">
        <f ca="1">AVERAGE(OFFSET($AM$3,0,0,'Données projet'!$E$10+1,1))-AVERAGE(OFFSET($H$3,0,0,'Données projet'!$E$10+1,1))</f>
        <v>355.09162485318728</v>
      </c>
      <c r="AO23" s="59">
        <f t="shared" si="36"/>
        <v>320.06572891923685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9.0133771872531998</v>
      </c>
      <c r="AW23" s="21">
        <f>EXP(-LN(2)/2)*AW22+(1-EXP(-LN(2)/2))/(LN(2)/2)*AQ23*AT23*VLOOKUP('Données projet'!$B$10,Paramètres!$A$1:$I$89,3,0)*0.475*44/12</f>
        <v>9.8036189855273062</v>
      </c>
      <c r="AX23" s="21">
        <f t="shared" si="6"/>
        <v>18.816996172780506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4.0628205128205126</v>
      </c>
      <c r="BD23" s="12">
        <f>IF('Données projet'!$A$88&gt;35,BD22+BC23-BL22,IF(A23&lt;'Données projet'!$A$88,$BA$205^A23,IF(A23='Données projet'!$A$88,'Données projet'!$B$88,BD22+BC23-BL22)))</f>
        <v>24.582870545650774</v>
      </c>
      <c r="BE23" s="13">
        <f>BD23*VLOOKUP('Données projet'!$B$11,Paramètres!$A$1:$I$89,3,0)*VLOOKUP('Données projet'!$B$11,Paramètres!$A$1:$I$89,5,0)</f>
        <v>24.927030733289886</v>
      </c>
      <c r="BF23" s="13">
        <f t="shared" si="37"/>
        <v>7.900419678784556</v>
      </c>
      <c r="BG23" s="20">
        <f t="shared" si="7"/>
        <v>57.174476134362976</v>
      </c>
      <c r="BH23" s="59">
        <f t="shared" si="8"/>
        <v>338.28558724547412</v>
      </c>
      <c r="BI23" s="59">
        <f ca="1">AVERAGE(OFFSET($BH$3,0,0,'Données projet'!$E$11+1,1))-AVERAGE(OFFSET($H$3,0,0,'Données projet'!$E$11+1,1))</f>
        <v>425.47148407510412</v>
      </c>
      <c r="BJ23" s="59">
        <f t="shared" si="38"/>
        <v>308.54448799922471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19.071794871794875</v>
      </c>
      <c r="N24" s="13">
        <f>IF('Données projet'!$A$36&gt;35,N23+M24-V23,IF(A24&lt;'Données projet'!$A$36,$K$205^A24,IF(A24='Données projet'!$A$36,'Données projet'!$B$36,N23+M24-V23)))</f>
        <v>154.05641025641026</v>
      </c>
      <c r="O24" s="13">
        <f>N24*VLOOKUP('Données projet'!$B$9,Paramètres!$A$1:$I$89,3,0)*VLOOKUP('Données projet'!$B$9,Paramètres!$A$1:$I$89,5,0)</f>
        <v>92.125733333333343</v>
      </c>
      <c r="P24" s="13">
        <f t="shared" si="33"/>
        <v>25.077202059466597</v>
      </c>
      <c r="Q24" s="20">
        <f t="shared" si="2"/>
        <v>204.12844580912656</v>
      </c>
      <c r="R24" s="59">
        <f t="shared" si="0"/>
        <v>486.46177914245987</v>
      </c>
      <c r="S24" s="59">
        <f ca="1">AVERAGE(OFFSET($R$3,0,0,'Données projet'!$E$9+1,1))-AVERAGE(OFFSET($H$3,0,0,'Données projet'!$E$9+1,1))</f>
        <v>323.20040177531774</v>
      </c>
      <c r="T24" s="59">
        <f t="shared" si="34"/>
        <v>402.87981443974337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17.830401670541164</v>
      </c>
      <c r="AB24" s="21">
        <f>EXP(-LN(2)/2)*AB23+(1-EXP(-LN(2)/2))/(LN(2)/2)*V24*Y24*VLOOKUP('Données projet'!$B$9,Paramètres!$A$1:$I$89,3,0)*0.475*44/12</f>
        <v>12.117757206022128</v>
      </c>
      <c r="AC24" s="22">
        <f t="shared" si="3"/>
        <v>29.948158876563291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15.7</v>
      </c>
      <c r="AI24" s="13">
        <f>IF('Données projet'!$A$62&gt;35,AI23+AH24-AQ23,IF(A24&lt;'Données projet'!$A$62,$AF$205^A24,IF(A24='Données projet'!$A$62,'Données projet'!$B$62,AI23+AH24-AQ23)))</f>
        <v>112.84615384615383</v>
      </c>
      <c r="AJ24" s="13">
        <f>AI24*VLOOKUP('Données projet'!$B$10,Paramètres!$A$1:$I$89,3,0)*VLOOKUP('Données projet'!$B$10,Paramètres!$A$1:$I$89,5,0)</f>
        <v>67.481999999999985</v>
      </c>
      <c r="AK24" s="13">
        <f t="shared" si="35"/>
        <v>19.046822454976283</v>
      </c>
      <c r="AL24" s="20">
        <f t="shared" si="4"/>
        <v>150.70436577575032</v>
      </c>
      <c r="AM24" s="59">
        <f t="shared" si="5"/>
        <v>433.03769910908363</v>
      </c>
      <c r="AN24" s="59">
        <f ca="1">AVERAGE(OFFSET($AM$3,0,0,'Données projet'!$E$10+1,1))-AVERAGE(OFFSET($H$3,0,0,'Données projet'!$E$10+1,1))</f>
        <v>355.09162485318728</v>
      </c>
      <c r="AO24" s="59">
        <f t="shared" si="36"/>
        <v>320.06572891923685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8.7669059140748544</v>
      </c>
      <c r="AW24" s="21">
        <f>EXP(-LN(2)/2)*AW23+(1-EXP(-LN(2)/2))/(LN(2)/2)*AQ24*AT24*VLOOKUP('Données projet'!$B$10,Paramètres!$A$1:$I$89,3,0)*0.475*44/12</f>
        <v>6.9322054648355405</v>
      </c>
      <c r="AX24" s="21">
        <f t="shared" si="6"/>
        <v>15.699111378910395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4.0628205128205126</v>
      </c>
      <c r="BD24" s="12">
        <f>IF('Données projet'!$A$88&gt;35,BD23+BC24-BL23,IF(A24&lt;'Données projet'!$A$88,$BA$205^A24,IF(A24='Données projet'!$A$88,'Données projet'!$B$88,BD23+BC24-BL23)))</f>
        <v>28.851222752799568</v>
      </c>
      <c r="BE24" s="13">
        <f>BD24*VLOOKUP('Données projet'!$B$11,Paramètres!$A$1:$I$89,3,0)*VLOOKUP('Données projet'!$B$11,Paramètres!$A$1:$I$89,5,0)</f>
        <v>29.255139871338766</v>
      </c>
      <c r="BF24" s="13">
        <f t="shared" si="37"/>
        <v>9.1009831459745705</v>
      </c>
      <c r="BG24" s="20">
        <f t="shared" si="7"/>
        <v>66.803580921820739</v>
      </c>
      <c r="BH24" s="59">
        <f t="shared" si="8"/>
        <v>349.13691425515407</v>
      </c>
      <c r="BI24" s="59">
        <f ca="1">AVERAGE(OFFSET($BH$3,0,0,'Données projet'!$E$11+1,1))-AVERAGE(OFFSET($H$3,0,0,'Données projet'!$E$11+1,1))</f>
        <v>425.47148407510412</v>
      </c>
      <c r="BJ24" s="59">
        <f t="shared" si="38"/>
        <v>308.54448799922471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19.071794871794875</v>
      </c>
      <c r="N25" s="13">
        <f>IF('Données projet'!$A$36&gt;35,N24+M25-V24,IF(A25&lt;'Données projet'!$A$36,$K$205^A25,IF(A25='Données projet'!$A$36,'Données projet'!$B$36,N24+M25-V24)))</f>
        <v>173.12820512820514</v>
      </c>
      <c r="O25" s="13">
        <f>N25*VLOOKUP('Données projet'!$B$9,Paramètres!$A$1:$I$89,3,0)*VLOOKUP('Données projet'!$B$9,Paramètres!$A$1:$I$89,5,0)</f>
        <v>103.53066666666668</v>
      </c>
      <c r="P25" s="13">
        <f t="shared" si="33"/>
        <v>27.80142408921413</v>
      </c>
      <c r="Q25" s="20">
        <f t="shared" si="2"/>
        <v>228.73672473315909</v>
      </c>
      <c r="R25" s="59">
        <f t="shared" si="0"/>
        <v>512.29228028871466</v>
      </c>
      <c r="S25" s="59">
        <f ca="1">AVERAGE(OFFSET($R$3,0,0,'Données projet'!$E$9+1,1))-AVERAGE(OFFSET($H$3,0,0,'Données projet'!$E$9+1,1))</f>
        <v>323.20040177531774</v>
      </c>
      <c r="T25" s="59">
        <f t="shared" si="34"/>
        <v>402.87981443974337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17.342828399200144</v>
      </c>
      <c r="AB25" s="21">
        <f>EXP(-LN(2)/2)*AB24+(1-EXP(-LN(2)/2))/(LN(2)/2)*V25*Y25*VLOOKUP('Données projet'!$B$9,Paramètres!$A$1:$I$89,3,0)*0.475*44/12</f>
        <v>8.5685482931503998</v>
      </c>
      <c r="AC25" s="22">
        <f t="shared" si="3"/>
        <v>25.911376692350544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15.7</v>
      </c>
      <c r="AI25" s="13">
        <f>IF('Données projet'!$A$62&gt;35,AI24+AH25-AQ24,IF(A25&lt;'Données projet'!$A$62,$AF$205^A25,IF(A25='Données projet'!$A$62,'Données projet'!$B$62,AI24+AH25-AQ24)))</f>
        <v>128.54615384615383</v>
      </c>
      <c r="AJ25" s="13">
        <f>AI25*VLOOKUP('Données projet'!$B$10,Paramètres!$A$1:$I$89,3,0)*VLOOKUP('Données projet'!$B$10,Paramètres!$A$1:$I$89,5,0)</f>
        <v>76.870599999999996</v>
      </c>
      <c r="AK25" s="13">
        <f t="shared" si="35"/>
        <v>21.370261683634599</v>
      </c>
      <c r="AL25" s="20">
        <f t="shared" si="4"/>
        <v>171.10283409899691</v>
      </c>
      <c r="AM25" s="59">
        <f t="shared" si="5"/>
        <v>454.65838965455248</v>
      </c>
      <c r="AN25" s="59">
        <f ca="1">AVERAGE(OFFSET($AM$3,0,0,'Données projet'!$E$10+1,1))-AVERAGE(OFFSET($H$3,0,0,'Données projet'!$E$10+1,1))</f>
        <v>355.09162485318728</v>
      </c>
      <c r="AO25" s="59">
        <f t="shared" si="36"/>
        <v>320.06572891923685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8.5271744108229317</v>
      </c>
      <c r="AW25" s="21">
        <f>EXP(-LN(2)/2)*AW24+(1-EXP(-LN(2)/2))/(LN(2)/2)*AQ25*AT25*VLOOKUP('Données projet'!$B$10,Paramètres!$A$1:$I$89,3,0)*0.475*44/12</f>
        <v>4.901809492763654</v>
      </c>
      <c r="AX25" s="21">
        <f t="shared" si="6"/>
        <v>13.428983903586586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4.0628205128205126</v>
      </c>
      <c r="BD25" s="12">
        <f>IF('Données projet'!$A$88&gt;35,BD24+BC25-BL24,IF(A25&lt;'Données projet'!$A$88,$BA$205^A25,IF(A25='Données projet'!$A$88,'Données projet'!$B$88,BD24+BC25-BL24)))</f>
        <v>33.860693883812012</v>
      </c>
      <c r="BE25" s="13">
        <f>BD25*VLOOKUP('Données projet'!$B$11,Paramètres!$A$1:$I$89,3,0)*VLOOKUP('Données projet'!$B$11,Paramètres!$A$1:$I$89,5,0)</f>
        <v>34.334743598185383</v>
      </c>
      <c r="BF25" s="13">
        <f t="shared" si="37"/>
        <v>10.48398662234813</v>
      </c>
      <c r="BG25" s="20">
        <f t="shared" si="7"/>
        <v>78.059288467429198</v>
      </c>
      <c r="BH25" s="59">
        <f t="shared" si="8"/>
        <v>361.61484402298476</v>
      </c>
      <c r="BI25" s="59">
        <f ca="1">AVERAGE(OFFSET($BH$3,0,0,'Données projet'!$E$11+1,1))-AVERAGE(OFFSET($H$3,0,0,'Données projet'!$E$11+1,1))</f>
        <v>425.47148407510412</v>
      </c>
      <c r="BJ25" s="59">
        <f t="shared" si="38"/>
        <v>308.54448799922471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19.071794871794875</v>
      </c>
      <c r="N26" s="13">
        <f>IF('Données projet'!$A$36&gt;35,N25+M26-V25,IF(A26&lt;'Données projet'!$A$36,$K$205^A26,IF(A26='Données projet'!$A$36,'Données projet'!$B$36,N25+M26-V25)))</f>
        <v>192.20000000000002</v>
      </c>
      <c r="O26" s="13">
        <f>N26*VLOOKUP('Données projet'!$B$9,Paramètres!$A$1:$I$89,3,0)*VLOOKUP('Données projet'!$B$9,Paramètres!$A$1:$I$89,5,0)</f>
        <v>114.93560000000001</v>
      </c>
      <c r="P26" s="13">
        <f t="shared" si="33"/>
        <v>30.49086327624272</v>
      </c>
      <c r="Q26" s="20">
        <f t="shared" si="2"/>
        <v>253.28442353945601</v>
      </c>
      <c r="R26" s="59">
        <f t="shared" si="0"/>
        <v>538.06220131723376</v>
      </c>
      <c r="S26" s="59">
        <f ca="1">AVERAGE(OFFSET($R$3,0,0,'Données projet'!$E$9+1,1))-AVERAGE(OFFSET($H$3,0,0,'Données projet'!$E$9+1,1))</f>
        <v>323.20040177531774</v>
      </c>
      <c r="T26" s="59">
        <f t="shared" si="34"/>
        <v>402.87981443974337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16.86858784460431</v>
      </c>
      <c r="AB26" s="21">
        <f>EXP(-LN(2)/2)*AB25+(1-EXP(-LN(2)/2))/(LN(2)/2)*V26*Y26*VLOOKUP('Données projet'!$B$9,Paramètres!$A$1:$I$89,3,0)*0.475*44/12</f>
        <v>6.0588786030110651</v>
      </c>
      <c r="AC26" s="22">
        <f t="shared" si="3"/>
        <v>22.927466447615373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</v>
      </c>
      <c r="AI26" s="13">
        <f>IF('Données projet'!$A$62&gt;35,AI25+AH26-AQ25,IF(A26&lt;'Données projet'!$A$62,$AF$205^A26,IF(A26='Données projet'!$A$62,'Données projet'!$B$62,AI25+AH26-AQ25)))</f>
        <v>144.24615384615382</v>
      </c>
      <c r="AJ26" s="13">
        <f>AI26*VLOOKUP('Données projet'!$B$10,Paramètres!$A$1:$I$89,3,0)*VLOOKUP('Données projet'!$B$10,Paramètres!$A$1:$I$89,5,0)</f>
        <v>86.259199999999993</v>
      </c>
      <c r="AK26" s="13">
        <f t="shared" si="35"/>
        <v>23.660817147545782</v>
      </c>
      <c r="AL26" s="20">
        <f t="shared" si="4"/>
        <v>191.44402986530886</v>
      </c>
      <c r="AM26" s="59">
        <f t="shared" si="5"/>
        <v>476.22180764308666</v>
      </c>
      <c r="AN26" s="59">
        <f ca="1">AVERAGE(OFFSET($AM$3,0,0,'Données projet'!$E$10+1,1))-AVERAGE(OFFSET($H$3,0,0,'Données projet'!$E$10+1,1))</f>
        <v>355.09162485318728</v>
      </c>
      <c r="AO26" s="59">
        <f t="shared" si="36"/>
        <v>320.06572891923685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8.2939983781343649</v>
      </c>
      <c r="AW26" s="21">
        <f>EXP(-LN(2)/2)*AW25+(1-EXP(-LN(2)/2))/(LN(2)/2)*AQ26*AT26*VLOOKUP('Données projet'!$B$10,Paramètres!$A$1:$I$89,3,0)*0.475*44/12</f>
        <v>3.4661027324177707</v>
      </c>
      <c r="AX26" s="21">
        <f t="shared" si="6"/>
        <v>11.760101110552135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4.0628205128205126</v>
      </c>
      <c r="BD26" s="12">
        <f>IF('Données projet'!$A$88&gt;35,BD25+BC26-BL25,IF(A26&lt;'Données projet'!$A$88,$BA$205^A26,IF(A26='Données projet'!$A$88,'Données projet'!$B$88,BD25+BC26-BL25)))</f>
        <v>39.739965273463824</v>
      </c>
      <c r="BE26" s="13">
        <f>BD26*VLOOKUP('Données projet'!$B$11,Paramètres!$A$1:$I$89,3,0)*VLOOKUP('Données projet'!$B$11,Paramètres!$A$1:$I$89,5,0)</f>
        <v>40.29632478729232</v>
      </c>
      <c r="BF26" s="13">
        <f t="shared" si="37"/>
        <v>12.077154054085931</v>
      </c>
      <c r="BG26" s="20">
        <f t="shared" si="7"/>
        <v>91.217142315400451</v>
      </c>
      <c r="BH26" s="59">
        <f t="shared" si="8"/>
        <v>375.99492009317822</v>
      </c>
      <c r="BI26" s="59">
        <f ca="1">AVERAGE(OFFSET($BH$3,0,0,'Données projet'!$E$11+1,1))-AVERAGE(OFFSET($H$3,0,0,'Données projet'!$E$11+1,1))</f>
        <v>425.47148407510412</v>
      </c>
      <c r="BJ26" s="59">
        <f t="shared" si="38"/>
        <v>308.54448799922471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19.071794871794875</v>
      </c>
      <c r="N27" s="13">
        <f>IF('Données projet'!$A$36&gt;35,N26+M27-V26,IF(A27&lt;'Données projet'!$A$36,$K$205^A27,IF(A27='Données projet'!$A$36,'Données projet'!$B$36,N26+M27-V26)))</f>
        <v>211.2717948717949</v>
      </c>
      <c r="O27" s="13">
        <f>N27*VLOOKUP('Données projet'!$B$9,Paramètres!$A$1:$I$89,3,0)*VLOOKUP('Données projet'!$B$9,Paramètres!$A$1:$I$89,5,0)</f>
        <v>126.34053333333337</v>
      </c>
      <c r="P27" s="13">
        <f t="shared" si="33"/>
        <v>33.149363946532553</v>
      </c>
      <c r="Q27" s="20">
        <f t="shared" si="2"/>
        <v>277.77823776243309</v>
      </c>
      <c r="R27" s="59">
        <f t="shared" si="0"/>
        <v>563.77823776243304</v>
      </c>
      <c r="S27" s="59">
        <f ca="1">AVERAGE(OFFSET($R$3,0,0,'Données projet'!$E$9+1,1))-AVERAGE(OFFSET($H$3,0,0,'Données projet'!$E$9+1,1))</f>
        <v>323.20040177531774</v>
      </c>
      <c r="T27" s="59">
        <f t="shared" si="34"/>
        <v>402.87981443974337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16.407315422913126</v>
      </c>
      <c r="AB27" s="21">
        <f>EXP(-LN(2)/2)*AB26+(1-EXP(-LN(2)/2))/(LN(2)/2)*V27*Y27*VLOOKUP('Données projet'!$B$9,Paramètres!$A$1:$I$89,3,0)*0.475*44/12</f>
        <v>4.2842741465751999</v>
      </c>
      <c r="AC27" s="22">
        <f t="shared" si="3"/>
        <v>20.691589569488325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159.94615384615383</v>
      </c>
      <c r="AG27" s="12">
        <f>VLOOKUP(A27,'Données projet'!$A$61:$I$81,9,0)</f>
        <v>15.7</v>
      </c>
      <c r="AH27" s="12">
        <f t="array" ref="AH27">INDEX(AG:AG,MIN(IF(ISNUMBER(AG27:AG223),ROW(AG27:AG223),"")))</f>
        <v>15.7</v>
      </c>
      <c r="AI27" s="13">
        <f>IF('Données projet'!$A$62&gt;35,AI26+AH27-AQ26,IF(A27&lt;'Données projet'!$A$62,$AF$205^A27,IF(A27='Données projet'!$A$62,'Données projet'!$B$62,AI26+AH27-AQ26)))</f>
        <v>159.94615384615381</v>
      </c>
      <c r="AJ27" s="13">
        <f>AI27*VLOOKUP('Données projet'!$B$10,Paramètres!$A$1:$I$89,3,0)*VLOOKUP('Données projet'!$B$10,Paramètres!$A$1:$I$89,5,0)</f>
        <v>95.647799999999989</v>
      </c>
      <c r="AK27" s="13">
        <f t="shared" si="35"/>
        <v>25.922476046044615</v>
      </c>
      <c r="AL27" s="20">
        <f t="shared" si="4"/>
        <v>211.73489744686097</v>
      </c>
      <c r="AM27" s="59">
        <f t="shared" si="5"/>
        <v>497.73489744686094</v>
      </c>
      <c r="AN27" s="59">
        <f ca="1">AVERAGE(OFFSET($AM$3,0,0,'Données projet'!$E$10+1,1))-AVERAGE(OFFSET($H$3,0,0,'Données projet'!$E$10+1,1))</f>
        <v>355.09162485318728</v>
      </c>
      <c r="AO27" s="59">
        <f t="shared" si="36"/>
        <v>320.06572891923685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40.41538461538461</v>
      </c>
      <c r="AR27" s="16">
        <f>IF(ISNA(VLOOKUP(A27,'Données projet'!$A$61:$I$81,5,0)),0%,VLOOKUP(A27,'Données projet'!$A$61:$I$81,5,0)*VLOOKUP('Données projet'!$B$10,Paramètres!$A$1:$I$89,7,0))</f>
        <v>0.315</v>
      </c>
      <c r="AS27" s="16">
        <f>IF(ISNA(VLOOKUP(A27,'Données projet'!$A$61:$I$81,6,0)),0%,VLOOKUP(A27,'Données projet'!$A$61:$I$81,6,0)*VLOOKUP('Données projet'!$B$10,Paramètres!$A$1:$I$89,7,0))</f>
        <v>7.5600000000000001E-2</v>
      </c>
      <c r="AT27" s="16">
        <f>IF(ISNA(VLOOKUP(A27,'Données projet'!$A$61:$I$81,7,0)),0%,VLOOKUP(A27,'Données projet'!$A$61:$I$81,7,0))</f>
        <v>0.13200000000000001</v>
      </c>
      <c r="AU27" s="21">
        <f>EXP(-LN(2)/35)*AU26+(1-EXP(-LN(2)/35))/(LN(2)/35)*AQ27*AR27*VLOOKUP('Données projet'!$B$10,Paramètres!$A$1:$I$89,3,0)*0.475*44/12</f>
        <v>10.099196221226169</v>
      </c>
      <c r="AV27" s="21">
        <f>EXP(-LN(2)/25)*AV26+(1-EXP(-LN(2)/25))/(LN(2)/25)*Calculateur!AQ27*Calculateur!AS27*VLOOKUP('Données projet'!$B$10,Paramètres!$A$1:$I$89,3,0)*0.475*44/12</f>
        <v>10.481462197347724</v>
      </c>
      <c r="AW27" s="21">
        <f>EXP(-LN(2)/2)*AW26+(1-EXP(-LN(2)/2))/(LN(2)/2)*AQ27*AT27*VLOOKUP('Données projet'!$B$10,Paramètres!$A$1:$I$89,3,0)*0.475*44/12</f>
        <v>6.0629848302409268</v>
      </c>
      <c r="AX27" s="21">
        <f t="shared" si="6"/>
        <v>26.643643248814818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4.0628205128205126</v>
      </c>
      <c r="BD27" s="12">
        <f>IF('Données projet'!$A$88&gt;35,BD26+BC27-BL26,IF(A27&lt;'Données projet'!$A$88,$BA$205^A27,IF(A27='Données projet'!$A$88,'Données projet'!$B$88,BD26+BC27-BL26)))</f>
        <v>46.640061345320483</v>
      </c>
      <c r="BE27" s="13">
        <f>BD27*VLOOKUP('Données projet'!$B$11,Paramètres!$A$1:$I$89,3,0)*VLOOKUP('Données projet'!$B$11,Paramètres!$A$1:$I$89,5,0)</f>
        <v>47.293022204154973</v>
      </c>
      <c r="BF27" s="13">
        <f t="shared" si="37"/>
        <v>13.912422373299071</v>
      </c>
      <c r="BG27" s="20">
        <f t="shared" si="7"/>
        <v>106.5994826390658</v>
      </c>
      <c r="BH27" s="59">
        <f t="shared" si="8"/>
        <v>392.5994826390658</v>
      </c>
      <c r="BI27" s="59">
        <f ca="1">AVERAGE(OFFSET($BH$3,0,0,'Données projet'!$E$11+1,1))-AVERAGE(OFFSET($H$3,0,0,'Données projet'!$E$11+1,1))</f>
        <v>425.47148407510412</v>
      </c>
      <c r="BJ27" s="59">
        <f t="shared" si="38"/>
        <v>308.54448799922471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19.071794871794875</v>
      </c>
      <c r="N28" s="13">
        <f>IF('Données projet'!$A$36&gt;35,N27+M28-V27,IF(A28&lt;'Données projet'!$A$36,$K$205^A28,IF(A28='Données projet'!$A$36,'Données projet'!$B$36,N27+M28-V27)))</f>
        <v>230.34358974358977</v>
      </c>
      <c r="O28" s="13">
        <f>N28*VLOOKUP('Données projet'!$B$9,Paramètres!$A$1:$I$89,3,0)*VLOOKUP('Données projet'!$B$9,Paramètres!$A$1:$I$89,5,0)</f>
        <v>137.74546666666669</v>
      </c>
      <c r="P28" s="13">
        <f t="shared" si="33"/>
        <v>35.780036573255778</v>
      </c>
      <c r="Q28" s="20">
        <f t="shared" si="2"/>
        <v>302.22358480953159</v>
      </c>
      <c r="R28" s="59">
        <f t="shared" si="0"/>
        <v>589.44580703175382</v>
      </c>
      <c r="S28" s="59">
        <f ca="1">AVERAGE(OFFSET($R$3,0,0,'Données projet'!$E$9+1,1))-AVERAGE(OFFSET($H$3,0,0,'Données projet'!$E$9+1,1))</f>
        <v>323.20040177531774</v>
      </c>
      <c r="T28" s="59">
        <f t="shared" si="34"/>
        <v>402.87981443974337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15.958656519850347</v>
      </c>
      <c r="AB28" s="21">
        <f>EXP(-LN(2)/2)*AB27+(1-EXP(-LN(2)/2))/(LN(2)/2)*V28*Y28*VLOOKUP('Données projet'!$B$9,Paramètres!$A$1:$I$89,3,0)*0.475*44/12</f>
        <v>3.0294393015055325</v>
      </c>
      <c r="AC28" s="22">
        <f t="shared" si="3"/>
        <v>18.988095821355881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16.020512820512824</v>
      </c>
      <c r="AI28" s="13">
        <f>IF('Données projet'!$A$62&gt;35,AI27+AH28-AQ27,IF(A28&lt;'Données projet'!$A$62,$AF$205^A28,IF(A28='Données projet'!$A$62,'Données projet'!$B$62,AI27+AH28-AQ27)))</f>
        <v>135.55128205128204</v>
      </c>
      <c r="AJ28" s="13">
        <f>AI28*VLOOKUP('Données projet'!$B$10,Paramètres!$A$1:$I$89,3,0)*VLOOKUP('Données projet'!$B$10,Paramètres!$A$1:$I$89,5,0)</f>
        <v>81.059666666666672</v>
      </c>
      <c r="AK28" s="13">
        <f t="shared" si="35"/>
        <v>22.396079377742645</v>
      </c>
      <c r="AL28" s="20">
        <f t="shared" si="4"/>
        <v>180.18542436067958</v>
      </c>
      <c r="AM28" s="59">
        <f t="shared" si="5"/>
        <v>467.4076465829018</v>
      </c>
      <c r="AN28" s="59">
        <f ca="1">AVERAGE(OFFSET($AM$3,0,0,'Données projet'!$E$10+1,1))-AVERAGE(OFFSET($H$3,0,0,'Données projet'!$E$10+1,1))</f>
        <v>355.09162485318728</v>
      </c>
      <c r="AO28" s="59">
        <f t="shared" si="36"/>
        <v>320.06572891923685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9.9011571432293799</v>
      </c>
      <c r="AV28" s="21">
        <f>EXP(-LN(2)/25)*AV27+(1-EXP(-LN(2)/25))/(LN(2)/25)*Calculateur!AQ28*Calculateur!AS28*VLOOKUP('Données projet'!$B$10,Paramètres!$A$1:$I$89,3,0)*0.475*44/12</f>
        <v>10.19484606236511</v>
      </c>
      <c r="AW28" s="21">
        <f>EXP(-LN(2)/2)*AW27+(1-EXP(-LN(2)/2))/(LN(2)/2)*AQ28*AT28*VLOOKUP('Données projet'!$B$10,Paramètres!$A$1:$I$89,3,0)*0.475*44/12</f>
        <v>4.2871776876945287</v>
      </c>
      <c r="AX28" s="21">
        <f t="shared" si="6"/>
        <v>24.383180893289023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4.0628205128205126</v>
      </c>
      <c r="BD28" s="12">
        <f>IF('Données projet'!$A$88&gt;35,BD27+BC28-BL27,IF(A28&lt;'Données projet'!$A$88,$BA$205^A28,IF(A28='Données projet'!$A$88,'Données projet'!$B$88,BD27+BC28-BL27)))</f>
        <v>54.738229068051083</v>
      </c>
      <c r="BE28" s="13">
        <f>BD28*VLOOKUP('Données projet'!$B$11,Paramètres!$A$1:$I$89,3,0)*VLOOKUP('Données projet'!$B$11,Paramètres!$A$1:$I$89,5,0)</f>
        <v>55.504564275003808</v>
      </c>
      <c r="BF28" s="13">
        <f t="shared" si="37"/>
        <v>16.026581711739372</v>
      </c>
      <c r="BG28" s="20">
        <f t="shared" si="7"/>
        <v>124.58341259357769</v>
      </c>
      <c r="BH28" s="59">
        <f t="shared" si="8"/>
        <v>411.80563481579992</v>
      </c>
      <c r="BI28" s="59">
        <f ca="1">AVERAGE(OFFSET($BH$3,0,0,'Données projet'!$E$11+1,1))-AVERAGE(OFFSET($H$3,0,0,'Données projet'!$E$11+1,1))</f>
        <v>425.47148407510412</v>
      </c>
      <c r="BJ28" s="59">
        <f t="shared" si="38"/>
        <v>308.54448799922471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249.41538461538462</v>
      </c>
      <c r="L29" s="12">
        <f>VLOOKUP(A29,'Données projet'!$A$35:$I$55,9,0)</f>
        <v>19.071794871794875</v>
      </c>
      <c r="M29" s="12">
        <f t="array" ref="M29">INDEX(L:L,MIN(IF(ISNUMBER(L29:L225),ROW(L29:L225),"")))</f>
        <v>19.071794871794875</v>
      </c>
      <c r="N29" s="13">
        <f>IF('Données projet'!$A$36&gt;35,N28+M29-V28,IF(A29&lt;'Données projet'!$A$36,$K$205^A29,IF(A29='Données projet'!$A$36,'Données projet'!$B$36,N28+M29-V28)))</f>
        <v>249.41538461538465</v>
      </c>
      <c r="O29" s="13">
        <f>N29*VLOOKUP('Données projet'!$B$9,Paramètres!$A$1:$I$89,3,0)*VLOOKUP('Données projet'!$B$9,Paramètres!$A$1:$I$89,5,0)</f>
        <v>149.15040000000002</v>
      </c>
      <c r="P29" s="13">
        <f t="shared" si="33"/>
        <v>38.385447191571515</v>
      </c>
      <c r="Q29" s="20">
        <f t="shared" si="2"/>
        <v>326.62493385865372</v>
      </c>
      <c r="R29" s="59">
        <f t="shared" si="0"/>
        <v>615.06937830309812</v>
      </c>
      <c r="S29" s="59">
        <f ca="1">AVERAGE(OFFSET($R$3,0,0,'Données projet'!$E$9+1,1))-AVERAGE(OFFSET($H$3,0,0,'Données projet'!$E$9+1,1))</f>
        <v>323.20040177531774</v>
      </c>
      <c r="T29" s="59">
        <f t="shared" si="34"/>
        <v>402.87981443974337</v>
      </c>
      <c r="U29" s="15">
        <f>IF(ISNA(VLOOKUP(A29,'Données projet'!$A$35:$I$55,3,0)),0,VLOOKUP(A29,'Données projet'!$A$35:$I$55,3,0))</f>
        <v>3</v>
      </c>
      <c r="V29" s="15">
        <f>IF(ISNA(VLOOKUP(A29,'Données projet'!$A$35:$I$55,4,0)),0,VLOOKUP(A29,'Données projet'!$A$35:$I$55,4,0))</f>
        <v>46.984615384615381</v>
      </c>
      <c r="W29" s="16">
        <f>IF(ISNA(VLOOKUP(A29,'Données projet'!$A$35:$I$55,5,0)),0%,VLOOKUP(A29,'Données projet'!$A$35:$I$55,5,0)*VLOOKUP('Données projet'!$B$9,Paramètres!$A$1:$I$89,7,0))</f>
        <v>0.315</v>
      </c>
      <c r="X29" s="16">
        <f>IF(ISNA(VLOOKUP(A29,'Données projet'!$A$35:$I$55,6,0)),0%,VLOOKUP(A29,'Données projet'!$A$35:$I$55,6,0)*VLOOKUP('Données projet'!$B$9,Paramètres!$A$1:$I$89,7,0))</f>
        <v>7.5600000000000001E-2</v>
      </c>
      <c r="Y29" s="16">
        <f>IF(ISNA(VLOOKUP(A29,'Données projet'!$A$35:$I$55,7,0)),0%,VLOOKUP(A29,'Données projet'!$A$35:$I$55,7,0))</f>
        <v>0.13200000000000001</v>
      </c>
      <c r="Z29" s="21">
        <f>EXP(-LN(2)/35)*Z28+(1-EXP(-LN(2)/35))/(LN(2)/35)*V29*W29*VLOOKUP('Données projet'!$B$9,Paramètres!$A$1:$I$89,3,0)*0.475*44/12</f>
        <v>11.740748100352008</v>
      </c>
      <c r="AA29" s="21">
        <f>EXP(-LN(2)/25)*AA28+(1-EXP(-LN(2)/25))/(LN(2)/25)*Calculateur!V29*Calculateur!X29*VLOOKUP('Données projet'!$B$9,Paramètres!$A$1:$I$89,3,0)*0.475*44/12</f>
        <v>18.328951090447006</v>
      </c>
      <c r="AB29" s="21">
        <f>EXP(-LN(2)/2)*AB28+(1-EXP(-LN(2)/2))/(LN(2)/2)*V29*Y29*VLOOKUP('Données projet'!$B$9,Paramètres!$A$1:$I$89,3,0)*0.475*44/12</f>
        <v>6.3413348563502918</v>
      </c>
      <c r="AC29" s="22">
        <f t="shared" si="3"/>
        <v>36.411034047149307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16.020512820512824</v>
      </c>
      <c r="AI29" s="13">
        <f>IF('Données projet'!$A$62&gt;35,AI28+AH29-AQ28,IF(A29&lt;'Données projet'!$A$62,$AF$205^A29,IF(A29='Données projet'!$A$62,'Données projet'!$B$62,AI28+AH29-AQ28)))</f>
        <v>151.57179487179488</v>
      </c>
      <c r="AJ29" s="13">
        <f>AI29*VLOOKUP('Données projet'!$B$10,Paramètres!$A$1:$I$89,3,0)*VLOOKUP('Données projet'!$B$10,Paramètres!$A$1:$I$89,5,0)</f>
        <v>90.639933333333346</v>
      </c>
      <c r="AK29" s="13">
        <f t="shared" si="35"/>
        <v>24.719497804626467</v>
      </c>
      <c r="AL29" s="20">
        <f t="shared" si="4"/>
        <v>200.91767589861334</v>
      </c>
      <c r="AM29" s="59">
        <f t="shared" si="5"/>
        <v>489.36212034305777</v>
      </c>
      <c r="AN29" s="59">
        <f ca="1">AVERAGE(OFFSET($AM$3,0,0,'Données projet'!$E$10+1,1))-AVERAGE(OFFSET($H$3,0,0,'Données projet'!$E$10+1,1))</f>
        <v>355.09162485318728</v>
      </c>
      <c r="AO29" s="59">
        <f t="shared" si="36"/>
        <v>320.06572891923685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9.7070014907601969</v>
      </c>
      <c r="AV29" s="21">
        <f>EXP(-LN(2)/25)*AV28+(1-EXP(-LN(2)/25))/(LN(2)/25)*Calculateur!AQ29*Calculateur!AS29*VLOOKUP('Données projet'!$B$10,Paramètres!$A$1:$I$89,3,0)*0.475*44/12</f>
        <v>9.916067460666083</v>
      </c>
      <c r="AW29" s="21">
        <f>EXP(-LN(2)/2)*AW28+(1-EXP(-LN(2)/2))/(LN(2)/2)*AQ29*AT29*VLOOKUP('Données projet'!$B$10,Paramètres!$A$1:$I$89,3,0)*0.475*44/12</f>
        <v>3.0314924151204639</v>
      </c>
      <c r="AX29" s="21">
        <f t="shared" si="6"/>
        <v>22.654561366546744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4.0628205128205126</v>
      </c>
      <c r="BD29" s="12">
        <f>IF('Données projet'!$A$88&gt;35,BD28+BC29-BL28,IF(A29&lt;'Données projet'!$A$88,$BA$205^A29,IF(A29='Données projet'!$A$88,'Données projet'!$B$88,BD28+BC29-BL28)))</f>
        <v>64.242491006222849</v>
      </c>
      <c r="BE29" s="13">
        <f>BD29*VLOOKUP('Données projet'!$B$11,Paramètres!$A$1:$I$89,3,0)*VLOOKUP('Données projet'!$B$11,Paramètres!$A$1:$I$89,5,0)</f>
        <v>65.141885880309971</v>
      </c>
      <c r="BF29" s="13">
        <f t="shared" si="37"/>
        <v>18.462012902656809</v>
      </c>
      <c r="BG29" s="20">
        <f t="shared" si="7"/>
        <v>145.61012371366715</v>
      </c>
      <c r="BH29" s="59">
        <f t="shared" si="8"/>
        <v>434.05456815811158</v>
      </c>
      <c r="BI29" s="59">
        <f ca="1">AVERAGE(OFFSET($BH$3,0,0,'Données projet'!$E$11+1,1))-AVERAGE(OFFSET($H$3,0,0,'Données projet'!$E$11+1,1))</f>
        <v>425.47148407510412</v>
      </c>
      <c r="BJ29" s="59">
        <f t="shared" si="38"/>
        <v>308.54448799922471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19.498076923076916</v>
      </c>
      <c r="N30" s="13">
        <f>IF('Données projet'!$A$36&gt;35,N29+M30-V29,IF(A30&lt;'Données projet'!$A$36,$K$205^A30,IF(A30='Données projet'!$A$36,'Données projet'!$B$36,N29+M30-V29)))</f>
        <v>221.92884615384617</v>
      </c>
      <c r="O30" s="13">
        <f>N30*VLOOKUP('Données projet'!$B$9,Paramètres!$A$1:$I$89,3,0)*VLOOKUP('Données projet'!$B$9,Paramètres!$A$1:$I$89,5,0)</f>
        <v>132.71345000000002</v>
      </c>
      <c r="P30" s="13">
        <f t="shared" si="33"/>
        <v>34.622602138133175</v>
      </c>
      <c r="Q30" s="20">
        <f t="shared" si="2"/>
        <v>291.44362414058196</v>
      </c>
      <c r="R30" s="59">
        <f t="shared" si="0"/>
        <v>581.1102908072487</v>
      </c>
      <c r="S30" s="59">
        <f ca="1">AVERAGE(OFFSET($R$3,0,0,'Données projet'!$E$9+1,1))-AVERAGE(OFFSET($H$3,0,0,'Données projet'!$E$9+1,1))</f>
        <v>323.20040177531774</v>
      </c>
      <c r="T30" s="59">
        <f t="shared" si="34"/>
        <v>402.87981443974337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11.510519191253341</v>
      </c>
      <c r="AA30" s="21">
        <f>EXP(-LN(2)/25)*AA29+(1-EXP(-LN(2)/25))/(LN(2)/25)*Calculateur!V30*Calculateur!X30*VLOOKUP('Données projet'!$B$9,Paramètres!$A$1:$I$89,3,0)*0.475*44/12</f>
        <v>17.827744959001087</v>
      </c>
      <c r="AB30" s="21">
        <f>EXP(-LN(2)/2)*AB29+(1-EXP(-LN(2)/2))/(LN(2)/2)*V30*Y30*VLOOKUP('Données projet'!$B$9,Paramètres!$A$1:$I$89,3,0)*0.475*44/12</f>
        <v>4.4840008786999128</v>
      </c>
      <c r="AC30" s="22">
        <f t="shared" si="3"/>
        <v>33.822265028954341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16.020512820512824</v>
      </c>
      <c r="AI30" s="13">
        <f>IF('Données projet'!$A$62&gt;35,AI29+AH30-AQ29,IF(A30&lt;'Données projet'!$A$62,$AF$205^A30,IF(A30='Données projet'!$A$62,'Données projet'!$B$62,AI29+AH30-AQ29)))</f>
        <v>167.59230769230771</v>
      </c>
      <c r="AJ30" s="13">
        <f>AI30*VLOOKUP('Données projet'!$B$10,Paramètres!$A$1:$I$89,3,0)*VLOOKUP('Données projet'!$B$10,Paramètres!$A$1:$I$89,5,0)</f>
        <v>100.22020000000002</v>
      </c>
      <c r="AK30" s="13">
        <f t="shared" si="35"/>
        <v>27.014450444334749</v>
      </c>
      <c r="AL30" s="20">
        <f t="shared" si="4"/>
        <v>221.60034952388301</v>
      </c>
      <c r="AM30" s="59">
        <f t="shared" si="5"/>
        <v>511.26701619054973</v>
      </c>
      <c r="AN30" s="59">
        <f ca="1">AVERAGE(OFFSET($AM$3,0,0,'Données projet'!$E$10+1,1))-AVERAGE(OFFSET($H$3,0,0,'Données projet'!$E$10+1,1))</f>
        <v>355.09162485318728</v>
      </c>
      <c r="AO30" s="59">
        <f t="shared" si="36"/>
        <v>320.06572891923685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9.5166531122126798</v>
      </c>
      <c r="AV30" s="21">
        <f>EXP(-LN(2)/25)*AV29+(1-EXP(-LN(2)/25))/(LN(2)/25)*Calculateur!AQ30*Calculateur!AS30*VLOOKUP('Données projet'!$B$10,Paramètres!$A$1:$I$89,3,0)*0.475*44/12</f>
        <v>9.6449120744908452</v>
      </c>
      <c r="AW30" s="21">
        <f>EXP(-LN(2)/2)*AW29+(1-EXP(-LN(2)/2))/(LN(2)/2)*AQ30*AT30*VLOOKUP('Données projet'!$B$10,Paramètres!$A$1:$I$89,3,0)*0.475*44/12</f>
        <v>2.1435888438472643</v>
      </c>
      <c r="AX30" s="21">
        <f t="shared" si="6"/>
        <v>21.305154030550792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4.0628205128205126</v>
      </c>
      <c r="BD30" s="12">
        <f>IF('Données projet'!$A$88&gt;35,BD29+BC30-BL29,IF(A30&lt;'Données projet'!$A$88,$BA$205^A30,IF(A30='Données projet'!$A$88,'Données projet'!$B$88,BD29+BC30-BL29)))</f>
        <v>75.396988922564091</v>
      </c>
      <c r="BE30" s="13">
        <f>BD30*VLOOKUP('Données projet'!$B$11,Paramètres!$A$1:$I$89,3,0)*VLOOKUP('Données projet'!$B$11,Paramètres!$A$1:$I$89,5,0)</f>
        <v>76.452546767480001</v>
      </c>
      <c r="BF30" s="13">
        <f t="shared" si="37"/>
        <v>21.267537054904178</v>
      </c>
      <c r="BG30" s="20">
        <f t="shared" si="7"/>
        <v>170.19581265731912</v>
      </c>
      <c r="BH30" s="59">
        <f t="shared" si="8"/>
        <v>459.86247932398578</v>
      </c>
      <c r="BI30" s="59">
        <f ca="1">AVERAGE(OFFSET($BH$3,0,0,'Données projet'!$E$11+1,1))-AVERAGE(OFFSET($H$3,0,0,'Données projet'!$E$11+1,1))</f>
        <v>425.47148407510412</v>
      </c>
      <c r="BJ30" s="59">
        <f t="shared" si="38"/>
        <v>308.54448799922471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19.498076923076916</v>
      </c>
      <c r="N31" s="13">
        <f>IF('Données projet'!$A$36&gt;35,N30+M31-V30,IF(A31&lt;'Données projet'!$A$36,$K$205^A31,IF(A31='Données projet'!$A$36,'Données projet'!$B$36,N30+M31-V30)))</f>
        <v>241.42692307692309</v>
      </c>
      <c r="O31" s="13">
        <f>N31*VLOOKUP('Données projet'!$B$9,Paramètres!$A$1:$I$89,3,0)*VLOOKUP('Données projet'!$B$9,Paramètres!$A$1:$I$89,5,0)</f>
        <v>144.37330000000003</v>
      </c>
      <c r="P31" s="13">
        <f t="shared" si="33"/>
        <v>37.297066515496802</v>
      </c>
      <c r="Q31" s="20">
        <f t="shared" si="2"/>
        <v>316.40922168115691</v>
      </c>
      <c r="R31" s="59">
        <f t="shared" si="0"/>
        <v>607.29811057004576</v>
      </c>
      <c r="S31" s="59">
        <f ca="1">AVERAGE(OFFSET($R$3,0,0,'Données projet'!$E$9+1,1))-AVERAGE(OFFSET($H$3,0,0,'Données projet'!$E$9+1,1))</f>
        <v>323.20040177531774</v>
      </c>
      <c r="T31" s="59">
        <f t="shared" si="34"/>
        <v>402.87981443974337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11.28480493063633</v>
      </c>
      <c r="AA31" s="21">
        <f>EXP(-LN(2)/25)*AA30+(1-EXP(-LN(2)/25))/(LN(2)/25)*Calculateur!V31*Calculateur!X31*VLOOKUP('Données projet'!$B$9,Paramètres!$A$1:$I$89,3,0)*0.475*44/12</f>
        <v>17.340244335576841</v>
      </c>
      <c r="AB31" s="21">
        <f>EXP(-LN(2)/2)*AB30+(1-EXP(-LN(2)/2))/(LN(2)/2)*V31*Y31*VLOOKUP('Données projet'!$B$9,Paramètres!$A$1:$I$89,3,0)*0.475*44/12</f>
        <v>3.1706674281751464</v>
      </c>
      <c r="AC31" s="22">
        <f t="shared" si="3"/>
        <v>31.795716694388318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16.020512820512824</v>
      </c>
      <c r="AI31" s="13">
        <f>IF('Données projet'!$A$62&gt;35,AI30+AH31-AQ30,IF(A31&lt;'Données projet'!$A$62,$AF$205^A31,IF(A31='Données projet'!$A$62,'Données projet'!$B$62,AI30+AH31-AQ30)))</f>
        <v>183.61282051282055</v>
      </c>
      <c r="AJ31" s="13">
        <f>AI31*VLOOKUP('Données projet'!$B$10,Paramètres!$A$1:$I$89,3,0)*VLOOKUP('Données projet'!$B$10,Paramètres!$A$1:$I$89,5,0)</f>
        <v>109.80046666666669</v>
      </c>
      <c r="AK31" s="13">
        <f t="shared" si="35"/>
        <v>29.283967996494283</v>
      </c>
      <c r="AL31" s="20">
        <f t="shared" si="4"/>
        <v>242.23872370500536</v>
      </c>
      <c r="AM31" s="59">
        <f t="shared" si="5"/>
        <v>533.12761259389424</v>
      </c>
      <c r="AN31" s="59">
        <f ca="1">AVERAGE(OFFSET($AM$3,0,0,'Données projet'!$E$10+1,1))-AVERAGE(OFFSET($H$3,0,0,'Données projet'!$E$10+1,1))</f>
        <v>355.09162485318728</v>
      </c>
      <c r="AO31" s="59">
        <f t="shared" si="36"/>
        <v>320.06572891923685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9.3300373492674318</v>
      </c>
      <c r="AV31" s="21">
        <f>EXP(-LN(2)/25)*AV30+(1-EXP(-LN(2)/25))/(LN(2)/25)*Calculateur!AQ31*Calculateur!AS31*VLOOKUP('Données projet'!$B$10,Paramètres!$A$1:$I$89,3,0)*0.475*44/12</f>
        <v>9.3811714466100113</v>
      </c>
      <c r="AW31" s="21">
        <f>EXP(-LN(2)/2)*AW30+(1-EXP(-LN(2)/2))/(LN(2)/2)*AQ31*AT31*VLOOKUP('Données projet'!$B$10,Paramètres!$A$1:$I$89,3,0)*0.475*44/12</f>
        <v>1.5157462075602319</v>
      </c>
      <c r="AX31" s="21">
        <f t="shared" si="6"/>
        <v>20.226955003437673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4.0628205128205126</v>
      </c>
      <c r="BD31" s="12">
        <f>IF('Données projet'!$A$88&gt;35,BD30+BC31-BL30,IF(A31&lt;'Données projet'!$A$88,$BA$205^A31,IF(A31='Données projet'!$A$88,'Données projet'!$B$88,BD30+BC31-BL30)))</f>
        <v>88.488255196060223</v>
      </c>
      <c r="BE31" s="13">
        <f>BD31*VLOOKUP('Données projet'!$B$11,Paramètres!$A$1:$I$89,3,0)*VLOOKUP('Données projet'!$B$11,Paramètres!$A$1:$I$89,5,0)</f>
        <v>89.72709076880507</v>
      </c>
      <c r="BF31" s="13">
        <f t="shared" si="37"/>
        <v>24.499394230010086</v>
      </c>
      <c r="BG31" s="20">
        <f t="shared" si="7"/>
        <v>198.94446137293639</v>
      </c>
      <c r="BH31" s="59">
        <f t="shared" si="8"/>
        <v>489.83335026182522</v>
      </c>
      <c r="BI31" s="59">
        <f ca="1">AVERAGE(OFFSET($BH$3,0,0,'Données projet'!$E$11+1,1))-AVERAGE(OFFSET($H$3,0,0,'Données projet'!$E$11+1,1))</f>
        <v>425.47148407510412</v>
      </c>
      <c r="BJ31" s="59">
        <f t="shared" si="38"/>
        <v>308.54448799922471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19.498076923076916</v>
      </c>
      <c r="N32" s="13">
        <f>IF('Données projet'!$A$36&gt;35,N31+M32-V31,IF(A32&lt;'Données projet'!$A$36,$K$205^A32,IF(A32='Données projet'!$A$36,'Données projet'!$B$36,N31+M32-V31)))</f>
        <v>260.92500000000001</v>
      </c>
      <c r="O32" s="13">
        <f>N32*VLOOKUP('Données projet'!$B$9,Paramètres!$A$1:$I$89,3,0)*VLOOKUP('Données projet'!$B$9,Paramètres!$A$1:$I$89,5,0)</f>
        <v>156.03315000000001</v>
      </c>
      <c r="P32" s="13">
        <f t="shared" si="33"/>
        <v>39.946478197047639</v>
      </c>
      <c r="Q32" s="20">
        <f t="shared" si="2"/>
        <v>341.33118577652465</v>
      </c>
      <c r="R32" s="59">
        <f t="shared" si="0"/>
        <v>633.44229688763585</v>
      </c>
      <c r="S32" s="59">
        <f ca="1">AVERAGE(OFFSET($R$3,0,0,'Données projet'!$E$9+1,1))-AVERAGE(OFFSET($H$3,0,0,'Données projet'!$E$9+1,1))</f>
        <v>323.20040177531774</v>
      </c>
      <c r="T32" s="59">
        <f t="shared" si="34"/>
        <v>402.87981443974337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11.063516788997914</v>
      </c>
      <c r="AA32" s="21">
        <f>EXP(-LN(2)/25)*AA31+(1-EXP(-LN(2)/25))/(LN(2)/25)*Calculateur!V32*Calculateur!X32*VLOOKUP('Données projet'!$B$9,Paramètres!$A$1:$I$89,3,0)*0.475*44/12</f>
        <v>16.866074442336675</v>
      </c>
      <c r="AB32" s="21">
        <f>EXP(-LN(2)/2)*AB31+(1-EXP(-LN(2)/2))/(LN(2)/2)*V32*Y32*VLOOKUP('Données projet'!$B$9,Paramètres!$A$1:$I$89,3,0)*0.475*44/12</f>
        <v>2.2420004393499569</v>
      </c>
      <c r="AC32" s="22">
        <f t="shared" si="3"/>
        <v>30.171591670684549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16.020512820512824</v>
      </c>
      <c r="AI32" s="13">
        <f>IF('Données projet'!$A$62&gt;35,AI31+AH32-AQ31,IF(A32&lt;'Données projet'!$A$62,$AF$205^A32,IF(A32='Données projet'!$A$62,'Données projet'!$B$62,AI31+AH32-AQ31)))</f>
        <v>199.63333333333338</v>
      </c>
      <c r="AJ32" s="13">
        <f>AI32*VLOOKUP('Données projet'!$B$10,Paramètres!$A$1:$I$89,3,0)*VLOOKUP('Données projet'!$B$10,Paramètres!$A$1:$I$89,5,0)</f>
        <v>119.38073333333337</v>
      </c>
      <c r="AK32" s="13">
        <f t="shared" si="35"/>
        <v>31.530522050233152</v>
      </c>
      <c r="AL32" s="20">
        <f t="shared" si="4"/>
        <v>262.83710312637839</v>
      </c>
      <c r="AM32" s="59">
        <f t="shared" si="5"/>
        <v>554.94821423748954</v>
      </c>
      <c r="AN32" s="59">
        <f ca="1">AVERAGE(OFFSET($AM$3,0,0,'Données projet'!$E$10+1,1))-AVERAGE(OFFSET($H$3,0,0,'Données projet'!$E$10+1,1))</f>
        <v>355.09162485318728</v>
      </c>
      <c r="AO32" s="59">
        <f t="shared" si="36"/>
        <v>320.06572891923685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9.1470810076091649</v>
      </c>
      <c r="AV32" s="21">
        <f>EXP(-LN(2)/25)*AV31+(1-EXP(-LN(2)/25))/(LN(2)/25)*Calculateur!AQ32*Calculateur!AS32*VLOOKUP('Données projet'!$B$10,Paramètres!$A$1:$I$89,3,0)*0.475*44/12</f>
        <v>9.1246428200680949</v>
      </c>
      <c r="AW32" s="21">
        <f>EXP(-LN(2)/2)*AW31+(1-EXP(-LN(2)/2))/(LN(2)/2)*AQ32*AT32*VLOOKUP('Données projet'!$B$10,Paramètres!$A$1:$I$89,3,0)*0.475*44/12</f>
        <v>1.0717944219236322</v>
      </c>
      <c r="AX32" s="21">
        <f t="shared" si="6"/>
        <v>19.343518249600891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4.0628205128205126</v>
      </c>
      <c r="BD32" s="12">
        <f>IF('Données projet'!$A$88&gt;35,BD31+BC32-BL31,IF(A32&lt;'Données projet'!$A$88,$BA$205^A32,IF(A32='Données projet'!$A$88,'Données projet'!$B$88,BD31+BC32-BL31)))</f>
        <v>103.85257315361756</v>
      </c>
      <c r="BE32" s="13">
        <f>BD32*VLOOKUP('Données projet'!$B$11,Paramètres!$A$1:$I$89,3,0)*VLOOKUP('Données projet'!$B$11,Paramètres!$A$1:$I$89,5,0)</f>
        <v>105.30650917776822</v>
      </c>
      <c r="BF32" s="13">
        <f t="shared" si="37"/>
        <v>28.222370840964146</v>
      </c>
      <c r="BG32" s="20">
        <f t="shared" si="7"/>
        <v>232.56279936595885</v>
      </c>
      <c r="BH32" s="59">
        <f t="shared" si="8"/>
        <v>524.67391047706997</v>
      </c>
      <c r="BI32" s="59">
        <f ca="1">AVERAGE(OFFSET($BH$3,0,0,'Données projet'!$E$11+1,1))-AVERAGE(OFFSET($H$3,0,0,'Données projet'!$E$11+1,1))</f>
        <v>425.47148407510412</v>
      </c>
      <c r="BJ32" s="59">
        <f t="shared" si="38"/>
        <v>308.54448799922471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280.42307692307691</v>
      </c>
      <c r="L33" s="12">
        <f>VLOOKUP(A33,'Données projet'!$A$35:$I$55,9,0)</f>
        <v>19.498076923076916</v>
      </c>
      <c r="M33" s="12">
        <f t="array" ref="M33">INDEX(L:L,MIN(IF(ISNUMBER(L33:L229),ROW(L33:L229),"")))</f>
        <v>19.498076923076916</v>
      </c>
      <c r="N33" s="13">
        <f>IF('Données projet'!$A$36&gt;35,N32+M33-V32,IF(A33&lt;'Données projet'!$A$36,$K$205^A33,IF(A33='Données projet'!$A$36,'Données projet'!$B$36,N32+M33-V32)))</f>
        <v>280.42307692307691</v>
      </c>
      <c r="O33" s="13">
        <f>N33*VLOOKUP('Données projet'!$B$9,Paramètres!$A$1:$I$89,3,0)*VLOOKUP('Données projet'!$B$9,Paramètres!$A$1:$I$89,5,0)</f>
        <v>167.69299999999998</v>
      </c>
      <c r="P33" s="13">
        <f t="shared" si="33"/>
        <v>42.572922166359888</v>
      </c>
      <c r="Q33" s="20">
        <f t="shared" si="2"/>
        <v>366.2131477730768</v>
      </c>
      <c r="R33" s="59">
        <f t="shared" si="0"/>
        <v>659.54648110641006</v>
      </c>
      <c r="S33" s="59">
        <f ca="1">AVERAGE(OFFSET($R$3,0,0,'Données projet'!$E$9+1,1))-AVERAGE(OFFSET($H$3,0,0,'Données projet'!$E$9+1,1))</f>
        <v>323.20040177531774</v>
      </c>
      <c r="T33" s="59">
        <f t="shared" si="34"/>
        <v>402.87981443974337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10.846567972844589</v>
      </c>
      <c r="AA33" s="21">
        <f>EXP(-LN(2)/25)*AA32+(1-EXP(-LN(2)/25))/(LN(2)/25)*Calculateur!V33*Calculateur!X33*VLOOKUP('Données projet'!$B$9,Paramètres!$A$1:$I$89,3,0)*0.475*44/12</f>
        <v>16.404870749762672</v>
      </c>
      <c r="AB33" s="21">
        <f>EXP(-LN(2)/2)*AB32+(1-EXP(-LN(2)/2))/(LN(2)/2)*V33*Y33*VLOOKUP('Données projet'!$B$9,Paramètres!$A$1:$I$89,3,0)*0.475*44/12</f>
        <v>1.5853337140875734</v>
      </c>
      <c r="AC33" s="22">
        <f t="shared" si="3"/>
        <v>28.836772436694837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215.65384615384616</v>
      </c>
      <c r="AG33" s="12">
        <f>VLOOKUP(A33,'Données projet'!$A$61:$I$81,9,0)</f>
        <v>16.020512820512824</v>
      </c>
      <c r="AH33" s="12">
        <f t="array" ref="AH33">INDEX(AG:AG,MIN(IF(ISNUMBER(AG33:AG229),ROW(AG33:AG229),"")))</f>
        <v>16.020512820512824</v>
      </c>
      <c r="AI33" s="13">
        <f>IF('Données projet'!$A$62&gt;35,AI32+AH33-AQ32,IF(A33&lt;'Données projet'!$A$62,$AF$205^A33,IF(A33='Données projet'!$A$62,'Données projet'!$B$62,AI32+AH33-AQ32)))</f>
        <v>215.65384615384622</v>
      </c>
      <c r="AJ33" s="13">
        <f>AI33*VLOOKUP('Données projet'!$B$10,Paramètres!$A$1:$I$89,3,0)*VLOOKUP('Données projet'!$B$10,Paramètres!$A$1:$I$89,5,0)</f>
        <v>128.96100000000004</v>
      </c>
      <c r="AK33" s="13">
        <f t="shared" si="35"/>
        <v>33.756164929705356</v>
      </c>
      <c r="AL33" s="20">
        <f t="shared" si="4"/>
        <v>283.39906225257022</v>
      </c>
      <c r="AM33" s="59">
        <f t="shared" si="5"/>
        <v>576.73239558590353</v>
      </c>
      <c r="AN33" s="59">
        <f ca="1">AVERAGE(OFFSET($AM$3,0,0,'Données projet'!$E$10+1,1))-AVERAGE(OFFSET($H$3,0,0,'Données projet'!$E$10+1,1))</f>
        <v>355.09162485318728</v>
      </c>
      <c r="AO33" s="59">
        <f t="shared" si="36"/>
        <v>320.06572891923685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55.869230769230761</v>
      </c>
      <c r="AR33" s="16">
        <f>IF(ISNA(VLOOKUP(A33,'Données projet'!$A$61:$I$81,5,0)),0%,VLOOKUP(A33,'Données projet'!$A$61:$I$81,5,0)*VLOOKUP('Données projet'!$B$10,Paramètres!$A$1:$I$89,7,0))</f>
        <v>0.315</v>
      </c>
      <c r="AS33" s="16">
        <f>IF(ISNA(VLOOKUP(A33,'Données projet'!$A$61:$I$81,6,0)),0%,VLOOKUP(A33,'Données projet'!$A$61:$I$81,6,0)*VLOOKUP('Données projet'!$B$10,Paramètres!$A$1:$I$89,7,0))</f>
        <v>7.5600000000000001E-2</v>
      </c>
      <c r="AT33" s="16">
        <f>IF(ISNA(VLOOKUP(A33,'Données projet'!$A$61:$I$81,7,0)),0%,VLOOKUP(A33,'Données projet'!$A$61:$I$81,7,0))</f>
        <v>0.13200000000000001</v>
      </c>
      <c r="AU33" s="21">
        <f>EXP(-LN(2)/35)*AU32+(1-EXP(-LN(2)/35))/(LN(2)/35)*AQ33*AR33*VLOOKUP('Données projet'!$B$10,Paramètres!$A$1:$I$89,3,0)*0.475*44/12</f>
        <v>22.92859206837181</v>
      </c>
      <c r="AV33" s="21">
        <f>EXP(-LN(2)/25)*AV32+(1-EXP(-LN(2)/25))/(LN(2)/25)*Calculateur!AQ33*Calculateur!AS33*VLOOKUP('Données projet'!$B$10,Paramètres!$A$1:$I$89,3,0)*0.475*44/12</f>
        <v>12.212547487214213</v>
      </c>
      <c r="AW33" s="21">
        <f>EXP(-LN(2)/2)*AW32+(1-EXP(-LN(2)/2))/(LN(2)/2)*AQ33*AT33*VLOOKUP('Données projet'!$B$10,Paramètres!$A$1:$I$89,3,0)*0.475*44/12</f>
        <v>5.7511235128148783</v>
      </c>
      <c r="AX33" s="21">
        <f t="shared" si="6"/>
        <v>40.892263068400901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121.88461538461537</v>
      </c>
      <c r="BB33" s="12">
        <f>VLOOKUP(A33,'Données projet'!$A$87:$I$107,9,0)</f>
        <v>4.0628205128205126</v>
      </c>
      <c r="BC33" s="12">
        <f t="array" ref="BC33">INDEX(BB:BB,MIN(IF(ISNUMBER(BB33:BB229),ROW(BB33:BB229),"")))</f>
        <v>4.0628205128205126</v>
      </c>
      <c r="BD33" s="12">
        <f>IF('Données projet'!$A$88&gt;35,BD32+BC33-BL32,IF(A33&lt;'Données projet'!$A$88,$BA$205^A33,IF(A33='Données projet'!$A$88,'Données projet'!$B$88,BD32+BC33-BL32)))</f>
        <v>121.88461538461537</v>
      </c>
      <c r="BE33" s="13">
        <f>BD33*VLOOKUP('Données projet'!$B$11,Paramètres!$A$1:$I$89,3,0)*VLOOKUP('Données projet'!$B$11,Paramètres!$A$1:$I$89,5,0)</f>
        <v>123.59099999999999</v>
      </c>
      <c r="BF33" s="13">
        <f t="shared" si="37"/>
        <v>32.511098372760657</v>
      </c>
      <c r="BG33" s="20">
        <f t="shared" si="7"/>
        <v>271.87782133255809</v>
      </c>
      <c r="BH33" s="59">
        <f t="shared" si="8"/>
        <v>565.2111546658914</v>
      </c>
      <c r="BI33" s="59">
        <f ca="1">AVERAGE(OFFSET($BH$3,0,0,'Données projet'!$E$11+1,1))-AVERAGE(OFFSET($H$3,0,0,'Données projet'!$E$11+1,1))</f>
        <v>425.47148407510412</v>
      </c>
      <c r="BJ33" s="59">
        <f t="shared" si="38"/>
        <v>308.54448799922471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19.184615384615398</v>
      </c>
      <c r="N34" s="13">
        <f>IF('Données projet'!$A$36&gt;35,N33+M34-V33,IF(A34&lt;'Données projet'!$A$36,$K$205^A34,IF(A34='Données projet'!$A$36,'Données projet'!$B$36,N33+M34-V33)))</f>
        <v>299.60769230769233</v>
      </c>
      <c r="O34" s="13">
        <f>N34*VLOOKUP('Données projet'!$B$9,Paramètres!$A$1:$I$89,3,0)*VLOOKUP('Données projet'!$B$9,Paramètres!$A$1:$I$89,5,0)</f>
        <v>179.16540000000003</v>
      </c>
      <c r="P34" s="13">
        <f t="shared" si="33"/>
        <v>45.136452849152207</v>
      </c>
      <c r="Q34" s="20">
        <f t="shared" si="2"/>
        <v>390.65906037894007</v>
      </c>
      <c r="R34" s="59">
        <f t="shared" si="0"/>
        <v>683.99239371227338</v>
      </c>
      <c r="S34" s="59">
        <f ca="1">AVERAGE(OFFSET($R$3,0,0,'Données projet'!$E$9+1,1))-AVERAGE(OFFSET($H$3,0,0,'Données projet'!$E$9+1,1))</f>
        <v>323.20040177531774</v>
      </c>
      <c r="T34" s="59">
        <f t="shared" si="34"/>
        <v>402.87981443974337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10.633873390650319</v>
      </c>
      <c r="AA34" s="21">
        <f>EXP(-LN(2)/25)*AA33+(1-EXP(-LN(2)/25))/(LN(2)/25)*Calculateur!V34*Calculateur!X34*VLOOKUP('Données projet'!$B$9,Paramètres!$A$1:$I$89,3,0)*0.475*44/12</f>
        <v>15.956278696415753</v>
      </c>
      <c r="AB34" s="21">
        <f>EXP(-LN(2)/2)*AB33+(1-EXP(-LN(2)/2))/(LN(2)/2)*V34*Y34*VLOOKUP('Données projet'!$B$9,Paramètres!$A$1:$I$89,3,0)*0.475*44/12</f>
        <v>1.1210002196749784</v>
      </c>
      <c r="AC34" s="22">
        <f t="shared" si="3"/>
        <v>27.711152306741052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15.48351648351648</v>
      </c>
      <c r="AI34" s="13">
        <f>IF('Données projet'!$A$62&gt;35,AI33+AH34-AQ33,IF(A34&lt;'Données projet'!$A$62,$AF$205^A34,IF(A34='Données projet'!$A$62,'Données projet'!$B$62,AI33+AH34-AQ33)))</f>
        <v>175.26813186813192</v>
      </c>
      <c r="AJ34" s="13">
        <f>AI34*VLOOKUP('Données projet'!$B$10,Paramètres!$A$1:$I$89,3,0)*VLOOKUP('Données projet'!$B$10,Paramètres!$A$1:$I$89,5,0)</f>
        <v>104.8103428571429</v>
      </c>
      <c r="AK34" s="13">
        <f t="shared" si="35"/>
        <v>28.104843056220705</v>
      </c>
      <c r="AL34" s="20">
        <f t="shared" si="4"/>
        <v>231.49394879910827</v>
      </c>
      <c r="AM34" s="59">
        <f t="shared" si="5"/>
        <v>524.82728213244161</v>
      </c>
      <c r="AN34" s="59">
        <f ca="1">AVERAGE(OFFSET($AM$3,0,0,'Données projet'!$E$10+1,1))-AVERAGE(OFFSET($H$3,0,0,'Données projet'!$E$10+1,1))</f>
        <v>355.09162485318728</v>
      </c>
      <c r="AO34" s="59">
        <f t="shared" si="36"/>
        <v>320.06572891923685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22.478976362971292</v>
      </c>
      <c r="AV34" s="21">
        <f>EXP(-LN(2)/25)*AV33+(1-EXP(-LN(2)/25))/(LN(2)/25)*Calculateur!AQ34*Calculateur!AS34*VLOOKUP('Données projet'!$B$10,Paramètres!$A$1:$I$89,3,0)*0.475*44/12</f>
        <v>11.878594733946381</v>
      </c>
      <c r="AW34" s="21">
        <f>EXP(-LN(2)/2)*AW33+(1-EXP(-LN(2)/2))/(LN(2)/2)*AQ34*AT34*VLOOKUP('Données projet'!$B$10,Paramètres!$A$1:$I$89,3,0)*0.475*44/12</f>
        <v>4.0666584353527986</v>
      </c>
      <c r="AX34" s="21">
        <f t="shared" si="6"/>
        <v>38.424229532270473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8.0564102564102633</v>
      </c>
      <c r="BD34" s="12">
        <f>IF('Données projet'!$A$88&gt;35,BD33+BC34-BL33,IF(A34&lt;'Données projet'!$A$88,$BA$205^A34,IF(A34='Données projet'!$A$88,'Données projet'!$B$88,BD33+BC34-BL33)))</f>
        <v>129.94102564102565</v>
      </c>
      <c r="BE34" s="13">
        <f>BD34*VLOOKUP('Données projet'!$B$11,Paramètres!$A$1:$I$89,3,0)*VLOOKUP('Données projet'!$B$11,Paramètres!$A$1:$I$89,5,0)</f>
        <v>131.76020000000003</v>
      </c>
      <c r="BF34" s="13">
        <f t="shared" si="37"/>
        <v>34.402770960054035</v>
      </c>
      <c r="BG34" s="20">
        <f t="shared" si="7"/>
        <v>289.40050775542744</v>
      </c>
      <c r="BH34" s="59">
        <f t="shared" si="8"/>
        <v>582.73384108876076</v>
      </c>
      <c r="BI34" s="59">
        <f ca="1">AVERAGE(OFFSET($BH$3,0,0,'Données projet'!$E$11+1,1))-AVERAGE(OFFSET($H$3,0,0,'Données projet'!$E$11+1,1))</f>
        <v>425.47148407510412</v>
      </c>
      <c r="BJ34" s="59">
        <f t="shared" si="38"/>
        <v>308.54448799922471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318.7923076923077</v>
      </c>
      <c r="L35" s="12">
        <f>VLOOKUP(A35,'Données projet'!$A$35:$I$55,9,0)</f>
        <v>19.184615384615398</v>
      </c>
      <c r="M35" s="12">
        <f t="array" ref="M35">INDEX(L:L,MIN(IF(ISNUMBER(L35:L231),ROW(L35:L231),"")))</f>
        <v>19.184615384615398</v>
      </c>
      <c r="N35" s="13">
        <f>IF('Données projet'!$A$36&gt;35,N34+M35-V34,IF(A35&lt;'Données projet'!$A$36,$K$205^A35,IF(A35='Données projet'!$A$36,'Données projet'!$B$36,N34+M35-V34)))</f>
        <v>318.79230769230776</v>
      </c>
      <c r="O35" s="13">
        <f>N35*VLOOKUP('Données projet'!$B$9,Paramètres!$A$1:$I$89,3,0)*VLOOKUP('Données projet'!$B$9,Paramètres!$A$1:$I$89,5,0)</f>
        <v>190.63780000000006</v>
      </c>
      <c r="P35" s="13">
        <f t="shared" si="33"/>
        <v>47.680933861376609</v>
      </c>
      <c r="Q35" s="20">
        <f t="shared" ref="Q35:Q66" si="53">(O35+P35)*0.475*44/12</f>
        <v>415.07179480856433</v>
      </c>
      <c r="R35" s="59">
        <f t="shared" si="0"/>
        <v>708.40512814189765</v>
      </c>
      <c r="S35" s="59">
        <f ca="1">AVERAGE(OFFSET($R$3,0,0,'Données projet'!$E$9+1,1))-AVERAGE(OFFSET($H$3,0,0,'Données projet'!$E$9+1,1))</f>
        <v>323.20040177531774</v>
      </c>
      <c r="T35" s="59">
        <f t="shared" si="34"/>
        <v>402.87981443974337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64.523076923076914</v>
      </c>
      <c r="W35" s="16">
        <f>IF(ISNA(VLOOKUP(A35,'Données projet'!$A$35:$I$55,5,0)),0%,VLOOKUP(A35,'Données projet'!$A$35:$I$55,5,0)*VLOOKUP('Données projet'!$B$9,Paramètres!$A$1:$I$89,7,0))</f>
        <v>0.315</v>
      </c>
      <c r="X35" s="16">
        <f>IF(ISNA(VLOOKUP(A35,'Données projet'!$A$35:$I$55,6,0)),0%,VLOOKUP(A35,'Données projet'!$A$35:$I$55,6,0)*VLOOKUP('Données projet'!$B$9,Paramètres!$A$1:$I$89,7,0))</f>
        <v>7.5600000000000001E-2</v>
      </c>
      <c r="Y35" s="16">
        <f>IF(ISNA(VLOOKUP(A35,'Données projet'!$A$35:$I$55,7,0)),0%,VLOOKUP(A35,'Données projet'!$A$35:$I$55,7,0))</f>
        <v>0.13200000000000001</v>
      </c>
      <c r="Z35" s="21">
        <f>EXP(-LN(2)/35)*Z34+(1-EXP(-LN(2)/35))/(LN(2)/35)*V35*W35*VLOOKUP('Données projet'!$B$9,Paramètres!$A$1:$I$89,3,0)*0.475*44/12</f>
        <v>26.548695242558715</v>
      </c>
      <c r="AA35" s="21">
        <f>EXP(-LN(2)/25)*AA34+(1-EXP(-LN(2)/25))/(LN(2)/25)*Calculateur!V35*Calculateur!X35*VLOOKUP('Données projet'!$B$9,Paramètres!$A$1:$I$89,3,0)*0.475*44/12</f>
        <v>19.374320264649796</v>
      </c>
      <c r="AB35" s="21">
        <f>EXP(-LN(2)/2)*AB34+(1-EXP(-LN(2)/2))/(LN(2)/2)*V35*Y35*VLOOKUP('Données projet'!$B$9,Paramètres!$A$1:$I$89,3,0)*0.475*44/12</f>
        <v>6.5593451485188776</v>
      </c>
      <c r="AC35" s="22">
        <f t="shared" si="3"/>
        <v>52.482360655727391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15.48351648351648</v>
      </c>
      <c r="AI35" s="13">
        <f>IF('Données projet'!$A$62&gt;35,AI34+AH35-AQ34,IF(A35&lt;'Données projet'!$A$62,$AF$205^A35,IF(A35='Données projet'!$A$62,'Données projet'!$B$62,AI34+AH35-AQ34)))</f>
        <v>190.75164835164838</v>
      </c>
      <c r="AJ35" s="13">
        <f>AI35*VLOOKUP('Données projet'!$B$10,Paramètres!$A$1:$I$89,3,0)*VLOOKUP('Données projet'!$B$10,Paramètres!$A$1:$I$89,5,0)</f>
        <v>114.06948571428575</v>
      </c>
      <c r="AK35" s="13">
        <f t="shared" si="35"/>
        <v>30.287750600607666</v>
      </c>
      <c r="AL35" s="20">
        <f t="shared" si="4"/>
        <v>251.42218658177271</v>
      </c>
      <c r="AM35" s="59">
        <f t="shared" si="5"/>
        <v>544.75551991510599</v>
      </c>
      <c r="AN35" s="59">
        <f ca="1">AVERAGE(OFFSET($AM$3,0,0,'Données projet'!$E$10+1,1))-AVERAGE(OFFSET($H$3,0,0,'Données projet'!$E$10+1,1))</f>
        <v>355.09162485318728</v>
      </c>
      <c r="AO35" s="59">
        <f t="shared" si="36"/>
        <v>320.06572891923685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22.038177347315173</v>
      </c>
      <c r="AV35" s="21">
        <f>EXP(-LN(2)/25)*AV34+(1-EXP(-LN(2)/25))/(LN(2)/25)*Calculateur!AQ35*Calculateur!AS35*VLOOKUP('Données projet'!$B$10,Paramètres!$A$1:$I$89,3,0)*0.475*44/12</f>
        <v>11.553773936278469</v>
      </c>
      <c r="AW35" s="21">
        <f>EXP(-LN(2)/2)*AW34+(1-EXP(-LN(2)/2))/(LN(2)/2)*AQ35*AT35*VLOOKUP('Données projet'!$B$10,Paramètres!$A$1:$I$89,3,0)*0.475*44/12</f>
        <v>2.8755617564074392</v>
      </c>
      <c r="AX35" s="21">
        <f t="shared" si="6"/>
        <v>36.46751304000108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8.0564102564102633</v>
      </c>
      <c r="BD35" s="12">
        <f>IF('Données projet'!$A$88&gt;35,BD34+BC35-BL34,IF(A35&lt;'Données projet'!$A$88,$BA$205^A35,IF(A35='Données projet'!$A$88,'Données projet'!$B$88,BD34+BC35-BL34)))</f>
        <v>137.99743589743591</v>
      </c>
      <c r="BE35" s="13">
        <f>BD35*VLOOKUP('Données projet'!$B$11,Paramètres!$A$1:$I$89,3,0)*VLOOKUP('Données projet'!$B$11,Paramètres!$A$1:$I$89,5,0)</f>
        <v>139.92940000000002</v>
      </c>
      <c r="BF35" s="13">
        <f t="shared" si="37"/>
        <v>36.280831551634627</v>
      </c>
      <c r="BG35" s="20">
        <f t="shared" si="7"/>
        <v>306.89948661909699</v>
      </c>
      <c r="BH35" s="59">
        <f t="shared" si="8"/>
        <v>600.2328199524303</v>
      </c>
      <c r="BI35" s="59">
        <f ca="1">AVERAGE(OFFSET($BH$3,0,0,'Données projet'!$E$11+1,1))-AVERAGE(OFFSET($H$3,0,0,'Données projet'!$E$11+1,1))</f>
        <v>425.47148407510412</v>
      </c>
      <c r="BJ35" s="59">
        <f t="shared" si="38"/>
        <v>308.54448799922471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18.055769230769229</v>
      </c>
      <c r="N36" s="13">
        <f>IF('Données projet'!$A$36&gt;35,N35+M36-V35,IF(A36&lt;'Données projet'!$A$36,$K$205^A36,IF(A36='Données projet'!$A$36,'Données projet'!$B$36,N35+M36-V35)))</f>
        <v>272.32500000000005</v>
      </c>
      <c r="O36" s="13">
        <f>N36*VLOOKUP('Données projet'!$B$9,Paramètres!$A$1:$I$89,3,0)*VLOOKUP('Données projet'!$B$9,Paramètres!$A$1:$I$89,5,0)</f>
        <v>162.85035000000002</v>
      </c>
      <c r="P36" s="13">
        <f t="shared" si="33"/>
        <v>41.484757610477807</v>
      </c>
      <c r="Q36" s="20">
        <f t="shared" si="53"/>
        <v>355.88364575491551</v>
      </c>
      <c r="R36" s="59">
        <f t="shared" si="0"/>
        <v>649.21697908824876</v>
      </c>
      <c r="S36" s="59">
        <f ca="1">AVERAGE(OFFSET($R$3,0,0,'Données projet'!$E$9+1,1))-AVERAGE(OFFSET($H$3,0,0,'Données projet'!$E$9+1,1))</f>
        <v>323.20040177531774</v>
      </c>
      <c r="T36" s="59">
        <f t="shared" si="34"/>
        <v>402.87981443974337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26.0280915219573</v>
      </c>
      <c r="AA36" s="21">
        <f>EXP(-LN(2)/25)*AA35+(1-EXP(-LN(2)/25))/(LN(2)/25)*Calculateur!V36*Calculateur!X36*VLOOKUP('Données projet'!$B$9,Paramètres!$A$1:$I$89,3,0)*0.475*44/12</f>
        <v>18.844528458161726</v>
      </c>
      <c r="AB36" s="21">
        <f>EXP(-LN(2)/2)*AB35+(1-EXP(-LN(2)/2))/(LN(2)/2)*V36*Y36*VLOOKUP('Données projet'!$B$9,Paramètres!$A$1:$I$89,3,0)*0.475*44/12</f>
        <v>4.6381574346607808</v>
      </c>
      <c r="AC36" s="22">
        <f t="shared" si="3"/>
        <v>49.51077741477981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15.48351648351648</v>
      </c>
      <c r="AI36" s="13">
        <f>IF('Données projet'!$A$62&gt;35,AI35+AH36-AQ35,IF(A36&lt;'Données projet'!$A$62,$AF$205^A36,IF(A36='Données projet'!$A$62,'Données projet'!$B$62,AI35+AH36-AQ35)))</f>
        <v>206.23516483516485</v>
      </c>
      <c r="AJ36" s="13">
        <f>AI36*VLOOKUP('Données projet'!$B$10,Paramètres!$A$1:$I$89,3,0)*VLOOKUP('Données projet'!$B$10,Paramètres!$A$1:$I$89,5,0)</f>
        <v>123.3286285714286</v>
      </c>
      <c r="AK36" s="13">
        <f t="shared" si="35"/>
        <v>32.450106672465495</v>
      </c>
      <c r="AL36" s="20">
        <f t="shared" si="4"/>
        <v>271.31463054978218</v>
      </c>
      <c r="AM36" s="59">
        <f t="shared" si="5"/>
        <v>564.64796388311549</v>
      </c>
      <c r="AN36" s="59">
        <f ca="1">AVERAGE(OFFSET($AM$3,0,0,'Données projet'!$E$10+1,1))-AVERAGE(OFFSET($H$3,0,0,'Données projet'!$E$10+1,1))</f>
        <v>355.09162485318728</v>
      </c>
      <c r="AO36" s="59">
        <f t="shared" si="36"/>
        <v>320.06572891923685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21.606022131495219</v>
      </c>
      <c r="AV36" s="21">
        <f>EXP(-LN(2)/25)*AV35+(1-EXP(-LN(2)/25))/(LN(2)/25)*Calculateur!AQ36*Calculateur!AS36*VLOOKUP('Données projet'!$B$10,Paramètres!$A$1:$I$89,3,0)*0.475*44/12</f>
        <v>11.23783538040437</v>
      </c>
      <c r="AW36" s="21">
        <f>EXP(-LN(2)/2)*AW35+(1-EXP(-LN(2)/2))/(LN(2)/2)*AQ36*AT36*VLOOKUP('Données projet'!$B$10,Paramètres!$A$1:$I$89,3,0)*0.475*44/12</f>
        <v>2.0333292176763993</v>
      </c>
      <c r="AX36" s="21">
        <f t="shared" si="6"/>
        <v>34.877186729575982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8.0564102564102633</v>
      </c>
      <c r="BD36" s="12">
        <f>IF('Données projet'!$A$88&gt;35,BD35+BC36-BL35,IF(A36&lt;'Données projet'!$A$88,$BA$205^A36,IF(A36='Données projet'!$A$88,'Données projet'!$B$88,BD35+BC36-BL35)))</f>
        <v>146.05384615384617</v>
      </c>
      <c r="BE36" s="13">
        <f>BD36*VLOOKUP('Données projet'!$B$11,Paramètres!$A$1:$I$89,3,0)*VLOOKUP('Données projet'!$B$11,Paramètres!$A$1:$I$89,5,0)</f>
        <v>148.09860000000003</v>
      </c>
      <c r="BF36" s="13">
        <f t="shared" si="37"/>
        <v>38.146165355224731</v>
      </c>
      <c r="BG36" s="20">
        <f t="shared" si="7"/>
        <v>324.37629966034979</v>
      </c>
      <c r="BH36" s="59">
        <f t="shared" si="8"/>
        <v>617.70963299368304</v>
      </c>
      <c r="BI36" s="59">
        <f ca="1">AVERAGE(OFFSET($BH$3,0,0,'Données projet'!$E$11+1,1))-AVERAGE(OFFSET($H$3,0,0,'Données projet'!$E$11+1,1))</f>
        <v>425.47148407510412</v>
      </c>
      <c r="BJ36" s="59">
        <f t="shared" si="38"/>
        <v>308.54448799922471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18.055769230769229</v>
      </c>
      <c r="N37" s="13">
        <f>IF('Données projet'!$A$36&gt;35,N36+M37-V36,IF(A37&lt;'Données projet'!$A$36,$K$205^A37,IF(A37='Données projet'!$A$36,'Données projet'!$B$36,N36+M37-V36)))</f>
        <v>290.38076923076926</v>
      </c>
      <c r="O37" s="13">
        <f>N37*VLOOKUP('Données projet'!$B$9,Paramètres!$A$1:$I$89,3,0)*VLOOKUP('Données projet'!$B$9,Paramètres!$A$1:$I$89,5,0)</f>
        <v>173.64770000000001</v>
      </c>
      <c r="P37" s="13">
        <f t="shared" si="33"/>
        <v>43.905974872685142</v>
      </c>
      <c r="Q37" s="20">
        <f t="shared" si="53"/>
        <v>378.90598373659327</v>
      </c>
      <c r="R37" s="59">
        <f t="shared" si="0"/>
        <v>672.23931706992653</v>
      </c>
      <c r="S37" s="59">
        <f ca="1">AVERAGE(OFFSET($R$3,0,0,'Données projet'!$E$9+1,1))-AVERAGE(OFFSET($H$3,0,0,'Données projet'!$E$9+1,1))</f>
        <v>323.20040177531774</v>
      </c>
      <c r="T37" s="59">
        <f t="shared" si="34"/>
        <v>402.87981443974337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25.517696522779964</v>
      </c>
      <c r="AA37" s="21">
        <f>EXP(-LN(2)/25)*AA36+(1-EXP(-LN(2)/25))/(LN(2)/25)*Calculateur!V37*Calculateur!X37*VLOOKUP('Données projet'!$B$9,Paramètres!$A$1:$I$89,3,0)*0.475*44/12</f>
        <v>18.329223836482612</v>
      </c>
      <c r="AB37" s="21">
        <f>EXP(-LN(2)/2)*AB36+(1-EXP(-LN(2)/2))/(LN(2)/2)*V37*Y37*VLOOKUP('Données projet'!$B$9,Paramètres!$A$1:$I$89,3,0)*0.475*44/12</f>
        <v>3.2796725742594397</v>
      </c>
      <c r="AC37" s="22">
        <f t="shared" si="3"/>
        <v>47.126592933522019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15.48351648351648</v>
      </c>
      <c r="AI37" s="13">
        <f>IF('Données projet'!$A$62&gt;35,AI36+AH37-AQ36,IF(A37&lt;'Données projet'!$A$62,$AF$205^A37,IF(A37='Données projet'!$A$62,'Données projet'!$B$62,AI36+AH37-AQ36)))</f>
        <v>221.71868131868132</v>
      </c>
      <c r="AJ37" s="13">
        <f>AI37*VLOOKUP('Données projet'!$B$10,Paramètres!$A$1:$I$89,3,0)*VLOOKUP('Données projet'!$B$10,Paramètres!$A$1:$I$89,5,0)</f>
        <v>132.58777142857144</v>
      </c>
      <c r="AK37" s="13">
        <f t="shared" si="35"/>
        <v>34.593629659414489</v>
      </c>
      <c r="AL37" s="20">
        <f t="shared" si="4"/>
        <v>291.17427356157549</v>
      </c>
      <c r="AM37" s="59">
        <f t="shared" si="5"/>
        <v>584.5076068949088</v>
      </c>
      <c r="AN37" s="59">
        <f ca="1">AVERAGE(OFFSET($AM$3,0,0,'Données projet'!$E$10+1,1))-AVERAGE(OFFSET($H$3,0,0,'Données projet'!$E$10+1,1))</f>
        <v>355.09162485318728</v>
      </c>
      <c r="AO37" s="59">
        <f t="shared" si="36"/>
        <v>320.06572891923685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21.182341215868842</v>
      </c>
      <c r="AV37" s="21">
        <f>EXP(-LN(2)/25)*AV36+(1-EXP(-LN(2)/25))/(LN(2)/25)*Calculateur!AQ37*Calculateur!AS37*VLOOKUP('Données projet'!$B$10,Paramètres!$A$1:$I$89,3,0)*0.475*44/12</f>
        <v>10.930536180955134</v>
      </c>
      <c r="AW37" s="21">
        <f>EXP(-LN(2)/2)*AW36+(1-EXP(-LN(2)/2))/(LN(2)/2)*AQ37*AT37*VLOOKUP('Données projet'!$B$10,Paramètres!$A$1:$I$89,3,0)*0.475*44/12</f>
        <v>1.4377808782037196</v>
      </c>
      <c r="AX37" s="21">
        <f t="shared" si="6"/>
        <v>33.550658275027693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8.0564102564102633</v>
      </c>
      <c r="BD37" s="12">
        <f>IF('Données projet'!$A$88&gt;35,BD36+BC37-BL36,IF(A37&lt;'Données projet'!$A$88,$BA$205^A37,IF(A37='Données projet'!$A$88,'Données projet'!$B$88,BD36+BC37-BL36)))</f>
        <v>154.11025641025643</v>
      </c>
      <c r="BE37" s="13">
        <f>BD37*VLOOKUP('Données projet'!$B$11,Paramètres!$A$1:$I$89,3,0)*VLOOKUP('Données projet'!$B$11,Paramètres!$A$1:$I$89,5,0)</f>
        <v>156.26780000000002</v>
      </c>
      <c r="BF37" s="13">
        <f t="shared" si="37"/>
        <v>39.999554405940785</v>
      </c>
      <c r="BG37" s="20">
        <f t="shared" si="7"/>
        <v>341.83230892368027</v>
      </c>
      <c r="BH37" s="59">
        <f t="shared" si="8"/>
        <v>635.16564225701359</v>
      </c>
      <c r="BI37" s="59">
        <f ca="1">AVERAGE(OFFSET($BH$3,0,0,'Données projet'!$E$11+1,1))-AVERAGE(OFFSET($H$3,0,0,'Données projet'!$E$11+1,1))</f>
        <v>425.47148407510412</v>
      </c>
      <c r="BJ37" s="59">
        <f t="shared" si="38"/>
        <v>308.54448799922471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18.055769230769229</v>
      </c>
      <c r="N38" s="13">
        <f>IF('Données projet'!$A$36&gt;35,N37+M38-V37,IF(A38&lt;'Données projet'!$A$36,$K$205^A38,IF(A38='Données projet'!$A$36,'Données projet'!$B$36,N37+M38-V37)))</f>
        <v>308.43653846153848</v>
      </c>
      <c r="O38" s="13">
        <f>N38*VLOOKUP('Données projet'!$B$9,Paramètres!$A$1:$I$89,3,0)*VLOOKUP('Données projet'!$B$9,Paramètres!$A$1:$I$89,5,0)</f>
        <v>184.44505000000004</v>
      </c>
      <c r="P38" s="13">
        <f t="shared" si="33"/>
        <v>46.309719450497106</v>
      </c>
      <c r="Q38" s="20">
        <f t="shared" si="53"/>
        <v>401.89789012628256</v>
      </c>
      <c r="R38" s="59">
        <f t="shared" si="0"/>
        <v>695.23122345961588</v>
      </c>
      <c r="S38" s="59">
        <f ca="1">AVERAGE(OFFSET($R$3,0,0,'Données projet'!$E$9+1,1))-AVERAGE(OFFSET($H$3,0,0,'Données projet'!$E$9+1,1))</f>
        <v>323.20040177531774</v>
      </c>
      <c r="T38" s="59">
        <f t="shared" si="34"/>
        <v>402.87981443974337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25.017310058226286</v>
      </c>
      <c r="AA38" s="21">
        <f>EXP(-LN(2)/25)*AA37+(1-EXP(-LN(2)/25))/(LN(2)/25)*Calculateur!V38*Calculateur!X38*VLOOKUP('Données projet'!$B$9,Paramètres!$A$1:$I$89,3,0)*0.475*44/12</f>
        <v>17.828010246782004</v>
      </c>
      <c r="AB38" s="21">
        <f>EXP(-LN(2)/2)*AB37+(1-EXP(-LN(2)/2))/(LN(2)/2)*V38*Y38*VLOOKUP('Données projet'!$B$9,Paramètres!$A$1:$I$89,3,0)*0.475*44/12</f>
        <v>2.3190787173303908</v>
      </c>
      <c r="AC38" s="22">
        <f t="shared" si="3"/>
        <v>45.164399022338678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15.48351648351648</v>
      </c>
      <c r="AI38" s="13">
        <f>IF('Données projet'!$A$62&gt;35,AI37+AH38-AQ37,IF(A38&lt;'Données projet'!$A$62,$AF$205^A38,IF(A38='Données projet'!$A$62,'Données projet'!$B$62,AI37+AH38-AQ37)))</f>
        <v>237.20219780219779</v>
      </c>
      <c r="AJ38" s="13">
        <f>AI38*VLOOKUP('Données projet'!$B$10,Paramètres!$A$1:$I$89,3,0)*VLOOKUP('Données projet'!$B$10,Paramètres!$A$1:$I$89,5,0)</f>
        <v>141.84691428571429</v>
      </c>
      <c r="AK38" s="13">
        <f t="shared" si="35"/>
        <v>36.719784353381193</v>
      </c>
      <c r="AL38" s="20">
        <f t="shared" si="4"/>
        <v>311.00366679642457</v>
      </c>
      <c r="AM38" s="59">
        <f t="shared" si="5"/>
        <v>604.33700012975783</v>
      </c>
      <c r="AN38" s="59">
        <f ca="1">AVERAGE(OFFSET($AM$3,0,0,'Données projet'!$E$10+1,1))-AVERAGE(OFFSET($H$3,0,0,'Données projet'!$E$10+1,1))</f>
        <v>355.09162485318728</v>
      </c>
      <c r="AO38" s="59">
        <f t="shared" si="36"/>
        <v>320.06572891923685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20.766968424578057</v>
      </c>
      <c r="AV38" s="21">
        <f>EXP(-LN(2)/25)*AV37+(1-EXP(-LN(2)/25))/(LN(2)/25)*Calculateur!AQ38*Calculateur!AS38*VLOOKUP('Données projet'!$B$10,Paramètres!$A$1:$I$89,3,0)*0.475*44/12</f>
        <v>10.631640094274999</v>
      </c>
      <c r="AW38" s="21">
        <f>EXP(-LN(2)/2)*AW37+(1-EXP(-LN(2)/2))/(LN(2)/2)*AQ38*AT38*VLOOKUP('Données projet'!$B$10,Paramètres!$A$1:$I$89,3,0)*0.475*44/12</f>
        <v>1.0166646088381996</v>
      </c>
      <c r="AX38" s="21">
        <f t="shared" si="6"/>
        <v>32.415273127691258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162.16666666666669</v>
      </c>
      <c r="BB38" s="12">
        <f>VLOOKUP(A38,'Données projet'!$A$87:$I$107,9,0)</f>
        <v>8.0564102564102633</v>
      </c>
      <c r="BC38" s="12">
        <f t="array" ref="BC38">INDEX(BB:BB,MIN(IF(ISNUMBER(BB38:BB234),ROW(BB38:BB234),"")))</f>
        <v>8.0564102564102633</v>
      </c>
      <c r="BD38" s="12">
        <f>IF('Données projet'!$A$88&gt;35,BD37+BC38-BL37,IF(A38&lt;'Données projet'!$A$88,$BA$205^A38,IF(A38='Données projet'!$A$88,'Données projet'!$B$88,BD37+BC38-BL37)))</f>
        <v>162.16666666666669</v>
      </c>
      <c r="BE38" s="13">
        <f>BD38*VLOOKUP('Données projet'!$B$11,Paramètres!$A$1:$I$89,3,0)*VLOOKUP('Données projet'!$B$11,Paramètres!$A$1:$I$89,5,0)</f>
        <v>164.43700000000001</v>
      </c>
      <c r="BF38" s="13">
        <f t="shared" si="37"/>
        <v>41.841694355997333</v>
      </c>
      <c r="BG38" s="20">
        <f t="shared" si="7"/>
        <v>359.26872600336202</v>
      </c>
      <c r="BH38" s="59">
        <f t="shared" si="8"/>
        <v>652.60205933669533</v>
      </c>
      <c r="BI38" s="59">
        <f ca="1">AVERAGE(OFFSET($BH$3,0,0,'Données projet'!$E$11+1,1))-AVERAGE(OFFSET($H$3,0,0,'Données projet'!$E$11+1,1))</f>
        <v>425.47148407510412</v>
      </c>
      <c r="BJ38" s="59">
        <f t="shared" si="38"/>
        <v>308.54448799922471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60.602564102564102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18.055769230769229</v>
      </c>
      <c r="N39" s="13">
        <f>IF('Données projet'!$A$36&gt;35,N38+M39-V38,IF(A39&lt;'Données projet'!$A$36,$K$205^A39,IF(A39='Données projet'!$A$36,'Données projet'!$B$36,N38+M39-V38)))</f>
        <v>326.49230769230769</v>
      </c>
      <c r="O39" s="13">
        <f>N39*VLOOKUP('Données projet'!$B$9,Paramètres!$A$1:$I$89,3,0)*VLOOKUP('Données projet'!$B$9,Paramètres!$A$1:$I$89,5,0)</f>
        <v>195.2424</v>
      </c>
      <c r="P39" s="13">
        <f t="shared" si="33"/>
        <v>48.697130705157392</v>
      </c>
      <c r="Q39" s="20">
        <f t="shared" si="53"/>
        <v>424.8613493114824</v>
      </c>
      <c r="R39" s="59">
        <f t="shared" si="0"/>
        <v>718.19468264481566</v>
      </c>
      <c r="S39" s="59">
        <f ca="1">AVERAGE(OFFSET($R$3,0,0,'Données projet'!$E$9+1,1))-AVERAGE(OFFSET($H$3,0,0,'Données projet'!$E$9+1,1))</f>
        <v>323.20040177531774</v>
      </c>
      <c r="T39" s="59">
        <f t="shared" si="34"/>
        <v>402.87981443974337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24.526735867036898</v>
      </c>
      <c r="AA39" s="21">
        <f>EXP(-LN(2)/25)*AA38+(1-EXP(-LN(2)/25))/(LN(2)/25)*Calculateur!V39*Calculateur!X39*VLOOKUP('Données projet'!$B$9,Paramètres!$A$1:$I$89,3,0)*0.475*44/12</f>
        <v>17.340502369049439</v>
      </c>
      <c r="AB39" s="21">
        <f>EXP(-LN(2)/2)*AB38+(1-EXP(-LN(2)/2))/(LN(2)/2)*V39*Y39*VLOOKUP('Données projet'!$B$9,Paramètres!$A$1:$I$89,3,0)*0.475*44/12</f>
        <v>1.6398362871297201</v>
      </c>
      <c r="AC39" s="22">
        <f t="shared" si="3"/>
        <v>43.507074523216055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15.48351648351648</v>
      </c>
      <c r="AI39" s="13">
        <f>IF('Données projet'!$A$62&gt;35,AI38+AH39-AQ38,IF(A39&lt;'Données projet'!$A$62,$AF$205^A39,IF(A39='Données projet'!$A$62,'Données projet'!$B$62,AI38+AH39-AQ38)))</f>
        <v>252.68571428571425</v>
      </c>
      <c r="AJ39" s="13">
        <f>AI39*VLOOKUP('Données projet'!$B$10,Paramètres!$A$1:$I$89,3,0)*VLOOKUP('Données projet'!$B$10,Paramètres!$A$1:$I$89,5,0)</f>
        <v>151.10605714285714</v>
      </c>
      <c r="AK39" s="13">
        <f t="shared" si="35"/>
        <v>38.829833501111224</v>
      </c>
      <c r="AL39" s="20">
        <f t="shared" si="4"/>
        <v>330.80500953824486</v>
      </c>
      <c r="AM39" s="59">
        <f t="shared" si="5"/>
        <v>624.13834287157817</v>
      </c>
      <c r="AN39" s="59">
        <f ca="1">AVERAGE(OFFSET($AM$3,0,0,'Données projet'!$E$10+1,1))-AVERAGE(OFFSET($H$3,0,0,'Données projet'!$E$10+1,1))</f>
        <v>355.09162485318728</v>
      </c>
      <c r="AO39" s="59">
        <f t="shared" si="36"/>
        <v>320.06572891923685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20.359740840372098</v>
      </c>
      <c r="AV39" s="21">
        <f>EXP(-LN(2)/25)*AV38+(1-EXP(-LN(2)/25))/(LN(2)/25)*Calculateur!AQ39*Calculateur!AS39*VLOOKUP('Données projet'!$B$10,Paramètres!$A$1:$I$89,3,0)*0.475*44/12</f>
        <v>10.340917336803395</v>
      </c>
      <c r="AW39" s="21">
        <f>EXP(-LN(2)/2)*AW38+(1-EXP(-LN(2)/2))/(LN(2)/2)*AQ39*AT39*VLOOKUP('Données projet'!$B$10,Paramètres!$A$1:$I$89,3,0)*0.475*44/12</f>
        <v>0.71889043910185979</v>
      </c>
      <c r="AX39" s="21">
        <f t="shared" si="6"/>
        <v>31.41954861627735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9.3141025641025621</v>
      </c>
      <c r="BD39" s="12">
        <f>IF('Données projet'!$A$88&gt;35,BD38+BC39-BL38,IF(A39&lt;'Données projet'!$A$88,$BA$205^A39,IF(A39='Données projet'!$A$88,'Données projet'!$B$88,BD38+BC39-BL38)))</f>
        <v>110.87820512820515</v>
      </c>
      <c r="BE39" s="13">
        <f>BD39*VLOOKUP('Données projet'!$B$11,Paramètres!$A$1:$I$89,3,0)*VLOOKUP('Données projet'!$B$11,Paramètres!$A$1:$I$89,5,0)</f>
        <v>112.43050000000004</v>
      </c>
      <c r="BF39" s="13">
        <f t="shared" si="37"/>
        <v>29.902898919263393</v>
      </c>
      <c r="BG39" s="20">
        <f t="shared" si="7"/>
        <v>247.89733645105048</v>
      </c>
      <c r="BH39" s="59">
        <f t="shared" si="8"/>
        <v>541.23066978438374</v>
      </c>
      <c r="BI39" s="59">
        <f ca="1">AVERAGE(OFFSET($BH$3,0,0,'Données projet'!$E$11+1,1))-AVERAGE(OFFSET($H$3,0,0,'Données projet'!$E$11+1,1))</f>
        <v>425.47148407510412</v>
      </c>
      <c r="BJ39" s="59">
        <f t="shared" si="38"/>
        <v>308.54448799922471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18.055769230769229</v>
      </c>
      <c r="N40" s="13">
        <f>IF('Données projet'!$A$36&gt;35,N39+M40-V39,IF(A40&lt;'Données projet'!$A$36,$K$205^A40,IF(A40='Données projet'!$A$36,'Données projet'!$B$36,N39+M40-V39)))</f>
        <v>344.54807692307691</v>
      </c>
      <c r="O40" s="13">
        <f>N40*VLOOKUP('Données projet'!$B$9,Paramètres!$A$1:$I$89,3,0)*VLOOKUP('Données projet'!$B$9,Paramètres!$A$1:$I$89,5,0)</f>
        <v>206.03975</v>
      </c>
      <c r="P40" s="13">
        <f t="shared" si="33"/>
        <v>51.069214862008621</v>
      </c>
      <c r="Q40" s="20">
        <f t="shared" si="53"/>
        <v>447.79811380133168</v>
      </c>
      <c r="R40" s="59">
        <f t="shared" si="0"/>
        <v>741.131447134665</v>
      </c>
      <c r="S40" s="59">
        <f ca="1">AVERAGE(OFFSET($R$3,0,0,'Données projet'!$E$9+1,1))-AVERAGE(OFFSET($H$3,0,0,'Données projet'!$E$9+1,1))</f>
        <v>323.20040177531774</v>
      </c>
      <c r="T40" s="59">
        <f t="shared" si="34"/>
        <v>402.87981443974337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24.045781536516021</v>
      </c>
      <c r="AA40" s="21">
        <f>EXP(-LN(2)/25)*AA39+(1-EXP(-LN(2)/25))/(LN(2)/25)*Calculateur!V40*Calculateur!X40*VLOOKUP('Données projet'!$B$9,Paramètres!$A$1:$I$89,3,0)*0.475*44/12</f>
        <v>16.866325419870396</v>
      </c>
      <c r="AB40" s="21">
        <f>EXP(-LN(2)/2)*AB39+(1-EXP(-LN(2)/2))/(LN(2)/2)*V40*Y40*VLOOKUP('Données projet'!$B$9,Paramètres!$A$1:$I$89,3,0)*0.475*44/12</f>
        <v>1.1595393586651956</v>
      </c>
      <c r="AC40" s="22">
        <f t="shared" si="3"/>
        <v>42.071646315051609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268.16923076923075</v>
      </c>
      <c r="AG40" s="12">
        <f>VLOOKUP(A40,'Données projet'!$A$61:$I$81,9,0)</f>
        <v>15.48351648351648</v>
      </c>
      <c r="AH40" s="12">
        <f t="array" ref="AH40">INDEX(AG:AG,MIN(IF(ISNUMBER(AG40:AG236),ROW(AG40:AG236),"")))</f>
        <v>15.48351648351648</v>
      </c>
      <c r="AI40" s="13">
        <f>IF('Données projet'!$A$62&gt;35,AI39+AH40-AQ39,IF(A40&lt;'Données projet'!$A$62,$AF$205^A40,IF(A40='Données projet'!$A$62,'Données projet'!$B$62,AI39+AH40-AQ39)))</f>
        <v>268.16923076923075</v>
      </c>
      <c r="AJ40" s="13">
        <f>AI40*VLOOKUP('Données projet'!$B$10,Paramètres!$A$1:$I$89,3,0)*VLOOKUP('Données projet'!$B$10,Paramètres!$A$1:$I$89,5,0)</f>
        <v>160.36520000000002</v>
      </c>
      <c r="AK40" s="13">
        <f t="shared" si="35"/>
        <v>40.924876352970031</v>
      </c>
      <c r="AL40" s="20">
        <f t="shared" si="4"/>
        <v>350.58021631475617</v>
      </c>
      <c r="AM40" s="59">
        <f t="shared" si="5"/>
        <v>643.91354964808943</v>
      </c>
      <c r="AN40" s="59">
        <f ca="1">AVERAGE(OFFSET($AM$3,0,0,'Données projet'!$E$10+1,1))-AVERAGE(OFFSET($H$3,0,0,'Données projet'!$E$10+1,1))</f>
        <v>355.09162485318728</v>
      </c>
      <c r="AO40" s="59">
        <f t="shared" si="36"/>
        <v>320.06572891923685</v>
      </c>
      <c r="AP40" s="15">
        <f>IF(ISNA(VLOOKUP(A40,'Données projet'!$A$61:$I$81,3,0)),0,VLOOKUP(A40,'Données projet'!$A$61:$I$81,3,0))</f>
        <v>4</v>
      </c>
      <c r="AQ40" s="15">
        <f>IF(ISNA(VLOOKUP(A40,'Données projet'!$A$61:$I$81,4,0)),0,VLOOKUP(A40,'Données projet'!$A$61:$I$81,4,0))</f>
        <v>43.623076923076923</v>
      </c>
      <c r="AR40" s="16">
        <f>IF(ISNA(VLOOKUP(A40,'Données projet'!$A$61:$I$81,5,0)),0%,VLOOKUP(A40,'Données projet'!$A$61:$I$81,5,0)*VLOOKUP('Données projet'!$B$10,Paramètres!$A$1:$I$89,7,0))</f>
        <v>0.315</v>
      </c>
      <c r="AS40" s="16">
        <f>IF(ISNA(VLOOKUP(A40,'Données projet'!$A$61:$I$81,6,0)),0%,VLOOKUP(A40,'Données projet'!$A$61:$I$81,6,0)*VLOOKUP('Données projet'!$B$10,Paramètres!$A$1:$I$89,7,0))</f>
        <v>7.5600000000000001E-2</v>
      </c>
      <c r="AT40" s="16">
        <f>IF(ISNA(VLOOKUP(A40,'Données projet'!$A$61:$I$81,7,0)),0%,VLOOKUP(A40,'Données projet'!$A$61:$I$81,7,0))</f>
        <v>0.13200000000000001</v>
      </c>
      <c r="AU40" s="21">
        <f>EXP(-LN(2)/35)*AU39+(1-EXP(-LN(2)/35))/(LN(2)/35)*AQ40*AR40*VLOOKUP('Données projet'!$B$10,Paramètres!$A$1:$I$89,3,0)*0.475*44/12</f>
        <v>30.861248982537887</v>
      </c>
      <c r="AV40" s="21">
        <f>EXP(-LN(2)/25)*AV39+(1-EXP(-LN(2)/25))/(LN(2)/25)*Calculateur!AQ40*Calculateur!AS40*VLOOKUP('Données projet'!$B$10,Paramètres!$A$1:$I$89,3,0)*0.475*44/12</f>
        <v>12.664023568731189</v>
      </c>
      <c r="AW40" s="21">
        <f>EXP(-LN(2)/2)*AW39+(1-EXP(-LN(2)/2))/(LN(2)/2)*AQ40*AT40*VLOOKUP('Données projet'!$B$10,Paramètres!$A$1:$I$89,3,0)*0.475*44/12</f>
        <v>4.4070963233694158</v>
      </c>
      <c r="AX40" s="21">
        <f t="shared" si="6"/>
        <v>47.932368874638492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9.3141025641025621</v>
      </c>
      <c r="BD40" s="12">
        <f>IF('Données projet'!$A$88&gt;35,BD39+BC40-BL39,IF(A40&lt;'Données projet'!$A$88,$BA$205^A40,IF(A40='Données projet'!$A$88,'Données projet'!$B$88,BD39+BC40-BL39)))</f>
        <v>120.19230769230771</v>
      </c>
      <c r="BE40" s="13">
        <f>BD40*VLOOKUP('Données projet'!$B$11,Paramètres!$A$1:$I$89,3,0)*VLOOKUP('Données projet'!$B$11,Paramètres!$A$1:$I$89,5,0)</f>
        <v>121.87500000000003</v>
      </c>
      <c r="BF40" s="13">
        <f t="shared" si="37"/>
        <v>32.111916865075052</v>
      </c>
      <c r="BG40" s="20">
        <f t="shared" si="7"/>
        <v>268.19388020667242</v>
      </c>
      <c r="BH40" s="59">
        <f t="shared" si="8"/>
        <v>561.52721354000573</v>
      </c>
      <c r="BI40" s="59">
        <f ca="1">AVERAGE(OFFSET($BH$3,0,0,'Données projet'!$E$11+1,1))-AVERAGE(OFFSET($H$3,0,0,'Données projet'!$E$11+1,1))</f>
        <v>425.47148407510412</v>
      </c>
      <c r="BJ40" s="59">
        <f t="shared" si="38"/>
        <v>308.54448799922471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18.055769230769229</v>
      </c>
      <c r="N41" s="13">
        <f>IF('Données projet'!$A$36&gt;35,N40+M41-V40,IF(A41&lt;'Données projet'!$A$36,$K$205^A41,IF(A41='Données projet'!$A$36,'Données projet'!$B$36,N40+M41-V40)))</f>
        <v>362.60384615384612</v>
      </c>
      <c r="O41" s="13">
        <f>N41*VLOOKUP('Données projet'!$B$9,Paramètres!$A$1:$I$89,3,0)*VLOOKUP('Données projet'!$B$9,Paramètres!$A$1:$I$89,5,0)</f>
        <v>216.83710000000002</v>
      </c>
      <c r="P41" s="13">
        <f t="shared" si="33"/>
        <v>53.426866729052094</v>
      </c>
      <c r="Q41" s="20">
        <f t="shared" si="53"/>
        <v>470.70974205309909</v>
      </c>
      <c r="R41" s="59">
        <f t="shared" si="0"/>
        <v>764.04307538643241</v>
      </c>
      <c r="S41" s="59">
        <f ca="1">AVERAGE(OFFSET($R$3,0,0,'Données projet'!$E$9+1,1))-AVERAGE(OFFSET($H$3,0,0,'Données projet'!$E$9+1,1))</f>
        <v>323.20040177531774</v>
      </c>
      <c r="T41" s="59">
        <f t="shared" si="34"/>
        <v>402.87981443974337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23.574258427063484</v>
      </c>
      <c r="AA41" s="21">
        <f>EXP(-LN(2)/25)*AA40+(1-EXP(-LN(2)/25))/(LN(2)/25)*Calculateur!V41*Calculateur!X41*VLOOKUP('Données projet'!$B$9,Paramètres!$A$1:$I$89,3,0)*0.475*44/12</f>
        <v>16.405114864302536</v>
      </c>
      <c r="AB41" s="21">
        <f>EXP(-LN(2)/2)*AB40+(1-EXP(-LN(2)/2))/(LN(2)/2)*V41*Y41*VLOOKUP('Données projet'!$B$9,Paramètres!$A$1:$I$89,3,0)*0.475*44/12</f>
        <v>0.81991814356486015</v>
      </c>
      <c r="AC41" s="22">
        <f t="shared" si="3"/>
        <v>40.799291434930879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15.364102564102561</v>
      </c>
      <c r="AI41" s="13">
        <f>IF('Données projet'!$A$62&gt;35,AI40+AH41-AQ40,IF(A41&lt;'Données projet'!$A$62,$AF$205^A41,IF(A41='Données projet'!$A$62,'Données projet'!$B$62,AI40+AH41-AQ40)))</f>
        <v>239.91025641025638</v>
      </c>
      <c r="AJ41" s="13">
        <f>AI41*VLOOKUP('Données projet'!$B$10,Paramètres!$A$1:$I$89,3,0)*VLOOKUP('Données projet'!$B$10,Paramètres!$A$1:$I$89,5,0)</f>
        <v>143.46633333333332</v>
      </c>
      <c r="AK41" s="13">
        <f t="shared" si="35"/>
        <v>37.089959908428597</v>
      </c>
      <c r="AL41" s="20">
        <f t="shared" si="4"/>
        <v>314.46887739606865</v>
      </c>
      <c r="AM41" s="59">
        <f t="shared" si="5"/>
        <v>607.80221072940196</v>
      </c>
      <c r="AN41" s="59">
        <f ca="1">AVERAGE(OFFSET($AM$3,0,0,'Données projet'!$E$10+1,1))-AVERAGE(OFFSET($H$3,0,0,'Données projet'!$E$10+1,1))</f>
        <v>355.09162485318728</v>
      </c>
      <c r="AO41" s="59">
        <f t="shared" si="36"/>
        <v>320.06572891923685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30.256078713493533</v>
      </c>
      <c r="AV41" s="21">
        <f>EXP(-LN(2)/25)*AV40+(1-EXP(-LN(2)/25))/(LN(2)/25)*Calculateur!AQ41*Calculateur!AS41*VLOOKUP('Données projet'!$B$10,Paramètres!$A$1:$I$89,3,0)*0.475*44/12</f>
        <v>12.317725178272179</v>
      </c>
      <c r="AW41" s="21">
        <f>EXP(-LN(2)/2)*AW40+(1-EXP(-LN(2)/2))/(LN(2)/2)*AQ41*AT41*VLOOKUP('Données projet'!$B$10,Paramètres!$A$1:$I$89,3,0)*0.475*44/12</f>
        <v>3.116287695596816</v>
      </c>
      <c r="AX41" s="21">
        <f t="shared" si="6"/>
        <v>45.690091587362531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9.3141025641025621</v>
      </c>
      <c r="BD41" s="12">
        <f>IF('Données projet'!$A$88&gt;35,BD40+BC41-BL40,IF(A41&lt;'Données projet'!$A$88,$BA$205^A41,IF(A41='Données projet'!$A$88,'Données projet'!$B$88,BD40+BC41-BL40)))</f>
        <v>129.50641025641028</v>
      </c>
      <c r="BE41" s="13">
        <f>BD41*VLOOKUP('Données projet'!$B$11,Paramètres!$A$1:$I$89,3,0)*VLOOKUP('Données projet'!$B$11,Paramètres!$A$1:$I$89,5,0)</f>
        <v>131.31950000000003</v>
      </c>
      <c r="BF41" s="13">
        <f t="shared" si="37"/>
        <v>34.301077605333901</v>
      </c>
      <c r="BG41" s="20">
        <f t="shared" si="7"/>
        <v>288.45583932928992</v>
      </c>
      <c r="BH41" s="59">
        <f t="shared" si="8"/>
        <v>581.78917266262329</v>
      </c>
      <c r="BI41" s="59">
        <f ca="1">AVERAGE(OFFSET($BH$3,0,0,'Données projet'!$E$11+1,1))-AVERAGE(OFFSET($H$3,0,0,'Données projet'!$E$11+1,1))</f>
        <v>425.47148407510412</v>
      </c>
      <c r="BJ41" s="59">
        <f t="shared" si="38"/>
        <v>308.54448799922471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18.055769230769229</v>
      </c>
      <c r="N42" s="13">
        <f>IF('Données projet'!$A$36&gt;35,N41+M42-V41,IF(A42&lt;'Données projet'!$A$36,$K$205^A42,IF(A42='Données projet'!$A$36,'Données projet'!$B$36,N41+M42-V41)))</f>
        <v>380.65961538461534</v>
      </c>
      <c r="O42" s="13">
        <f>N42*VLOOKUP('Données projet'!$B$9,Paramètres!$A$1:$I$89,3,0)*VLOOKUP('Données projet'!$B$9,Paramètres!$A$1:$I$89,5,0)</f>
        <v>227.63444999999999</v>
      </c>
      <c r="P42" s="13">
        <f t="shared" si="33"/>
        <v>55.770886966725193</v>
      </c>
      <c r="Q42" s="20">
        <f t="shared" si="53"/>
        <v>493.59762855037974</v>
      </c>
      <c r="R42" s="59">
        <f t="shared" si="0"/>
        <v>786.93096188371305</v>
      </c>
      <c r="S42" s="59">
        <f ca="1">AVERAGE(OFFSET($R$3,0,0,'Données projet'!$E$9+1,1))-AVERAGE(OFFSET($H$3,0,0,'Données projet'!$E$9+1,1))</f>
        <v>323.20040177531774</v>
      </c>
      <c r="T42" s="59">
        <f t="shared" si="34"/>
        <v>402.87981443974337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23.111981598186613</v>
      </c>
      <c r="AA42" s="21">
        <f>EXP(-LN(2)/25)*AA41+(1-EXP(-LN(2)/25))/(LN(2)/25)*Calculateur!V42*Calculateur!X42*VLOOKUP('Données projet'!$B$9,Paramètres!$A$1:$I$89,3,0)*0.475*44/12</f>
        <v>15.956516135630688</v>
      </c>
      <c r="AB42" s="21">
        <f>EXP(-LN(2)/2)*AB41+(1-EXP(-LN(2)/2))/(LN(2)/2)*V42*Y42*VLOOKUP('Données projet'!$B$9,Paramètres!$A$1:$I$89,3,0)*0.475*44/12</f>
        <v>0.57976967933259782</v>
      </c>
      <c r="AC42" s="22">
        <f t="shared" si="3"/>
        <v>39.648267413149902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15.364102564102561</v>
      </c>
      <c r="AI42" s="13">
        <f>IF('Données projet'!$A$62&gt;35,AI41+AH42-AQ41,IF(A42&lt;'Données projet'!$A$62,$AF$205^A42,IF(A42='Données projet'!$A$62,'Données projet'!$B$62,AI41+AH42-AQ41)))</f>
        <v>255.27435897435893</v>
      </c>
      <c r="AJ42" s="13">
        <f>AI42*VLOOKUP('Données projet'!$B$10,Paramètres!$A$1:$I$89,3,0)*VLOOKUP('Données projet'!$B$10,Paramètres!$A$1:$I$89,5,0)</f>
        <v>152.65406666666664</v>
      </c>
      <c r="AK42" s="13">
        <f t="shared" si="35"/>
        <v>39.18111473980327</v>
      </c>
      <c r="AL42" s="20">
        <f t="shared" si="4"/>
        <v>334.11294094960175</v>
      </c>
      <c r="AM42" s="59">
        <f t="shared" si="5"/>
        <v>627.44627428293506</v>
      </c>
      <c r="AN42" s="59">
        <f ca="1">AVERAGE(OFFSET($AM$3,0,0,'Données projet'!$E$10+1,1))-AVERAGE(OFFSET($H$3,0,0,'Données projet'!$E$10+1,1))</f>
        <v>355.09162485318728</v>
      </c>
      <c r="AO42" s="59">
        <f t="shared" si="36"/>
        <v>320.06572891923685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29.662775464307721</v>
      </c>
      <c r="AV42" s="21">
        <f>EXP(-LN(2)/25)*AV41+(1-EXP(-LN(2)/25))/(LN(2)/25)*Calculateur!AQ42*Calculateur!AS42*VLOOKUP('Données projet'!$B$10,Paramètres!$A$1:$I$89,3,0)*0.475*44/12</f>
        <v>11.980896335511311</v>
      </c>
      <c r="AW42" s="21">
        <f>EXP(-LN(2)/2)*AW41+(1-EXP(-LN(2)/2))/(LN(2)/2)*AQ42*AT42*VLOOKUP('Données projet'!$B$10,Paramètres!$A$1:$I$89,3,0)*0.475*44/12</f>
        <v>2.2035481616847084</v>
      </c>
      <c r="AX42" s="21">
        <f t="shared" si="6"/>
        <v>43.84721996150374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9.3141025641025621</v>
      </c>
      <c r="BD42" s="12">
        <f>IF('Données projet'!$A$88&gt;35,BD41+BC42-BL41,IF(A42&lt;'Données projet'!$A$88,$BA$205^A42,IF(A42='Données projet'!$A$88,'Données projet'!$B$88,BD41+BC42-BL41)))</f>
        <v>138.82051282051285</v>
      </c>
      <c r="BE42" s="13">
        <f>BD42*VLOOKUP('Données projet'!$B$11,Paramètres!$A$1:$I$89,3,0)*VLOOKUP('Données projet'!$B$11,Paramètres!$A$1:$I$89,5,0)</f>
        <v>140.76400000000004</v>
      </c>
      <c r="BF42" s="13">
        <f t="shared" si="37"/>
        <v>36.471971691246594</v>
      </c>
      <c r="BG42" s="20">
        <f t="shared" si="7"/>
        <v>308.68598402892115</v>
      </c>
      <c r="BH42" s="59">
        <f t="shared" si="8"/>
        <v>602.01931736225447</v>
      </c>
      <c r="BI42" s="59">
        <f ca="1">AVERAGE(OFFSET($BH$3,0,0,'Données projet'!$E$11+1,1))-AVERAGE(OFFSET($H$3,0,0,'Données projet'!$E$11+1,1))</f>
        <v>425.47148407510412</v>
      </c>
      <c r="BJ42" s="59">
        <f t="shared" si="38"/>
        <v>308.54448799922471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398.71538461538461</v>
      </c>
      <c r="L43" s="12">
        <f>VLOOKUP(A43,'Données projet'!$A$35:$I$55,9,0)</f>
        <v>18.055769230769229</v>
      </c>
      <c r="M43" s="12">
        <f t="array" ref="M43">INDEX(L:L,MIN(IF(ISNUMBER(L43:L239),ROW(L43:L239),"")))</f>
        <v>18.055769230769229</v>
      </c>
      <c r="N43" s="13">
        <f>IF('Données projet'!$A$36&gt;35,N42+M43-V42,IF(A43&lt;'Données projet'!$A$36,$K$205^A43,IF(A43='Données projet'!$A$36,'Données projet'!$B$36,N42+M43-V42)))</f>
        <v>398.71538461538455</v>
      </c>
      <c r="O43" s="13">
        <f>N43*VLOOKUP('Données projet'!$B$9,Paramètres!$A$1:$I$89,3,0)*VLOOKUP('Données projet'!$B$9,Paramètres!$A$1:$I$89,5,0)</f>
        <v>238.43179999999998</v>
      </c>
      <c r="P43" s="13">
        <f t="shared" si="33"/>
        <v>58.101995988242535</v>
      </c>
      <c r="Q43" s="20">
        <f t="shared" si="53"/>
        <v>516.46302801285572</v>
      </c>
      <c r="R43" s="59">
        <f t="shared" si="0"/>
        <v>809.79636134618909</v>
      </c>
      <c r="S43" s="59">
        <f ca="1">AVERAGE(OFFSET($R$3,0,0,'Données projet'!$E$9+1,1))-AVERAGE(OFFSET($H$3,0,0,'Données projet'!$E$9+1,1))</f>
        <v>323.20040177531774</v>
      </c>
      <c r="T43" s="59">
        <f t="shared" si="34"/>
        <v>402.87981443974337</v>
      </c>
      <c r="U43" s="15">
        <f>IF(ISNA(VLOOKUP(A43,'Données projet'!$A$35:$I$55,3,0)),0,VLOOKUP(A43,'Données projet'!$A$35:$I$55,3,0))</f>
        <v>5</v>
      </c>
      <c r="V43" s="15">
        <f>IF(ISNA(VLOOKUP(A43,'Données projet'!$A$35:$I$55,4,0)),0,VLOOKUP(A43,'Données projet'!$A$35:$I$55,4,0))</f>
        <v>92.661538461538456</v>
      </c>
      <c r="W43" s="16">
        <f>IF(ISNA(VLOOKUP(A43,'Données projet'!$A$35:$I$55,5,0)),0%,VLOOKUP(A43,'Données projet'!$A$35:$I$55,5,0)*VLOOKUP('Données projet'!$B$9,Paramètres!$A$1:$I$89,7,0))</f>
        <v>0.315</v>
      </c>
      <c r="X43" s="16">
        <f>IF(ISNA(VLOOKUP(A43,'Données projet'!$A$35:$I$55,6,0)),0%,VLOOKUP(A43,'Données projet'!$A$35:$I$55,6,0)*VLOOKUP('Données projet'!$B$9,Paramètres!$A$1:$I$89,7,0))</f>
        <v>7.5600000000000001E-2</v>
      </c>
      <c r="Y43" s="16">
        <f>IF(ISNA(VLOOKUP(A43,'Données projet'!$A$35:$I$55,7,0)),0%,VLOOKUP(A43,'Données projet'!$A$35:$I$55,7,0))</f>
        <v>0.13200000000000001</v>
      </c>
      <c r="Z43" s="21">
        <f>EXP(-LN(2)/35)*Z42+(1-EXP(-LN(2)/35))/(LN(2)/35)*V43*W43*VLOOKUP('Données projet'!$B$9,Paramètres!$A$1:$I$89,3,0)*0.475*44/12</f>
        <v>45.813493314358581</v>
      </c>
      <c r="AA43" s="21">
        <f>EXP(-LN(2)/25)*AA42+(1-EXP(-LN(2)/25))/(LN(2)/25)*Calculateur!V43*Calculateur!X43*VLOOKUP('Données projet'!$B$9,Paramètres!$A$1:$I$89,3,0)*0.475*44/12</f>
        <v>21.055437468951411</v>
      </c>
      <c r="AB43" s="21">
        <f>EXP(-LN(2)/2)*AB42+(1-EXP(-LN(2)/2))/(LN(2)/2)*V43*Y43*VLOOKUP('Données projet'!$B$9,Paramètres!$A$1:$I$89,3,0)*0.475*44/12</f>
        <v>8.6914810912279421</v>
      </c>
      <c r="AC43" s="22">
        <f t="shared" si="3"/>
        <v>75.560411874537934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15.364102564102561</v>
      </c>
      <c r="AI43" s="13">
        <f>IF('Données projet'!$A$62&gt;35,AI42+AH43-AQ42,IF(A43&lt;'Données projet'!$A$62,$AF$205^A43,IF(A43='Données projet'!$A$62,'Données projet'!$B$62,AI42+AH43-AQ42)))</f>
        <v>270.63846153846151</v>
      </c>
      <c r="AJ43" s="13">
        <f>AI43*VLOOKUP('Données projet'!$B$10,Paramètres!$A$1:$I$89,3,0)*VLOOKUP('Données projet'!$B$10,Paramètres!$A$1:$I$89,5,0)</f>
        <v>161.84180000000001</v>
      </c>
      <c r="AK43" s="13">
        <f t="shared" si="35"/>
        <v>41.257661408086413</v>
      </c>
      <c r="AL43" s="20">
        <f t="shared" si="4"/>
        <v>353.73156195241717</v>
      </c>
      <c r="AM43" s="59">
        <f t="shared" si="5"/>
        <v>647.06489528575048</v>
      </c>
      <c r="AN43" s="59">
        <f ca="1">AVERAGE(OFFSET($AM$3,0,0,'Données projet'!$E$10+1,1))-AVERAGE(OFFSET($H$3,0,0,'Données projet'!$E$10+1,1))</f>
        <v>355.09162485318728</v>
      </c>
      <c r="AO43" s="59">
        <f t="shared" si="36"/>
        <v>320.06572891923685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29.081106529959193</v>
      </c>
      <c r="AV43" s="21">
        <f>EXP(-LN(2)/25)*AV42+(1-EXP(-LN(2)/25))/(LN(2)/25)*Calculateur!AQ43*Calculateur!AS43*VLOOKUP('Données projet'!$B$10,Paramètres!$A$1:$I$89,3,0)*0.475*44/12</f>
        <v>11.653278095168798</v>
      </c>
      <c r="AW43" s="21">
        <f>EXP(-LN(2)/2)*AW42+(1-EXP(-LN(2)/2))/(LN(2)/2)*AQ43*AT43*VLOOKUP('Données projet'!$B$10,Paramètres!$A$1:$I$89,3,0)*0.475*44/12</f>
        <v>1.5581438477984082</v>
      </c>
      <c r="AX43" s="21">
        <f t="shared" si="6"/>
        <v>42.292528472926392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9.3141025641025621</v>
      </c>
      <c r="BD43" s="12">
        <f>IF('Données projet'!$A$88&gt;35,BD42+BC43-BL42,IF(A43&lt;'Données projet'!$A$88,$BA$205^A43,IF(A43='Données projet'!$A$88,'Données projet'!$B$88,BD42+BC43-BL42)))</f>
        <v>148.13461538461542</v>
      </c>
      <c r="BE43" s="13">
        <f>BD43*VLOOKUP('Données projet'!$B$11,Paramètres!$A$1:$I$89,3,0)*VLOOKUP('Données projet'!$B$11,Paramètres!$A$1:$I$89,5,0)</f>
        <v>150.20850000000004</v>
      </c>
      <c r="BF43" s="13">
        <f t="shared" si="37"/>
        <v>38.625964162869636</v>
      </c>
      <c r="BG43" s="20">
        <f t="shared" si="7"/>
        <v>328.88669175033129</v>
      </c>
      <c r="BH43" s="59">
        <f t="shared" si="8"/>
        <v>622.22002508366461</v>
      </c>
      <c r="BI43" s="59">
        <f ca="1">AVERAGE(OFFSET($BH$3,0,0,'Données projet'!$E$11+1,1))-AVERAGE(OFFSET($H$3,0,0,'Données projet'!$E$11+1,1))</f>
        <v>425.47148407510412</v>
      </c>
      <c r="BJ43" s="59">
        <f t="shared" si="38"/>
        <v>308.54448799922471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15.21153846153846</v>
      </c>
      <c r="N44" s="13">
        <f>IF('Données projet'!$A$36&gt;35,N43+M44-V43,IF(A44&lt;'Données projet'!$A$36,$K$205^A44,IF(A44='Données projet'!$A$36,'Données projet'!$B$36,N43+M44-V43)))</f>
        <v>321.26538461538456</v>
      </c>
      <c r="O44" s="13">
        <f>N44*VLOOKUP('Données projet'!$B$9,Paramètres!$A$1:$I$89,3,0)*VLOOKUP('Données projet'!$B$9,Paramètres!$A$1:$I$89,5,0)</f>
        <v>192.11670000000001</v>
      </c>
      <c r="P44" s="13">
        <f t="shared" si="33"/>
        <v>48.007622995174927</v>
      </c>
      <c r="Q44" s="20">
        <f t="shared" si="53"/>
        <v>418.21652921659637</v>
      </c>
      <c r="R44" s="59">
        <f t="shared" si="0"/>
        <v>711.54986254992968</v>
      </c>
      <c r="S44" s="59">
        <f ca="1">AVERAGE(OFFSET($R$3,0,0,'Données projet'!$E$9+1,1))-AVERAGE(OFFSET($H$3,0,0,'Données projet'!$E$9+1,1))</f>
        <v>323.20040177531774</v>
      </c>
      <c r="T44" s="59">
        <f t="shared" si="34"/>
        <v>402.87981443974337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44.915118653935743</v>
      </c>
      <c r="AA44" s="21">
        <f>EXP(-LN(2)/25)*AA43+(1-EXP(-LN(2)/25))/(LN(2)/25)*Calculateur!V44*Calculateur!X44*VLOOKUP('Données projet'!$B$9,Paramètres!$A$1:$I$89,3,0)*0.475*44/12</f>
        <v>20.479675424105601</v>
      </c>
      <c r="AB44" s="21">
        <f>EXP(-LN(2)/2)*AB43+(1-EXP(-LN(2)/2))/(LN(2)/2)*V44*Y44*VLOOKUP('Données projet'!$B$9,Paramètres!$A$1:$I$89,3,0)*0.475*44/12</f>
        <v>6.1458052181619323</v>
      </c>
      <c r="AC44" s="22">
        <f t="shared" si="3"/>
        <v>71.540599296203283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15.364102564102561</v>
      </c>
      <c r="AI44" s="13">
        <f>IF('Données projet'!$A$62&gt;35,AI43+AH44-AQ43,IF(A44&lt;'Données projet'!$A$62,$AF$205^A44,IF(A44='Données projet'!$A$62,'Données projet'!$B$62,AI43+AH44-AQ43)))</f>
        <v>286.00256410256407</v>
      </c>
      <c r="AJ44" s="13">
        <f>AI44*VLOOKUP('Données projet'!$B$10,Paramètres!$A$1:$I$89,3,0)*VLOOKUP('Données projet'!$B$10,Paramètres!$A$1:$I$89,5,0)</f>
        <v>171.02953333333335</v>
      </c>
      <c r="AK44" s="13">
        <f t="shared" si="35"/>
        <v>43.320523714936215</v>
      </c>
      <c r="AL44" s="20">
        <f t="shared" si="4"/>
        <v>373.32634935906952</v>
      </c>
      <c r="AM44" s="59">
        <f t="shared" si="5"/>
        <v>666.65968269240284</v>
      </c>
      <c r="AN44" s="59">
        <f ca="1">AVERAGE(OFFSET($AM$3,0,0,'Données projet'!$E$10+1,1))-AVERAGE(OFFSET($H$3,0,0,'Données projet'!$E$10+1,1))</f>
        <v>355.09162485318728</v>
      </c>
      <c r="AO44" s="59">
        <f t="shared" si="36"/>
        <v>320.06572891923685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28.51084376863022</v>
      </c>
      <c r="AV44" s="21">
        <f>EXP(-LN(2)/25)*AV43+(1-EXP(-LN(2)/25))/(LN(2)/25)*Calculateur!AQ44*Calculateur!AS44*VLOOKUP('Données projet'!$B$10,Paramètres!$A$1:$I$89,3,0)*0.475*44/12</f>
        <v>11.334618592837145</v>
      </c>
      <c r="AW44" s="21">
        <f>EXP(-LN(2)/2)*AW43+(1-EXP(-LN(2)/2))/(LN(2)/2)*AQ44*AT44*VLOOKUP('Données projet'!$B$10,Paramètres!$A$1:$I$89,3,0)*0.475*44/12</f>
        <v>1.1017740808423544</v>
      </c>
      <c r="AX44" s="21">
        <f t="shared" si="6"/>
        <v>40.947236442309723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>
        <f>VLOOKUP(A44,'Données projet'!$A$87:$I$107,2,0)</f>
        <v>157.44871794871796</v>
      </c>
      <c r="BB44" s="12">
        <f>VLOOKUP(A44,'Données projet'!$A$87:$I$107,9,0)</f>
        <v>9.3141025641025621</v>
      </c>
      <c r="BC44" s="12">
        <f t="array" ref="BC44">INDEX(BB:BB,MIN(IF(ISNUMBER(BB44:BB240),ROW(BB44:BB240),"")))</f>
        <v>9.3141025641025621</v>
      </c>
      <c r="BD44" s="12">
        <f>IF('Données projet'!$A$88&gt;35,BD43+BC44-BL43,IF(A44&lt;'Données projet'!$A$88,$BA$205^A44,IF(A44='Données projet'!$A$88,'Données projet'!$B$88,BD43+BC44-BL43)))</f>
        <v>157.44871794871798</v>
      </c>
      <c r="BE44" s="13">
        <f>BD44*VLOOKUP('Données projet'!$B$11,Paramètres!$A$1:$I$89,3,0)*VLOOKUP('Données projet'!$B$11,Paramètres!$A$1:$I$89,5,0)</f>
        <v>159.65300000000005</v>
      </c>
      <c r="BF44" s="13">
        <f t="shared" si="37"/>
        <v>40.764238701185349</v>
      </c>
      <c r="BG44" s="20">
        <f t="shared" si="7"/>
        <v>349.06002407123123</v>
      </c>
      <c r="BH44" s="59">
        <f t="shared" si="8"/>
        <v>642.39335740456454</v>
      </c>
      <c r="BI44" s="59">
        <f ca="1">AVERAGE(OFFSET($BH$3,0,0,'Données projet'!$E$11+1,1))-AVERAGE(OFFSET($H$3,0,0,'Données projet'!$E$11+1,1))</f>
        <v>425.47148407510412</v>
      </c>
      <c r="BJ44" s="59">
        <f t="shared" si="38"/>
        <v>308.54448799922471</v>
      </c>
      <c r="BK44" s="15">
        <f>IF(ISNA(VLOOKUP(A44,'Données projet'!$A$87:$I$107,3,0)),0,VLOOKUP(A44,'Données projet'!$A$87:$I$107,3,0))</f>
        <v>2</v>
      </c>
      <c r="BL44" s="15">
        <f>IF(ISNA(VLOOKUP(A44,'Données projet'!$A$87:$I$107,4,0)),0,VLOOKUP(A44,'Données projet'!$A$87:$I$107,4,0))</f>
        <v>38.512820512820511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15.21153846153846</v>
      </c>
      <c r="N45" s="13">
        <f>IF('Données projet'!$A$36&gt;35,N44+M45-V44,IF(A45&lt;'Données projet'!$A$36,$K$205^A45,IF(A45='Données projet'!$A$36,'Données projet'!$B$36,N44+M45-V44)))</f>
        <v>336.47692307692301</v>
      </c>
      <c r="O45" s="13">
        <f>N45*VLOOKUP('Données projet'!$B$9,Paramètres!$A$1:$I$89,3,0)*VLOOKUP('Données projet'!$B$9,Paramètres!$A$1:$I$89,5,0)</f>
        <v>201.2132</v>
      </c>
      <c r="P45" s="13">
        <f t="shared" si="33"/>
        <v>50.010698447793722</v>
      </c>
      <c r="Q45" s="20">
        <f t="shared" si="53"/>
        <v>437.54828979657401</v>
      </c>
      <c r="R45" s="59">
        <f t="shared" si="0"/>
        <v>730.88162312990733</v>
      </c>
      <c r="S45" s="59">
        <f ca="1">AVERAGE(OFFSET($R$3,0,0,'Données projet'!$E$9+1,1))-AVERAGE(OFFSET($H$3,0,0,'Données projet'!$E$9+1,1))</f>
        <v>323.20040177531774</v>
      </c>
      <c r="T45" s="59">
        <f t="shared" si="34"/>
        <v>402.87981443974337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44.034360572649362</v>
      </c>
      <c r="AA45" s="21">
        <f>EXP(-LN(2)/25)*AA44+(1-EXP(-LN(2)/25))/(LN(2)/25)*Calculateur!V45*Calculateur!X45*VLOOKUP('Données projet'!$B$9,Paramètres!$A$1:$I$89,3,0)*0.475*44/12</f>
        <v>19.91965762265411</v>
      </c>
      <c r="AB45" s="21">
        <f>EXP(-LN(2)/2)*AB44+(1-EXP(-LN(2)/2))/(LN(2)/2)*V45*Y45*VLOOKUP('Données projet'!$B$9,Paramètres!$A$1:$I$89,3,0)*0.475*44/12</f>
        <v>4.3457405456139719</v>
      </c>
      <c r="AC45" s="22">
        <f t="shared" si="3"/>
        <v>68.299758740917454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15.364102564102561</v>
      </c>
      <c r="AI45" s="13">
        <f>IF('Données projet'!$A$62&gt;35,AI44+AH45-AQ44,IF(A45&lt;'Données projet'!$A$62,$AF$205^A45,IF(A45='Données projet'!$A$62,'Données projet'!$B$62,AI44+AH45-AQ44)))</f>
        <v>301.36666666666662</v>
      </c>
      <c r="AJ45" s="13">
        <f>AI45*VLOOKUP('Données projet'!$B$10,Paramètres!$A$1:$I$89,3,0)*VLOOKUP('Données projet'!$B$10,Paramètres!$A$1:$I$89,5,0)</f>
        <v>180.21726666666666</v>
      </c>
      <c r="AK45" s="13">
        <f t="shared" si="35"/>
        <v>45.370520602809727</v>
      </c>
      <c r="AL45" s="20">
        <f t="shared" si="4"/>
        <v>392.89872949433806</v>
      </c>
      <c r="AM45" s="59">
        <f t="shared" si="5"/>
        <v>686.23206282767137</v>
      </c>
      <c r="AN45" s="59">
        <f ca="1">AVERAGE(OFFSET($AM$3,0,0,'Données projet'!$E$10+1,1))-AVERAGE(OFFSET($H$3,0,0,'Données projet'!$E$10+1,1))</f>
        <v>355.09162485318728</v>
      </c>
      <c r="AO45" s="59">
        <f t="shared" si="36"/>
        <v>320.06572891923685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27.951763512224971</v>
      </c>
      <c r="AV45" s="21">
        <f>EXP(-LN(2)/25)*AV44+(1-EXP(-LN(2)/25))/(LN(2)/25)*Calculateur!AQ45*Calculateur!AS45*VLOOKUP('Données projet'!$B$10,Paramètres!$A$1:$I$89,3,0)*0.475*44/12</f>
        <v>11.024672851354328</v>
      </c>
      <c r="AW45" s="21">
        <f>EXP(-LN(2)/2)*AW44+(1-EXP(-LN(2)/2))/(LN(2)/2)*AQ45*AT45*VLOOKUP('Données projet'!$B$10,Paramètres!$A$1:$I$89,3,0)*0.475*44/12</f>
        <v>0.77907192389920432</v>
      </c>
      <c r="AX45" s="21">
        <f t="shared" si="6"/>
        <v>39.755508287478499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9.3452380952380913</v>
      </c>
      <c r="BD45" s="12">
        <f>IF('Données projet'!$A$88&gt;35,BD44+BC45-BL44,IF(A45&lt;'Données projet'!$A$88,$BA$205^A45,IF(A45='Données projet'!$A$88,'Données projet'!$B$88,BD44+BC45-BL44)))</f>
        <v>128.28113553113559</v>
      </c>
      <c r="BE45" s="13">
        <f>BD45*VLOOKUP('Données projet'!$B$11,Paramètres!$A$1:$I$89,3,0)*VLOOKUP('Données projet'!$B$11,Paramètres!$A$1:$I$89,5,0)</f>
        <v>130.07707142857151</v>
      </c>
      <c r="BF45" s="13">
        <f t="shared" si="37"/>
        <v>34.014167662270417</v>
      </c>
      <c r="BG45" s="20">
        <f t="shared" si="7"/>
        <v>285.79224141654964</v>
      </c>
      <c r="BH45" s="59">
        <f t="shared" si="8"/>
        <v>579.12557474988296</v>
      </c>
      <c r="BI45" s="59">
        <f ca="1">AVERAGE(OFFSET($BH$3,0,0,'Données projet'!$E$11+1,1))-AVERAGE(OFFSET($H$3,0,0,'Données projet'!$E$11+1,1))</f>
        <v>425.47148407510412</v>
      </c>
      <c r="BJ45" s="59">
        <f t="shared" si="38"/>
        <v>308.54448799922471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15.21153846153846</v>
      </c>
      <c r="N46" s="13">
        <f>IF('Données projet'!$A$36&gt;35,N45+M46-V45,IF(A46&lt;'Données projet'!$A$36,$K$205^A46,IF(A46='Données projet'!$A$36,'Données projet'!$B$36,N45+M46-V45)))</f>
        <v>351.68846153846147</v>
      </c>
      <c r="O46" s="13">
        <f>N46*VLOOKUP('Données projet'!$B$9,Paramètres!$A$1:$I$89,3,0)*VLOOKUP('Données projet'!$B$9,Paramètres!$A$1:$I$89,5,0)</f>
        <v>210.30969999999999</v>
      </c>
      <c r="P46" s="13">
        <f t="shared" si="33"/>
        <v>52.003257134609832</v>
      </c>
      <c r="Q46" s="20">
        <f t="shared" si="53"/>
        <v>456.86173367611201</v>
      </c>
      <c r="R46" s="59">
        <f t="shared" si="0"/>
        <v>750.19506700944532</v>
      </c>
      <c r="S46" s="59">
        <f ca="1">AVERAGE(OFFSET($R$3,0,0,'Données projet'!$E$9+1,1))-AVERAGE(OFFSET($H$3,0,0,'Données projet'!$E$9+1,1))</f>
        <v>323.20040177531774</v>
      </c>
      <c r="T46" s="59">
        <f t="shared" si="34"/>
        <v>402.87981443974337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43.170873620127622</v>
      </c>
      <c r="AA46" s="21">
        <f>EXP(-LN(2)/25)*AA45+(1-EXP(-LN(2)/25))/(LN(2)/25)*Calculateur!V46*Calculateur!X46*VLOOKUP('Données projet'!$B$9,Paramètres!$A$1:$I$89,3,0)*0.475*44/12</f>
        <v>19.374953537433367</v>
      </c>
      <c r="AB46" s="21">
        <f>EXP(-LN(2)/2)*AB45+(1-EXP(-LN(2)/2))/(LN(2)/2)*V46*Y46*VLOOKUP('Données projet'!$B$9,Paramètres!$A$1:$I$89,3,0)*0.475*44/12</f>
        <v>3.0729026090809666</v>
      </c>
      <c r="AC46" s="22">
        <f t="shared" si="3"/>
        <v>65.618729766641962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15.364102564102561</v>
      </c>
      <c r="AI46" s="13">
        <f>IF('Données projet'!$A$62&gt;35,AI45+AH46-AQ45,IF(A46&lt;'Données projet'!$A$62,$AF$205^A46,IF(A46='Données projet'!$A$62,'Données projet'!$B$62,AI45+AH46-AQ45)))</f>
        <v>316.73076923076917</v>
      </c>
      <c r="AJ46" s="13">
        <f>AI46*VLOOKUP('Données projet'!$B$10,Paramètres!$A$1:$I$89,3,0)*VLOOKUP('Données projet'!$B$10,Paramètres!$A$1:$I$89,5,0)</f>
        <v>189.405</v>
      </c>
      <c r="AK46" s="13">
        <f t="shared" si="35"/>
        <v>47.408382795872441</v>
      </c>
      <c r="AL46" s="20">
        <f t="shared" si="4"/>
        <v>412.44997503614445</v>
      </c>
      <c r="AM46" s="59">
        <f t="shared" si="5"/>
        <v>705.78330836947771</v>
      </c>
      <c r="AN46" s="59">
        <f ca="1">AVERAGE(OFFSET($AM$3,0,0,'Données projet'!$E$10+1,1))-AVERAGE(OFFSET($H$3,0,0,'Données projet'!$E$10+1,1))</f>
        <v>355.09162485318728</v>
      </c>
      <c r="AO46" s="59">
        <f t="shared" si="36"/>
        <v>320.06572891923685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27.403646478642543</v>
      </c>
      <c r="AV46" s="21">
        <f>EXP(-LN(2)/25)*AV45+(1-EXP(-LN(2)/25))/(LN(2)/25)*Calculateur!AQ46*Calculateur!AS46*VLOOKUP('Données projet'!$B$10,Paramètres!$A$1:$I$89,3,0)*0.475*44/12</f>
        <v>10.723202592471695</v>
      </c>
      <c r="AW46" s="21">
        <f>EXP(-LN(2)/2)*AW45+(1-EXP(-LN(2)/2))/(LN(2)/2)*AQ46*AT46*VLOOKUP('Données projet'!$B$10,Paramètres!$A$1:$I$89,3,0)*0.475*44/12</f>
        <v>0.55088704042117731</v>
      </c>
      <c r="AX46" s="21">
        <f t="shared" si="6"/>
        <v>38.677736111535417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9.3452380952380913</v>
      </c>
      <c r="BD46" s="12">
        <f>IF('Données projet'!$A$88&gt;35,BD45+BC46-BL45,IF(A46&lt;'Données projet'!$A$88,$BA$205^A46,IF(A46='Données projet'!$A$88,'Données projet'!$B$88,BD45+BC46-BL45)))</f>
        <v>137.62637362637369</v>
      </c>
      <c r="BE46" s="13">
        <f>BD46*VLOOKUP('Données projet'!$B$11,Paramètres!$A$1:$I$89,3,0)*VLOOKUP('Données projet'!$B$11,Paramètres!$A$1:$I$89,5,0)</f>
        <v>139.55314285714292</v>
      </c>
      <c r="BF46" s="13">
        <f t="shared" si="37"/>
        <v>36.19461775941739</v>
      </c>
      <c r="BG46" s="20">
        <f t="shared" si="7"/>
        <v>306.09401640717584</v>
      </c>
      <c r="BH46" s="59">
        <f t="shared" si="8"/>
        <v>599.42734974050916</v>
      </c>
      <c r="BI46" s="59">
        <f ca="1">AVERAGE(OFFSET($BH$3,0,0,'Données projet'!$E$11+1,1))-AVERAGE(OFFSET($H$3,0,0,'Données projet'!$E$11+1,1))</f>
        <v>425.47148407510412</v>
      </c>
      <c r="BJ46" s="59">
        <f t="shared" si="38"/>
        <v>308.54448799922471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15.21153846153846</v>
      </c>
      <c r="N47" s="13">
        <f>IF('Données projet'!$A$36&gt;35,N46+M47-V46,IF(A47&lt;'Données projet'!$A$36,$K$205^A47,IF(A47='Données projet'!$A$36,'Données projet'!$B$36,N46+M47-V46)))</f>
        <v>366.89999999999992</v>
      </c>
      <c r="O47" s="13">
        <f>N47*VLOOKUP('Données projet'!$B$9,Paramètres!$A$1:$I$89,3,0)*VLOOKUP('Données projet'!$B$9,Paramètres!$A$1:$I$89,5,0)</f>
        <v>219.40619999999998</v>
      </c>
      <c r="P47" s="13">
        <f t="shared" si="33"/>
        <v>53.985805930473333</v>
      </c>
      <c r="Q47" s="20">
        <f t="shared" si="53"/>
        <v>476.15774366224099</v>
      </c>
      <c r="R47" s="59">
        <f t="shared" si="0"/>
        <v>769.4910769955743</v>
      </c>
      <c r="S47" s="59">
        <f ca="1">AVERAGE(OFFSET($R$3,0,0,'Données projet'!$E$9+1,1))-AVERAGE(OFFSET($H$3,0,0,'Données projet'!$E$9+1,1))</f>
        <v>323.20040177531774</v>
      </c>
      <c r="T47" s="59">
        <f t="shared" si="34"/>
        <v>402.87981443974337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42.324319120069795</v>
      </c>
      <c r="AA47" s="21">
        <f>EXP(-LN(2)/25)*AA46+(1-EXP(-LN(2)/25))/(LN(2)/25)*Calculateur!V47*Calculateur!X47*VLOOKUP('Données projet'!$B$9,Paramètres!$A$1:$I$89,3,0)*0.475*44/12</f>
        <v>18.845144414067725</v>
      </c>
      <c r="AB47" s="21">
        <f>EXP(-LN(2)/2)*AB46+(1-EXP(-LN(2)/2))/(LN(2)/2)*V47*Y47*VLOOKUP('Données projet'!$B$9,Paramètres!$A$1:$I$89,3,0)*0.475*44/12</f>
        <v>2.172870272806986</v>
      </c>
      <c r="AC47" s="22">
        <f t="shared" si="3"/>
        <v>63.342333806944509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15.364102564102561</v>
      </c>
      <c r="AI47" s="13">
        <f>IF('Données projet'!$A$62&gt;35,AI46+AH47-AQ46,IF(A47&lt;'Données projet'!$A$62,$AF$205^A47,IF(A47='Données projet'!$A$62,'Données projet'!$B$62,AI46+AH47-AQ46)))</f>
        <v>332.09487179487172</v>
      </c>
      <c r="AJ47" s="13">
        <f>AI47*VLOOKUP('Données projet'!$B$10,Paramètres!$A$1:$I$89,3,0)*VLOOKUP('Données projet'!$B$10,Paramètres!$A$1:$I$89,5,0)</f>
        <v>198.59273333333329</v>
      </c>
      <c r="AK47" s="13">
        <f t="shared" si="35"/>
        <v>49.434766120428968</v>
      </c>
      <c r="AL47" s="20">
        <f t="shared" si="4"/>
        <v>431.98122821530256</v>
      </c>
      <c r="AM47" s="59">
        <f t="shared" si="5"/>
        <v>725.31456154863588</v>
      </c>
      <c r="AN47" s="59">
        <f ca="1">AVERAGE(OFFSET($AM$3,0,0,'Données projet'!$E$10+1,1))-AVERAGE(OFFSET($H$3,0,0,'Données projet'!$E$10+1,1))</f>
        <v>355.09162485318728</v>
      </c>
      <c r="AO47" s="59">
        <f t="shared" si="36"/>
        <v>320.06572891923685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26.866277685770289</v>
      </c>
      <c r="AV47" s="21">
        <f>EXP(-LN(2)/25)*AV46+(1-EXP(-LN(2)/25))/(LN(2)/25)*Calculateur!AQ47*Calculateur!AS47*VLOOKUP('Données projet'!$B$10,Paramètres!$A$1:$I$89,3,0)*0.475*44/12</f>
        <v>10.42997605367184</v>
      </c>
      <c r="AW47" s="21">
        <f>EXP(-LN(2)/2)*AW46+(1-EXP(-LN(2)/2))/(LN(2)/2)*AQ47*AT47*VLOOKUP('Données projet'!$B$10,Paramètres!$A$1:$I$89,3,0)*0.475*44/12</f>
        <v>0.38953596194960222</v>
      </c>
      <c r="AX47" s="21">
        <f t="shared" si="6"/>
        <v>37.685789701391734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9.3452380952380913</v>
      </c>
      <c r="BD47" s="12">
        <f>IF('Données projet'!$A$88&gt;35,BD46+BC47-BL46,IF(A47&lt;'Données projet'!$A$88,$BA$205^A47,IF(A47='Données projet'!$A$88,'Données projet'!$B$88,BD46+BC47-BL46)))</f>
        <v>146.97161172161179</v>
      </c>
      <c r="BE47" s="13">
        <f>BD47*VLOOKUP('Données projet'!$B$11,Paramètres!$A$1:$I$89,3,0)*VLOOKUP('Données projet'!$B$11,Paramètres!$A$1:$I$89,5,0)</f>
        <v>149.02921428571437</v>
      </c>
      <c r="BF47" s="13">
        <f t="shared" si="37"/>
        <v>38.357887785185099</v>
      </c>
      <c r="BG47" s="20">
        <f t="shared" si="7"/>
        <v>326.36586944014988</v>
      </c>
      <c r="BH47" s="59">
        <f t="shared" si="8"/>
        <v>619.69920277348319</v>
      </c>
      <c r="BI47" s="59">
        <f ca="1">AVERAGE(OFFSET($BH$3,0,0,'Données projet'!$E$11+1,1))-AVERAGE(OFFSET($H$3,0,0,'Données projet'!$E$11+1,1))</f>
        <v>425.47148407510412</v>
      </c>
      <c r="BJ47" s="59">
        <f t="shared" si="38"/>
        <v>308.54448799922471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15.21153846153846</v>
      </c>
      <c r="N48" s="13">
        <f>IF('Données projet'!$A$36&gt;35,N47+M48-V47,IF(A48&lt;'Données projet'!$A$36,$K$205^A48,IF(A48='Données projet'!$A$36,'Données projet'!$B$36,N47+M48-V47)))</f>
        <v>382.11153846153837</v>
      </c>
      <c r="O48" s="13">
        <f>N48*VLOOKUP('Données projet'!$B$9,Paramètres!$A$1:$I$89,3,0)*VLOOKUP('Données projet'!$B$9,Paramètres!$A$1:$I$89,5,0)</f>
        <v>228.50269999999998</v>
      </c>
      <c r="P48" s="13">
        <f t="shared" si="33"/>
        <v>55.958807302542581</v>
      </c>
      <c r="Q48" s="20">
        <f t="shared" si="53"/>
        <v>495.43712521859487</v>
      </c>
      <c r="R48" s="59">
        <f t="shared" si="0"/>
        <v>788.77045855192819</v>
      </c>
      <c r="S48" s="59">
        <f ca="1">AVERAGE(OFFSET($R$3,0,0,'Données projet'!$E$9+1,1))-AVERAGE(OFFSET($H$3,0,0,'Données projet'!$E$9+1,1))</f>
        <v>323.20040177531774</v>
      </c>
      <c r="T48" s="59">
        <f t="shared" si="34"/>
        <v>402.87981443974337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41.494365037410844</v>
      </c>
      <c r="AA48" s="21">
        <f>EXP(-LN(2)/25)*AA47+(1-EXP(-LN(2)/25))/(LN(2)/25)*Calculateur!V48*Calculateur!X48*VLOOKUP('Données projet'!$B$9,Paramètres!$A$1:$I$89,3,0)*0.475*44/12</f>
        <v>18.329822949041969</v>
      </c>
      <c r="AB48" s="21">
        <f>EXP(-LN(2)/2)*AB47+(1-EXP(-LN(2)/2))/(LN(2)/2)*V48*Y48*VLOOKUP('Données projet'!$B$9,Paramètres!$A$1:$I$89,3,0)*0.475*44/12</f>
        <v>1.5364513045404833</v>
      </c>
      <c r="AC48" s="22">
        <f t="shared" si="3"/>
        <v>61.360639290993298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15.364102564102561</v>
      </c>
      <c r="AI48" s="13">
        <f>IF('Données projet'!$A$62&gt;35,AI47+AH48-AQ47,IF(A48&lt;'Données projet'!$A$62,$AF$205^A48,IF(A48='Données projet'!$A$62,'Données projet'!$B$62,AI47+AH48-AQ47)))</f>
        <v>347.45897435897427</v>
      </c>
      <c r="AJ48" s="13">
        <f>AI48*VLOOKUP('Données projet'!$B$10,Paramètres!$A$1:$I$89,3,0)*VLOOKUP('Données projet'!$B$10,Paramètres!$A$1:$I$89,5,0)</f>
        <v>207.78046666666665</v>
      </c>
      <c r="AK48" s="13">
        <f t="shared" si="35"/>
        <v>51.450262290579353</v>
      </c>
      <c r="AL48" s="20">
        <f t="shared" si="4"/>
        <v>451.49351960053679</v>
      </c>
      <c r="AM48" s="59">
        <f t="shared" si="5"/>
        <v>744.8268529338701</v>
      </c>
      <c r="AN48" s="59">
        <f ca="1">AVERAGE(OFFSET($AM$3,0,0,'Données projet'!$E$10+1,1))-AVERAGE(OFFSET($H$3,0,0,'Données projet'!$E$10+1,1))</f>
        <v>355.09162485318728</v>
      </c>
      <c r="AO48" s="59">
        <f t="shared" si="36"/>
        <v>320.06572891923685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26.33944636716366</v>
      </c>
      <c r="AV48" s="21">
        <f>EXP(-LN(2)/25)*AV47+(1-EXP(-LN(2)/25))/(LN(2)/25)*Calculateur!AQ48*Calculateur!AS48*VLOOKUP('Données projet'!$B$10,Paramètres!$A$1:$I$89,3,0)*0.475*44/12</f>
        <v>10.144767809995582</v>
      </c>
      <c r="AW48" s="21">
        <f>EXP(-LN(2)/2)*AW47+(1-EXP(-LN(2)/2))/(LN(2)/2)*AQ48*AT48*VLOOKUP('Données projet'!$B$10,Paramètres!$A$1:$I$89,3,0)*0.475*44/12</f>
        <v>0.27544352021058871</v>
      </c>
      <c r="AX48" s="21">
        <f t="shared" si="6"/>
        <v>36.759657697369832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9.3452380952380913</v>
      </c>
      <c r="BD48" s="12">
        <f>IF('Données projet'!$A$88&gt;35,BD47+BC48-BL47,IF(A48&lt;'Données projet'!$A$88,$BA$205^A48,IF(A48='Données projet'!$A$88,'Données projet'!$B$88,BD47+BC48-BL47)))</f>
        <v>156.3168498168499</v>
      </c>
      <c r="BE48" s="13">
        <f>BD48*VLOOKUP('Données projet'!$B$11,Paramètres!$A$1:$I$89,3,0)*VLOOKUP('Données projet'!$B$11,Paramètres!$A$1:$I$89,5,0)</f>
        <v>158.5052857142858</v>
      </c>
      <c r="BF48" s="13">
        <f t="shared" si="37"/>
        <v>40.505194484738432</v>
      </c>
      <c r="BG48" s="20">
        <f t="shared" si="7"/>
        <v>346.60991967996728</v>
      </c>
      <c r="BH48" s="59">
        <f t="shared" si="8"/>
        <v>639.94325301330059</v>
      </c>
      <c r="BI48" s="59">
        <f ca="1">AVERAGE(OFFSET($BH$3,0,0,'Données projet'!$E$11+1,1))-AVERAGE(OFFSET($H$3,0,0,'Données projet'!$E$11+1,1))</f>
        <v>425.47148407510412</v>
      </c>
      <c r="BJ48" s="59">
        <f t="shared" si="38"/>
        <v>308.54448799922471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15.21153846153846</v>
      </c>
      <c r="N49" s="13">
        <f>IF('Données projet'!$A$36&gt;35,N48+M49-V48,IF(A49&lt;'Données projet'!$A$36,$K$205^A49,IF(A49='Données projet'!$A$36,'Données projet'!$B$36,N48+M49-V48)))</f>
        <v>397.32307692307683</v>
      </c>
      <c r="O49" s="13">
        <f>N49*VLOOKUP('Données projet'!$B$9,Paramètres!$A$1:$I$89,3,0)*VLOOKUP('Données projet'!$B$9,Paramètres!$A$1:$I$89,5,0)</f>
        <v>237.59919999999997</v>
      </c>
      <c r="P49" s="13">
        <f t="shared" si="33"/>
        <v>57.922684812819405</v>
      </c>
      <c r="Q49" s="20">
        <f t="shared" si="53"/>
        <v>514.70061604899377</v>
      </c>
      <c r="R49" s="59">
        <f t="shared" si="0"/>
        <v>808.03394938232714</v>
      </c>
      <c r="S49" s="59">
        <f ca="1">AVERAGE(OFFSET($R$3,0,0,'Données projet'!$E$9+1,1))-AVERAGE(OFFSET($H$3,0,0,'Données projet'!$E$9+1,1))</f>
        <v>323.20040177531774</v>
      </c>
      <c r="T49" s="59">
        <f t="shared" si="34"/>
        <v>402.87981443974337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40.680685848090825</v>
      </c>
      <c r="AA49" s="21">
        <f>EXP(-LN(2)/25)*AA48+(1-EXP(-LN(2)/25))/(LN(2)/25)*Calculateur!V49*Calculateur!X49*VLOOKUP('Données projet'!$B$9,Paramètres!$A$1:$I$89,3,0)*0.475*44/12</f>
        <v>17.828592976576921</v>
      </c>
      <c r="AB49" s="21">
        <f>EXP(-LN(2)/2)*AB48+(1-EXP(-LN(2)/2))/(LN(2)/2)*V49*Y49*VLOOKUP('Données projet'!$B$9,Paramètres!$A$1:$I$89,3,0)*0.475*44/12</f>
        <v>1.086435136403493</v>
      </c>
      <c r="AC49" s="22">
        <f t="shared" si="3"/>
        <v>59.59571396107124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362.82307692307688</v>
      </c>
      <c r="AG49" s="12">
        <f>VLOOKUP(A49,'Données projet'!$A$61:$I$81,9,0)</f>
        <v>15.364102564102561</v>
      </c>
      <c r="AH49" s="12">
        <f t="array" ref="AH49">INDEX(AG:AG,MIN(IF(ISNUMBER(AG49:AG245),ROW(AG49:AG245),"")))</f>
        <v>15.364102564102561</v>
      </c>
      <c r="AI49" s="13">
        <f>IF('Données projet'!$A$62&gt;35,AI48+AH49-AQ48,IF(A49&lt;'Données projet'!$A$62,$AF$205^A49,IF(A49='Données projet'!$A$62,'Données projet'!$B$62,AI48+AH49-AQ48)))</f>
        <v>362.82307692307683</v>
      </c>
      <c r="AJ49" s="13">
        <f>AI49*VLOOKUP('Données projet'!$B$10,Paramètres!$A$1:$I$89,3,0)*VLOOKUP('Données projet'!$B$10,Paramètres!$A$1:$I$89,5,0)</f>
        <v>216.96819999999994</v>
      </c>
      <c r="AK49" s="13">
        <f t="shared" si="35"/>
        <v>53.455407732310803</v>
      </c>
      <c r="AL49" s="20">
        <f t="shared" si="4"/>
        <v>470.98778346710793</v>
      </c>
      <c r="AM49" s="59">
        <f t="shared" si="5"/>
        <v>764.32111680044125</v>
      </c>
      <c r="AN49" s="59">
        <f ca="1">AVERAGE(OFFSET($AM$3,0,0,'Données projet'!$E$10+1,1))-AVERAGE(OFFSET($H$3,0,0,'Données projet'!$E$10+1,1))</f>
        <v>355.09162485318728</v>
      </c>
      <c r="AO49" s="59">
        <f t="shared" si="36"/>
        <v>320.06572891923685</v>
      </c>
      <c r="AP49" s="15">
        <f>IF(ISNA(VLOOKUP(A49,'Données projet'!$A$61:$I$81,3,0)),0,VLOOKUP(A49,'Données projet'!$A$61:$I$81,3,0))</f>
        <v>5</v>
      </c>
      <c r="AQ49" s="15">
        <f>IF(ISNA(VLOOKUP(A49,'Données projet'!$A$61:$I$81,4,0)),0,VLOOKUP(A49,'Données projet'!$A$61:$I$81,4,0))</f>
        <v>72.561538461538461</v>
      </c>
      <c r="AR49" s="16">
        <f>IF(ISNA(VLOOKUP(A49,'Données projet'!$A$61:$I$81,5,0)),0%,VLOOKUP(A49,'Données projet'!$A$61:$I$81,5,0)*VLOOKUP('Données projet'!$B$10,Paramètres!$A$1:$I$89,7,0))</f>
        <v>0.315</v>
      </c>
      <c r="AS49" s="16">
        <f>IF(ISNA(VLOOKUP(A49,'Données projet'!$A$61:$I$81,6,0)),0%,VLOOKUP(A49,'Données projet'!$A$61:$I$81,6,0)*VLOOKUP('Données projet'!$B$10,Paramètres!$A$1:$I$89,7,0))</f>
        <v>7.5600000000000001E-2</v>
      </c>
      <c r="AT49" s="16">
        <f>IF(ISNA(VLOOKUP(A49,'Données projet'!$A$61:$I$81,7,0)),0%,VLOOKUP(A49,'Données projet'!$A$61:$I$81,7,0))</f>
        <v>0.13200000000000001</v>
      </c>
      <c r="AU49" s="21">
        <f>EXP(-LN(2)/35)*AU48+(1-EXP(-LN(2)/35))/(LN(2)/35)*AQ49*AR49*VLOOKUP('Données projet'!$B$10,Paramètres!$A$1:$I$89,3,0)*0.475*44/12</f>
        <v>43.95498204370508</v>
      </c>
      <c r="AV49" s="21">
        <f>EXP(-LN(2)/25)*AV48+(1-EXP(-LN(2)/25))/(LN(2)/25)*Calculateur!AQ49*Calculateur!AS49*VLOOKUP('Données projet'!$B$10,Paramètres!$A$1:$I$89,3,0)*0.475*44/12</f>
        <v>14.201913021334352</v>
      </c>
      <c r="AW49" s="21">
        <f>EXP(-LN(2)/2)*AW48+(1-EXP(-LN(2)/2))/(LN(2)/2)*AQ49*AT49*VLOOKUP('Données projet'!$B$10,Paramètres!$A$1:$I$89,3,0)*0.475*44/12</f>
        <v>6.6798748388055769</v>
      </c>
      <c r="AX49" s="21">
        <f t="shared" si="6"/>
        <v>64.83676990384501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9.3452380952380913</v>
      </c>
      <c r="BD49" s="12">
        <f>IF('Données projet'!$A$88&gt;35,BD48+BC49-BL48,IF(A49&lt;'Données projet'!$A$88,$BA$205^A49,IF(A49='Données projet'!$A$88,'Données projet'!$B$88,BD48+BC49-BL48)))</f>
        <v>165.662087912088</v>
      </c>
      <c r="BE49" s="13">
        <f>BD49*VLOOKUP('Données projet'!$B$11,Paramètres!$A$1:$I$89,3,0)*VLOOKUP('Données projet'!$B$11,Paramètres!$A$1:$I$89,5,0)</f>
        <v>167.98135714285723</v>
      </c>
      <c r="BF49" s="13">
        <f t="shared" si="37"/>
        <v>42.637600900233188</v>
      </c>
      <c r="BG49" s="20">
        <f t="shared" si="7"/>
        <v>366.82801859171582</v>
      </c>
      <c r="BH49" s="59">
        <f t="shared" si="8"/>
        <v>660.16135192504908</v>
      </c>
      <c r="BI49" s="59">
        <f ca="1">AVERAGE(OFFSET($BH$3,0,0,'Données projet'!$E$11+1,1))-AVERAGE(OFFSET($H$3,0,0,'Données projet'!$E$11+1,1))</f>
        <v>425.47148407510412</v>
      </c>
      <c r="BJ49" s="59">
        <f t="shared" si="38"/>
        <v>308.54448799922471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15.21153846153846</v>
      </c>
      <c r="N50" s="13">
        <f>IF('Données projet'!$A$36&gt;35,N49+M50-V49,IF(A50&lt;'Données projet'!$A$36,$K$205^A50,IF(A50='Données projet'!$A$36,'Données projet'!$B$36,N49+M50-V49)))</f>
        <v>412.53461538461528</v>
      </c>
      <c r="O50" s="13">
        <f>N50*VLOOKUP('Données projet'!$B$9,Paramètres!$A$1:$I$89,3,0)*VLOOKUP('Données projet'!$B$9,Paramètres!$A$1:$I$89,5,0)</f>
        <v>246.69569999999996</v>
      </c>
      <c r="P50" s="13">
        <f t="shared" si="33"/>
        <v>59.877827754324372</v>
      </c>
      <c r="Q50" s="20">
        <f t="shared" si="53"/>
        <v>533.94889417211482</v>
      </c>
      <c r="R50" s="59">
        <f t="shared" si="0"/>
        <v>827.28222750544819</v>
      </c>
      <c r="S50" s="59">
        <f ca="1">AVERAGE(OFFSET($R$3,0,0,'Données projet'!$E$9+1,1))-AVERAGE(OFFSET($H$3,0,0,'Données projet'!$E$9+1,1))</f>
        <v>323.20040177531774</v>
      </c>
      <c r="T50" s="59">
        <f t="shared" si="34"/>
        <v>402.87981443974337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39.882962411378074</v>
      </c>
      <c r="AA50" s="21">
        <f>EXP(-LN(2)/25)*AA49+(1-EXP(-LN(2)/25))/(LN(2)/25)*Calculateur!V50*Calculateur!X50*VLOOKUP('Données projet'!$B$9,Paramètres!$A$1:$I$89,3,0)*0.475*44/12</f>
        <v>17.34106916406747</v>
      </c>
      <c r="AB50" s="21">
        <f>EXP(-LN(2)/2)*AB49+(1-EXP(-LN(2)/2))/(LN(2)/2)*V50*Y50*VLOOKUP('Données projet'!$B$9,Paramètres!$A$1:$I$89,3,0)*0.475*44/12</f>
        <v>0.76822565227024164</v>
      </c>
      <c r="AC50" s="22">
        <f t="shared" si="3"/>
        <v>57.992257227715783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13.793846153846165</v>
      </c>
      <c r="AI50" s="13">
        <f>IF('Données projet'!$A$62&gt;35,AI49+AH50-AQ49,IF(A50&lt;'Données projet'!$A$62,$AF$205^A50,IF(A50='Données projet'!$A$62,'Données projet'!$B$62,AI49+AH50-AQ49)))</f>
        <v>304.05538461538453</v>
      </c>
      <c r="AJ50" s="13">
        <f>AI50*VLOOKUP('Données projet'!$B$10,Paramètres!$A$1:$I$89,3,0)*VLOOKUP('Données projet'!$B$10,Paramètres!$A$1:$I$89,5,0)</f>
        <v>181.82511999999997</v>
      </c>
      <c r="AK50" s="13">
        <f t="shared" si="35"/>
        <v>45.72800301768045</v>
      </c>
      <c r="AL50" s="20">
        <f t="shared" si="4"/>
        <v>396.32168925579339</v>
      </c>
      <c r="AM50" s="59">
        <f t="shared" si="5"/>
        <v>689.6550225891267</v>
      </c>
      <c r="AN50" s="59">
        <f ca="1">AVERAGE(OFFSET($AM$3,0,0,'Données projet'!$E$10+1,1))-AVERAGE(OFFSET($H$3,0,0,'Données projet'!$E$10+1,1))</f>
        <v>355.09162485318728</v>
      </c>
      <c r="AO50" s="59">
        <f t="shared" si="36"/>
        <v>320.06572891923685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43.093051655719812</v>
      </c>
      <c r="AV50" s="21">
        <f>EXP(-LN(2)/25)*AV49+(1-EXP(-LN(2)/25))/(LN(2)/25)*Calculateur!AQ50*Calculateur!AS50*VLOOKUP('Données projet'!$B$10,Paramètres!$A$1:$I$89,3,0)*0.475*44/12</f>
        <v>13.813560962919817</v>
      </c>
      <c r="AW50" s="21">
        <f>EXP(-LN(2)/2)*AW49+(1-EXP(-LN(2)/2))/(LN(2)/2)*AQ50*AT50*VLOOKUP('Données projet'!$B$10,Paramètres!$A$1:$I$89,3,0)*0.475*44/12</f>
        <v>4.7233847959968198</v>
      </c>
      <c r="AX50" s="21">
        <f t="shared" si="6"/>
        <v>61.629997414636449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9.3452380952380913</v>
      </c>
      <c r="BD50" s="12">
        <f>IF('Données projet'!$A$88&gt;35,BD49+BC50-BL49,IF(A50&lt;'Données projet'!$A$88,$BA$205^A50,IF(A50='Données projet'!$A$88,'Données projet'!$B$88,BD49+BC50-BL49)))</f>
        <v>175.0073260073261</v>
      </c>
      <c r="BE50" s="13">
        <f>BD50*VLOOKUP('Données projet'!$B$11,Paramètres!$A$1:$I$89,3,0)*VLOOKUP('Données projet'!$B$11,Paramètres!$A$1:$I$89,5,0)</f>
        <v>177.45742857142866</v>
      </c>
      <c r="BF50" s="13">
        <f t="shared" si="37"/>
        <v>44.75604336428804</v>
      </c>
      <c r="BG50" s="20">
        <f t="shared" si="7"/>
        <v>387.02179695470659</v>
      </c>
      <c r="BH50" s="59">
        <f t="shared" si="8"/>
        <v>680.35513028803985</v>
      </c>
      <c r="BI50" s="59">
        <f ca="1">AVERAGE(OFFSET($BH$3,0,0,'Données projet'!$E$11+1,1))-AVERAGE(OFFSET($H$3,0,0,'Données projet'!$E$11+1,1))</f>
        <v>425.47148407510412</v>
      </c>
      <c r="BJ50" s="59">
        <f t="shared" si="38"/>
        <v>308.54448799922471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427.74615384615385</v>
      </c>
      <c r="L51" s="12">
        <f>VLOOKUP(A51,'Données projet'!$A$35:$I$55,9,0)</f>
        <v>15.21153846153846</v>
      </c>
      <c r="M51" s="12">
        <f t="array" ref="M51">INDEX(L:L,MIN(IF(ISNUMBER(L51:L247),ROW(L51:L247),"")))</f>
        <v>15.21153846153846</v>
      </c>
      <c r="N51" s="13">
        <f>IF('Données projet'!$A$36&gt;35,N50+M51-V50,IF(A51&lt;'Données projet'!$A$36,$K$205^A51,IF(A51='Données projet'!$A$36,'Données projet'!$B$36,N50+M51-V50)))</f>
        <v>427.74615384615373</v>
      </c>
      <c r="O51" s="13">
        <f>N51*VLOOKUP('Données projet'!$B$9,Paramètres!$A$1:$I$89,3,0)*VLOOKUP('Données projet'!$B$9,Paramètres!$A$1:$I$89,5,0)</f>
        <v>255.79219999999995</v>
      </c>
      <c r="P51" s="13">
        <f t="shared" si="33"/>
        <v>61.824595084245523</v>
      </c>
      <c r="Q51" s="20">
        <f t="shared" si="53"/>
        <v>553.18258477172765</v>
      </c>
      <c r="R51" s="59">
        <f t="shared" si="0"/>
        <v>846.51591810506102</v>
      </c>
      <c r="S51" s="59">
        <f ca="1">AVERAGE(OFFSET($R$3,0,0,'Données projet'!$E$9+1,1))-AVERAGE(OFFSET($H$3,0,0,'Données projet'!$E$9+1,1))</f>
        <v>323.20040177531774</v>
      </c>
      <c r="T51" s="59">
        <f t="shared" si="34"/>
        <v>402.87981443974337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83.969230769230762</v>
      </c>
      <c r="W51" s="16">
        <f>IF(ISNA(VLOOKUP(A51,'Données projet'!$A$35:$I$55,5,0)),0%,VLOOKUP(A51,'Données projet'!$A$35:$I$55,5,0)*VLOOKUP('Données projet'!$B$9,Paramètres!$A$1:$I$89,7,0))</f>
        <v>0.315</v>
      </c>
      <c r="X51" s="16">
        <f>IF(ISNA(VLOOKUP(A51,'Données projet'!$A$35:$I$55,6,0)),0%,VLOOKUP(A51,'Données projet'!$A$35:$I$55,6,0)*VLOOKUP('Données projet'!$B$9,Paramètres!$A$1:$I$89,7,0))</f>
        <v>7.5600000000000001E-2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60.083528580688551</v>
      </c>
      <c r="AA51" s="21">
        <f>EXP(-LN(2)/25)*AA50+(1-EXP(-LN(2)/25))/(LN(2)/25)*Calculateur!V51*Calculateur!X51*VLOOKUP('Données projet'!$B$9,Paramètres!$A$1:$I$89,3,0)*0.475*44/12</f>
        <v>21.882883930435508</v>
      </c>
      <c r="AB51" s="21">
        <f>EXP(-LN(2)/2)*AB50+(1-EXP(-LN(2)/2))/(LN(2)/2)*V51*Y51*VLOOKUP('Données projet'!$B$9,Paramètres!$A$1:$I$89,3,0)*0.475*44/12</f>
        <v>8.0478742479516399</v>
      </c>
      <c r="AC51" s="22">
        <f t="shared" si="3"/>
        <v>90.014286759075702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13.793846153846165</v>
      </c>
      <c r="AI51" s="13">
        <f>IF('Données projet'!$A$62&gt;35,AI50+AH51-AQ50,IF(A51&lt;'Données projet'!$A$62,$AF$205^A51,IF(A51='Données projet'!$A$62,'Données projet'!$B$62,AI50+AH51-AQ50)))</f>
        <v>317.8492307692307</v>
      </c>
      <c r="AJ51" s="13">
        <f>AI51*VLOOKUP('Données projet'!$B$10,Paramètres!$A$1:$I$89,3,0)*VLOOKUP('Données projet'!$B$10,Paramètres!$A$1:$I$89,5,0)</f>
        <v>190.07383999999999</v>
      </c>
      <c r="AK51" s="13">
        <f t="shared" si="35"/>
        <v>47.556277457641151</v>
      </c>
      <c r="AL51" s="20">
        <f t="shared" si="4"/>
        <v>413.87245457205836</v>
      </c>
      <c r="AM51" s="59">
        <f t="shared" si="5"/>
        <v>707.20578790539162</v>
      </c>
      <c r="AN51" s="59">
        <f ca="1">AVERAGE(OFFSET($AM$3,0,0,'Données projet'!$E$10+1,1))-AVERAGE(OFFSET($H$3,0,0,'Données projet'!$E$10+1,1))</f>
        <v>355.09162485318728</v>
      </c>
      <c r="AO51" s="59">
        <f t="shared" si="36"/>
        <v>320.06572891923685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42.248023196917309</v>
      </c>
      <c r="AV51" s="21">
        <f>EXP(-LN(2)/25)*AV50+(1-EXP(-LN(2)/25))/(LN(2)/25)*Calculateur!AQ51*Calculateur!AS51*VLOOKUP('Données projet'!$B$10,Paramètres!$A$1:$I$89,3,0)*0.475*44/12</f>
        <v>13.435828411965176</v>
      </c>
      <c r="AW51" s="21">
        <f>EXP(-LN(2)/2)*AW50+(1-EXP(-LN(2)/2))/(LN(2)/2)*AQ51*AT51*VLOOKUP('Données projet'!$B$10,Paramètres!$A$1:$I$89,3,0)*0.475*44/12</f>
        <v>3.3399374194027889</v>
      </c>
      <c r="AX51" s="21">
        <f t="shared" si="6"/>
        <v>59.023789028285272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184.35256410256409</v>
      </c>
      <c r="BB51" s="12">
        <f>VLOOKUP(A51,'Données projet'!$A$87:$I$107,9,0)</f>
        <v>9.3452380952380913</v>
      </c>
      <c r="BC51" s="12">
        <f t="array" ref="BC51">INDEX(BB:BB,MIN(IF(ISNUMBER(BB51:BB247),ROW(BB51:BB247),"")))</f>
        <v>9.3452380952380913</v>
      </c>
      <c r="BD51" s="12">
        <f>IF('Données projet'!$A$88&gt;35,BD50+BC51-BL50,IF(A51&lt;'Données projet'!$A$88,$BA$205^A51,IF(A51='Données projet'!$A$88,'Données projet'!$B$88,BD50+BC51-BL50)))</f>
        <v>184.3525641025642</v>
      </c>
      <c r="BE51" s="13">
        <f>BD51*VLOOKUP('Données projet'!$B$11,Paramètres!$A$1:$I$89,3,0)*VLOOKUP('Données projet'!$B$11,Paramètres!$A$1:$I$89,5,0)</f>
        <v>186.93350000000012</v>
      </c>
      <c r="BF51" s="13">
        <f t="shared" si="37"/>
        <v>46.861352563060628</v>
      </c>
      <c r="BG51" s="20">
        <f t="shared" si="7"/>
        <v>407.19270154733073</v>
      </c>
      <c r="BH51" s="59">
        <f t="shared" si="8"/>
        <v>700.52603488066404</v>
      </c>
      <c r="BI51" s="59">
        <f ca="1">AVERAGE(OFFSET($BH$3,0,0,'Données projet'!$E$11+1,1))-AVERAGE(OFFSET($H$3,0,0,'Données projet'!$E$11+1,1))</f>
        <v>425.47148407510412</v>
      </c>
      <c r="BJ51" s="59">
        <f t="shared" si="38"/>
        <v>308.54448799922471</v>
      </c>
      <c r="BK51" s="15">
        <f>IF(ISNA(VLOOKUP(A51,'Données projet'!$A$87:$I$107,3,0)),0,VLOOKUP(A51,'Données projet'!$A$87:$I$107,3,0))</f>
        <v>3</v>
      </c>
      <c r="BL51" s="15">
        <f>IF(ISNA(VLOOKUP(A51,'Données projet'!$A$87:$I$107,4,0)),0,VLOOKUP(A51,'Données projet'!$A$87:$I$107,4,0))</f>
        <v>48.025641025641022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12.837499999999991</v>
      </c>
      <c r="N52" s="13">
        <f>IF('Données projet'!$A$36&gt;35,N51+M52-V51,IF(A52&lt;'Données projet'!$A$36,$K$205^A52,IF(A52='Données projet'!$A$36,'Données projet'!$B$36,N51+M52-V51)))</f>
        <v>356.61442307692295</v>
      </c>
      <c r="O52" s="13">
        <f>N52*VLOOKUP('Données projet'!$B$9,Paramètres!$A$1:$I$89,3,0)*VLOOKUP('Données projet'!$B$9,Paramètres!$A$1:$I$89,5,0)</f>
        <v>213.25542499999995</v>
      </c>
      <c r="P52" s="13">
        <f t="shared" si="33"/>
        <v>52.646339807871037</v>
      </c>
      <c r="Q52" s="20">
        <f t="shared" si="53"/>
        <v>463.11224037370857</v>
      </c>
      <c r="R52" s="59">
        <f t="shared" si="0"/>
        <v>756.44557370704183</v>
      </c>
      <c r="S52" s="59">
        <f ca="1">AVERAGE(OFFSET($R$3,0,0,'Données projet'!$E$9+1,1))-AVERAGE(OFFSET($H$3,0,0,'Données projet'!$E$9+1,1))</f>
        <v>323.20040177531774</v>
      </c>
      <c r="T52" s="59">
        <f t="shared" si="34"/>
        <v>402.87981443974337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58.905327232555059</v>
      </c>
      <c r="AA52" s="21">
        <f>EXP(-LN(2)/25)*AA51+(1-EXP(-LN(2)/25))/(LN(2)/25)*Calculateur!V52*Calculateur!X52*VLOOKUP('Données projet'!$B$9,Paramètres!$A$1:$I$89,3,0)*0.475*44/12</f>
        <v>21.284495318586895</v>
      </c>
      <c r="AB52" s="21">
        <f>EXP(-LN(2)/2)*AB51+(1-EXP(-LN(2)/2))/(LN(2)/2)*V52*Y52*VLOOKUP('Données projet'!$B$9,Paramètres!$A$1:$I$89,3,0)*0.475*44/12</f>
        <v>5.6907064548631912</v>
      </c>
      <c r="AC52" s="22">
        <f t="shared" si="3"/>
        <v>85.880529006005148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13.793846153846165</v>
      </c>
      <c r="AI52" s="13">
        <f>IF('Données projet'!$A$62&gt;35,AI51+AH52-AQ51,IF(A52&lt;'Données projet'!$A$62,$AF$205^A52,IF(A52='Données projet'!$A$62,'Données projet'!$B$62,AI51+AH52-AQ51)))</f>
        <v>331.64307692307688</v>
      </c>
      <c r="AJ52" s="13">
        <f>AI52*VLOOKUP('Données projet'!$B$10,Paramètres!$A$1:$I$89,3,0)*VLOOKUP('Données projet'!$B$10,Paramètres!$A$1:$I$89,5,0)</f>
        <v>198.32255999999998</v>
      </c>
      <c r="AK52" s="13">
        <f t="shared" si="35"/>
        <v>49.375336669033487</v>
      </c>
      <c r="AL52" s="20">
        <f t="shared" si="4"/>
        <v>431.40717003189997</v>
      </c>
      <c r="AM52" s="59">
        <f t="shared" si="5"/>
        <v>724.74050336523328</v>
      </c>
      <c r="AN52" s="59">
        <f ca="1">AVERAGE(OFFSET($AM$3,0,0,'Données projet'!$E$10+1,1))-AVERAGE(OFFSET($H$3,0,0,'Données projet'!$E$10+1,1))</f>
        <v>355.09162485318728</v>
      </c>
      <c r="AO52" s="59">
        <f t="shared" si="36"/>
        <v>320.06572891923685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41.419565230775461</v>
      </c>
      <c r="AV52" s="21">
        <f>EXP(-LN(2)/25)*AV51+(1-EXP(-LN(2)/25))/(LN(2)/25)*Calculateur!AQ52*Calculateur!AS52*VLOOKUP('Données projet'!$B$10,Paramètres!$A$1:$I$89,3,0)*0.475*44/12</f>
        <v>13.068424977480479</v>
      </c>
      <c r="AW52" s="21">
        <f>EXP(-LN(2)/2)*AW51+(1-EXP(-LN(2)/2))/(LN(2)/2)*AQ52*AT52*VLOOKUP('Données projet'!$B$10,Paramètres!$A$1:$I$89,3,0)*0.475*44/12</f>
        <v>2.3616923979984104</v>
      </c>
      <c r="AX52" s="21">
        <f t="shared" si="6"/>
        <v>56.849682606254348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8.8736263736263741</v>
      </c>
      <c r="BD52" s="12">
        <f>IF('Données projet'!$A$88&gt;35,BD51+BC52-BL51,IF(A52&lt;'Données projet'!$A$88,$BA$205^A52,IF(A52='Données projet'!$A$88,'Données projet'!$B$88,BD51+BC52-BL51)))</f>
        <v>145.20054945054954</v>
      </c>
      <c r="BE52" s="13">
        <f>BD52*VLOOKUP('Données projet'!$B$11,Paramètres!$A$1:$I$89,3,0)*VLOOKUP('Données projet'!$B$11,Paramètres!$A$1:$I$89,5,0)</f>
        <v>147.23335714285724</v>
      </c>
      <c r="BF52" s="13">
        <f t="shared" si="37"/>
        <v>37.949176511309943</v>
      </c>
      <c r="BG52" s="20">
        <f t="shared" si="7"/>
        <v>322.52624611434112</v>
      </c>
      <c r="BH52" s="59">
        <f t="shared" si="8"/>
        <v>615.85957944767438</v>
      </c>
      <c r="BI52" s="59">
        <f ca="1">AVERAGE(OFFSET($BH$3,0,0,'Données projet'!$E$11+1,1))-AVERAGE(OFFSET($H$3,0,0,'Données projet'!$E$11+1,1))</f>
        <v>425.47148407510412</v>
      </c>
      <c r="BJ52" s="59">
        <f t="shared" si="38"/>
        <v>308.54448799922471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12.837499999999991</v>
      </c>
      <c r="N53" s="13">
        <f>IF('Données projet'!$A$36&gt;35,N52+M53-V52,IF(A53&lt;'Données projet'!$A$36,$K$205^A53,IF(A53='Données projet'!$A$36,'Données projet'!$B$36,N52+M53-V52)))</f>
        <v>369.45192307692292</v>
      </c>
      <c r="O53" s="13">
        <f>N53*VLOOKUP('Données projet'!$B$9,Paramètres!$A$1:$I$89,3,0)*VLOOKUP('Données projet'!$B$9,Paramètres!$A$1:$I$89,5,0)</f>
        <v>220.93224999999995</v>
      </c>
      <c r="P53" s="13">
        <f t="shared" si="33"/>
        <v>54.31745576001893</v>
      </c>
      <c r="Q53" s="20">
        <f t="shared" si="53"/>
        <v>479.3932375320328</v>
      </c>
      <c r="R53" s="59">
        <f t="shared" si="0"/>
        <v>772.72657086536606</v>
      </c>
      <c r="S53" s="59">
        <f ca="1">AVERAGE(OFFSET($R$3,0,0,'Données projet'!$E$9+1,1))-AVERAGE(OFFSET($H$3,0,0,'Données projet'!$E$9+1,1))</f>
        <v>323.20040177531774</v>
      </c>
      <c r="T53" s="59">
        <f t="shared" si="34"/>
        <v>402.87981443974337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57.750229694226604</v>
      </c>
      <c r="AA53" s="21">
        <f>EXP(-LN(2)/25)*AA52+(1-EXP(-LN(2)/25))/(LN(2)/25)*Calculateur!V53*Calculateur!X53*VLOOKUP('Données projet'!$B$9,Paramètres!$A$1:$I$89,3,0)*0.475*44/12</f>
        <v>20.702469674797175</v>
      </c>
      <c r="AB53" s="21">
        <f>EXP(-LN(2)/2)*AB52+(1-EXP(-LN(2)/2))/(LN(2)/2)*V53*Y53*VLOOKUP('Données projet'!$B$9,Paramètres!$A$1:$I$89,3,0)*0.475*44/12</f>
        <v>4.0239371239758199</v>
      </c>
      <c r="AC53" s="22">
        <f t="shared" si="3"/>
        <v>82.476636492999603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13.793846153846165</v>
      </c>
      <c r="AI53" s="13">
        <f>IF('Données projet'!$A$62&gt;35,AI52+AH53-AQ52,IF(A53&lt;'Données projet'!$A$62,$AF$205^A53,IF(A53='Données projet'!$A$62,'Données projet'!$B$62,AI52+AH53-AQ52)))</f>
        <v>345.43692307692305</v>
      </c>
      <c r="AJ53" s="13">
        <f>AI53*VLOOKUP('Données projet'!$B$10,Paramètres!$A$1:$I$89,3,0)*VLOOKUP('Données projet'!$B$10,Paramètres!$A$1:$I$89,5,0)</f>
        <v>206.57128</v>
      </c>
      <c r="AK53" s="13">
        <f t="shared" si="35"/>
        <v>51.185607766999659</v>
      </c>
      <c r="AL53" s="20">
        <f t="shared" si="4"/>
        <v>448.92657952752438</v>
      </c>
      <c r="AM53" s="59">
        <f t="shared" si="5"/>
        <v>742.25991286085764</v>
      </c>
      <c r="AN53" s="59">
        <f ca="1">AVERAGE(OFFSET($AM$3,0,0,'Données projet'!$E$10+1,1))-AVERAGE(OFFSET($H$3,0,0,'Données projet'!$E$10+1,1))</f>
        <v>355.09162485318728</v>
      </c>
      <c r="AO53" s="59">
        <f t="shared" si="36"/>
        <v>320.06572891923685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40.607352820040191</v>
      </c>
      <c r="AV53" s="21">
        <f>EXP(-LN(2)/25)*AV52+(1-EXP(-LN(2)/25))/(LN(2)/25)*Calculateur!AQ53*Calculateur!AS53*VLOOKUP('Données projet'!$B$10,Paramètres!$A$1:$I$89,3,0)*0.475*44/12</f>
        <v>12.711068209232675</v>
      </c>
      <c r="AW53" s="21">
        <f>EXP(-LN(2)/2)*AW52+(1-EXP(-LN(2)/2))/(LN(2)/2)*AQ53*AT53*VLOOKUP('Données projet'!$B$10,Paramètres!$A$1:$I$89,3,0)*0.475*44/12</f>
        <v>1.6699687097013949</v>
      </c>
      <c r="AX53" s="21">
        <f t="shared" si="6"/>
        <v>54.988389738974263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8.8736263736263741</v>
      </c>
      <c r="BD53" s="12">
        <f>IF('Données projet'!$A$88&gt;35,BD52+BC53-BL52,IF(A53&lt;'Données projet'!$A$88,$BA$205^A53,IF(A53='Données projet'!$A$88,'Données projet'!$B$88,BD52+BC53-BL52)))</f>
        <v>154.07417582417591</v>
      </c>
      <c r="BE53" s="13">
        <f>BD53*VLOOKUP('Données projet'!$B$11,Paramètres!$A$1:$I$89,3,0)*VLOOKUP('Données projet'!$B$11,Paramètres!$A$1:$I$89,5,0)</f>
        <v>156.23121428571437</v>
      </c>
      <c r="BF53" s="13">
        <f t="shared" si="37"/>
        <v>39.991279580917869</v>
      </c>
      <c r="BG53" s="20">
        <f t="shared" si="7"/>
        <v>341.75417681771779</v>
      </c>
      <c r="BH53" s="59">
        <f t="shared" si="8"/>
        <v>635.08751015105111</v>
      </c>
      <c r="BI53" s="59">
        <f ca="1">AVERAGE(OFFSET($BH$3,0,0,'Données projet'!$E$11+1,1))-AVERAGE(OFFSET($H$3,0,0,'Données projet'!$E$11+1,1))</f>
        <v>425.47148407510412</v>
      </c>
      <c r="BJ53" s="59">
        <f t="shared" si="38"/>
        <v>308.54448799922471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12.837499999999991</v>
      </c>
      <c r="N54" s="13">
        <f>IF('Données projet'!$A$36&gt;35,N53+M54-V53,IF(A54&lt;'Données projet'!$A$36,$K$205^A54,IF(A54='Données projet'!$A$36,'Données projet'!$B$36,N53+M54-V53)))</f>
        <v>382.2894230769229</v>
      </c>
      <c r="O54" s="13">
        <f>N54*VLOOKUP('Données projet'!$B$9,Paramètres!$A$1:$I$89,3,0)*VLOOKUP('Données projet'!$B$9,Paramètres!$A$1:$I$89,5,0)</f>
        <v>228.6090749999999</v>
      </c>
      <c r="P54" s="13">
        <f t="shared" si="33"/>
        <v>55.981824933821947</v>
      </c>
      <c r="Q54" s="20">
        <f t="shared" si="53"/>
        <v>495.66248405140635</v>
      </c>
      <c r="R54" s="59">
        <f t="shared" si="0"/>
        <v>788.99581738473967</v>
      </c>
      <c r="S54" s="59">
        <f ca="1">AVERAGE(OFFSET($R$3,0,0,'Données projet'!$E$9+1,1))-AVERAGE(OFFSET($H$3,0,0,'Données projet'!$E$9+1,1))</f>
        <v>323.20040177531774</v>
      </c>
      <c r="T54" s="59">
        <f t="shared" si="34"/>
        <v>402.87981443974337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56.617782914084835</v>
      </c>
      <c r="AA54" s="21">
        <f>EXP(-LN(2)/25)*AA53+(1-EXP(-LN(2)/25))/(LN(2)/25)*Calculateur!V54*Calculateur!X54*VLOOKUP('Données projet'!$B$9,Paramètres!$A$1:$I$89,3,0)*0.475*44/12</f>
        <v>20.136359552844283</v>
      </c>
      <c r="AB54" s="21">
        <f>EXP(-LN(2)/2)*AB53+(1-EXP(-LN(2)/2))/(LN(2)/2)*V54*Y54*VLOOKUP('Données projet'!$B$9,Paramètres!$A$1:$I$89,3,0)*0.475*44/12</f>
        <v>2.8453532274315956</v>
      </c>
      <c r="AC54" s="22">
        <f t="shared" si="3"/>
        <v>79.599495694360726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13.793846153846165</v>
      </c>
      <c r="AI54" s="13">
        <f>IF('Données projet'!$A$62&gt;35,AI53+AH54-AQ53,IF(A54&lt;'Données projet'!$A$62,$AF$205^A54,IF(A54='Données projet'!$A$62,'Données projet'!$B$62,AI53+AH54-AQ53)))</f>
        <v>359.23076923076923</v>
      </c>
      <c r="AJ54" s="13">
        <f>AI54*VLOOKUP('Données projet'!$B$10,Paramètres!$A$1:$I$89,3,0)*VLOOKUP('Données projet'!$B$10,Paramètres!$A$1:$I$89,5,0)</f>
        <v>214.82</v>
      </c>
      <c r="AK54" s="13">
        <f t="shared" si="35"/>
        <v>52.987481825087599</v>
      </c>
      <c r="AL54" s="20">
        <f t="shared" si="4"/>
        <v>466.43136417869431</v>
      </c>
      <c r="AM54" s="59">
        <f t="shared" si="5"/>
        <v>759.76469751202762</v>
      </c>
      <c r="AN54" s="59">
        <f ca="1">AVERAGE(OFFSET($AM$3,0,0,'Données projet'!$E$10+1,1))-AVERAGE(OFFSET($H$3,0,0,'Données projet'!$E$10+1,1))</f>
        <v>355.09162485318728</v>
      </c>
      <c r="AO54" s="59">
        <f t="shared" si="36"/>
        <v>320.06572891923685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39.811067399278784</v>
      </c>
      <c r="AV54" s="21">
        <f>EXP(-LN(2)/25)*AV53+(1-EXP(-LN(2)/25))/(LN(2)/25)*Calculateur!AQ54*Calculateur!AS54*VLOOKUP('Données projet'!$B$10,Paramètres!$A$1:$I$89,3,0)*0.475*44/12</f>
        <v>12.363483380605182</v>
      </c>
      <c r="AW54" s="21">
        <f>EXP(-LN(2)/2)*AW53+(1-EXP(-LN(2)/2))/(LN(2)/2)*AQ54*AT54*VLOOKUP('Données projet'!$B$10,Paramètres!$A$1:$I$89,3,0)*0.475*44/12</f>
        <v>1.1808461989992054</v>
      </c>
      <c r="AX54" s="21">
        <f t="shared" si="6"/>
        <v>53.355396978883171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8.8736263736263741</v>
      </c>
      <c r="BD54" s="12">
        <f>IF('Données projet'!$A$88&gt;35,BD53+BC54-BL53,IF(A54&lt;'Données projet'!$A$88,$BA$205^A54,IF(A54='Données projet'!$A$88,'Données projet'!$B$88,BD53+BC54-BL53)))</f>
        <v>162.94780219780228</v>
      </c>
      <c r="BE54" s="13">
        <f>BD54*VLOOKUP('Données projet'!$B$11,Paramètres!$A$1:$I$89,3,0)*VLOOKUP('Données projet'!$B$11,Paramètres!$A$1:$I$89,5,0)</f>
        <v>165.22907142857153</v>
      </c>
      <c r="BF54" s="13">
        <f t="shared" si="37"/>
        <v>42.019730517668535</v>
      </c>
      <c r="BG54" s="20">
        <f t="shared" si="7"/>
        <v>360.95833005636814</v>
      </c>
      <c r="BH54" s="59">
        <f t="shared" si="8"/>
        <v>654.2916633897014</v>
      </c>
      <c r="BI54" s="59">
        <f ca="1">AVERAGE(OFFSET($BH$3,0,0,'Données projet'!$E$11+1,1))-AVERAGE(OFFSET($H$3,0,0,'Données projet'!$E$11+1,1))</f>
        <v>425.47148407510412</v>
      </c>
      <c r="BJ54" s="59">
        <f t="shared" si="38"/>
        <v>308.54448799922471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12.837499999999991</v>
      </c>
      <c r="N55" s="13">
        <f>IF('Données projet'!$A$36&gt;35,N54+M55-V54,IF(A55&lt;'Données projet'!$A$36,$K$205^A55,IF(A55='Données projet'!$A$36,'Données projet'!$B$36,N54+M55-V54)))</f>
        <v>395.12692307692288</v>
      </c>
      <c r="O55" s="13">
        <f>N55*VLOOKUP('Données projet'!$B$9,Paramètres!$A$1:$I$89,3,0)*VLOOKUP('Données projet'!$B$9,Paramètres!$A$1:$I$89,5,0)</f>
        <v>236.28589999999988</v>
      </c>
      <c r="P55" s="13">
        <f t="shared" si="33"/>
        <v>57.639699864397762</v>
      </c>
      <c r="Q55" s="20">
        <f t="shared" si="53"/>
        <v>511.92041976382592</v>
      </c>
      <c r="R55" s="59">
        <f t="shared" si="0"/>
        <v>805.25375309715923</v>
      </c>
      <c r="S55" s="59">
        <f ca="1">AVERAGE(OFFSET($R$3,0,0,'Données projet'!$E$9+1,1))-AVERAGE(OFFSET($H$3,0,0,'Données projet'!$E$9+1,1))</f>
        <v>323.20040177531774</v>
      </c>
      <c r="T55" s="59">
        <f t="shared" si="34"/>
        <v>402.87981443974337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55.507542724577313</v>
      </c>
      <c r="AA55" s="21">
        <f>EXP(-LN(2)/25)*AA54+(1-EXP(-LN(2)/25))/(LN(2)/25)*Calculateur!V55*Calculateur!X55*VLOOKUP('Données projet'!$B$9,Paramètres!$A$1:$I$89,3,0)*0.475*44/12</f>
        <v>19.585729741946629</v>
      </c>
      <c r="AB55" s="21">
        <f>EXP(-LN(2)/2)*AB54+(1-EXP(-LN(2)/2))/(LN(2)/2)*V55*Y55*VLOOKUP('Données projet'!$B$9,Paramètres!$A$1:$I$89,3,0)*0.475*44/12</f>
        <v>2.01196856198791</v>
      </c>
      <c r="AC55" s="22">
        <f t="shared" si="3"/>
        <v>77.105241028511855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13.793846153846165</v>
      </c>
      <c r="AI55" s="13">
        <f>IF('Données projet'!$A$62&gt;35,AI54+AH55-AQ54,IF(A55&lt;'Données projet'!$A$62,$AF$205^A55,IF(A55='Données projet'!$A$62,'Données projet'!$B$62,AI54+AH55-AQ54)))</f>
        <v>373.0246153846154</v>
      </c>
      <c r="AJ55" s="13">
        <f>AI55*VLOOKUP('Données projet'!$B$10,Paramètres!$A$1:$I$89,3,0)*VLOOKUP('Données projet'!$B$10,Paramètres!$A$1:$I$89,5,0)</f>
        <v>223.06872000000001</v>
      </c>
      <c r="AK55" s="13">
        <f t="shared" si="35"/>
        <v>54.78131818288734</v>
      </c>
      <c r="AL55" s="20">
        <f t="shared" si="4"/>
        <v>483.92214983519551</v>
      </c>
      <c r="AM55" s="59">
        <f t="shared" si="5"/>
        <v>777.25548316852883</v>
      </c>
      <c r="AN55" s="59">
        <f ca="1">AVERAGE(OFFSET($AM$3,0,0,'Données projet'!$E$10+1,1))-AVERAGE(OFFSET($H$3,0,0,'Données projet'!$E$10+1,1))</f>
        <v>355.09162485318728</v>
      </c>
      <c r="AO55" s="59">
        <f t="shared" si="36"/>
        <v>320.06572891923685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39.030396649932356</v>
      </c>
      <c r="AV55" s="21">
        <f>EXP(-LN(2)/25)*AV54+(1-EXP(-LN(2)/25))/(LN(2)/25)*Calculateur!AQ55*Calculateur!AS55*VLOOKUP('Données projet'!$B$10,Paramètres!$A$1:$I$89,3,0)*0.475*44/12</f>
        <v>12.025403277395199</v>
      </c>
      <c r="AW55" s="21">
        <f>EXP(-LN(2)/2)*AW54+(1-EXP(-LN(2)/2))/(LN(2)/2)*AQ55*AT55*VLOOKUP('Données projet'!$B$10,Paramètres!$A$1:$I$89,3,0)*0.475*44/12</f>
        <v>0.83498435485069755</v>
      </c>
      <c r="AX55" s="21">
        <f t="shared" si="6"/>
        <v>51.890784282178252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8.8736263736263741</v>
      </c>
      <c r="BD55" s="12">
        <f>IF('Données projet'!$A$88&gt;35,BD54+BC55-BL54,IF(A55&lt;'Données projet'!$A$88,$BA$205^A55,IF(A55='Données projet'!$A$88,'Données projet'!$B$88,BD54+BC55-BL54)))</f>
        <v>171.82142857142864</v>
      </c>
      <c r="BE55" s="13">
        <f>BD55*VLOOKUP('Données projet'!$B$11,Paramètres!$A$1:$I$89,3,0)*VLOOKUP('Données projet'!$B$11,Paramètres!$A$1:$I$89,5,0)</f>
        <v>174.22692857142866</v>
      </c>
      <c r="BF55" s="13">
        <f t="shared" si="37"/>
        <v>44.035357527108694</v>
      </c>
      <c r="BG55" s="20">
        <f t="shared" si="7"/>
        <v>380.1401482882859</v>
      </c>
      <c r="BH55" s="59">
        <f t="shared" si="8"/>
        <v>673.47348162161916</v>
      </c>
      <c r="BI55" s="59">
        <f ca="1">AVERAGE(OFFSET($BH$3,0,0,'Données projet'!$E$11+1,1))-AVERAGE(OFFSET($H$3,0,0,'Données projet'!$E$11+1,1))</f>
        <v>425.47148407510412</v>
      </c>
      <c r="BJ55" s="59">
        <f t="shared" si="38"/>
        <v>308.54448799922471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12.837499999999991</v>
      </c>
      <c r="N56" s="13">
        <f>IF('Données projet'!$A$36&gt;35,N55+M56-V55,IF(A56&lt;'Données projet'!$A$36,$K$205^A56,IF(A56='Données projet'!$A$36,'Données projet'!$B$36,N55+M56-V55)))</f>
        <v>407.96442307692286</v>
      </c>
      <c r="O56" s="13">
        <f>N56*VLOOKUP('Données projet'!$B$9,Paramètres!$A$1:$I$89,3,0)*VLOOKUP('Données projet'!$B$9,Paramètres!$A$1:$I$89,5,0)</f>
        <v>243.96272499999989</v>
      </c>
      <c r="P56" s="13">
        <f t="shared" si="33"/>
        <v>59.291315745845196</v>
      </c>
      <c r="Q56" s="20">
        <f t="shared" si="53"/>
        <v>528.16745429901346</v>
      </c>
      <c r="R56" s="59">
        <f t="shared" si="0"/>
        <v>821.50078763234683</v>
      </c>
      <c r="S56" s="59">
        <f ca="1">AVERAGE(OFFSET($R$3,0,0,'Données projet'!$E$9+1,1))-AVERAGE(OFFSET($H$3,0,0,'Données projet'!$E$9+1,1))</f>
        <v>323.20040177531774</v>
      </c>
      <c r="T56" s="59">
        <f t="shared" si="34"/>
        <v>402.87981443974337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54.419073668006384</v>
      </c>
      <c r="AA56" s="21">
        <f>EXP(-LN(2)/25)*AA55+(1-EXP(-LN(2)/25))/(LN(2)/25)*Calculateur!V56*Calculateur!X56*VLOOKUP('Données projet'!$B$9,Paramètres!$A$1:$I$89,3,0)*0.475*44/12</f>
        <v>19.050156932184336</v>
      </c>
      <c r="AB56" s="21">
        <f>EXP(-LN(2)/2)*AB55+(1-EXP(-LN(2)/2))/(LN(2)/2)*V56*Y56*VLOOKUP('Données projet'!$B$9,Paramètres!$A$1:$I$89,3,0)*0.475*44/12</f>
        <v>1.4226766137157978</v>
      </c>
      <c r="AC56" s="22">
        <f t="shared" si="3"/>
        <v>74.891907213906507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13.793846153846165</v>
      </c>
      <c r="AI56" s="13">
        <f>IF('Données projet'!$A$62&gt;35,AI55+AH56-AQ55,IF(A56&lt;'Données projet'!$A$62,$AF$205^A56,IF(A56='Données projet'!$A$62,'Données projet'!$B$62,AI55+AH56-AQ55)))</f>
        <v>386.81846153846158</v>
      </c>
      <c r="AJ56" s="13">
        <f>AI56*VLOOKUP('Données projet'!$B$10,Paramètres!$A$1:$I$89,3,0)*VLOOKUP('Données projet'!$B$10,Paramètres!$A$1:$I$89,5,0)</f>
        <v>231.31744000000003</v>
      </c>
      <c r="AK56" s="13">
        <f t="shared" si="35"/>
        <v>56.567448098598192</v>
      </c>
      <c r="AL56" s="20">
        <f t="shared" si="4"/>
        <v>501.39951343839198</v>
      </c>
      <c r="AM56" s="59">
        <f t="shared" si="5"/>
        <v>794.73284677172524</v>
      </c>
      <c r="AN56" s="59">
        <f ca="1">AVERAGE(OFFSET($AM$3,0,0,'Données projet'!$E$10+1,1))-AVERAGE(OFFSET($H$3,0,0,'Données projet'!$E$10+1,1))</f>
        <v>355.09162485318728</v>
      </c>
      <c r="AO56" s="59">
        <f t="shared" si="36"/>
        <v>320.06572891923685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38.265034377818473</v>
      </c>
      <c r="AV56" s="21">
        <f>EXP(-LN(2)/25)*AV55+(1-EXP(-LN(2)/25))/(LN(2)/25)*Calculateur!AQ56*Calculateur!AS56*VLOOKUP('Données projet'!$B$10,Paramètres!$A$1:$I$89,3,0)*0.475*44/12</f>
        <v>11.696567992386353</v>
      </c>
      <c r="AW56" s="21">
        <f>EXP(-LN(2)/2)*AW55+(1-EXP(-LN(2)/2))/(LN(2)/2)*AQ56*AT56*VLOOKUP('Données projet'!$B$10,Paramètres!$A$1:$I$89,3,0)*0.475*44/12</f>
        <v>0.59042309949960281</v>
      </c>
      <c r="AX56" s="21">
        <f t="shared" si="6"/>
        <v>50.552025469704432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8.8736263736263741</v>
      </c>
      <c r="BD56" s="12">
        <f>IF('Données projet'!$A$88&gt;35,BD55+BC56-BL55,IF(A56&lt;'Données projet'!$A$88,$BA$205^A56,IF(A56='Données projet'!$A$88,'Données projet'!$B$88,BD55+BC56-BL55)))</f>
        <v>180.69505494505501</v>
      </c>
      <c r="BE56" s="13">
        <f>BD56*VLOOKUP('Données projet'!$B$11,Paramètres!$A$1:$I$89,3,0)*VLOOKUP('Données projet'!$B$11,Paramètres!$A$1:$I$89,5,0)</f>
        <v>183.22478571428579</v>
      </c>
      <c r="BF56" s="13">
        <f t="shared" si="37"/>
        <v>46.038898438557553</v>
      </c>
      <c r="BG56" s="20">
        <f t="shared" si="7"/>
        <v>399.30091656620215</v>
      </c>
      <c r="BH56" s="59">
        <f t="shared" si="8"/>
        <v>692.63424989953546</v>
      </c>
      <c r="BI56" s="59">
        <f ca="1">AVERAGE(OFFSET($BH$3,0,0,'Données projet'!$E$11+1,1))-AVERAGE(OFFSET($H$3,0,0,'Données projet'!$E$11+1,1))</f>
        <v>425.47148407510412</v>
      </c>
      <c r="BJ56" s="59">
        <f t="shared" si="38"/>
        <v>308.54448799922471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12.837499999999991</v>
      </c>
      <c r="N57" s="13">
        <f>IF('Données projet'!$A$36&gt;35,N56+M57-V56,IF(A57&lt;'Données projet'!$A$36,$K$205^A57,IF(A57='Données projet'!$A$36,'Données projet'!$B$36,N56+M57-V56)))</f>
        <v>420.80192307692283</v>
      </c>
      <c r="O57" s="13">
        <f>N57*VLOOKUP('Données projet'!$B$9,Paramètres!$A$1:$I$89,3,0)*VLOOKUP('Données projet'!$B$9,Paramètres!$A$1:$I$89,5,0)</f>
        <v>251.63954999999987</v>
      </c>
      <c r="P57" s="13">
        <f t="shared" si="33"/>
        <v>60.936892129812627</v>
      </c>
      <c r="Q57" s="20">
        <f t="shared" si="53"/>
        <v>544.40397004275667</v>
      </c>
      <c r="R57" s="59">
        <f t="shared" si="0"/>
        <v>837.73730337609004</v>
      </c>
      <c r="S57" s="59">
        <f ca="1">AVERAGE(OFFSET($R$3,0,0,'Données projet'!$E$9+1,1))-AVERAGE(OFFSET($H$3,0,0,'Données projet'!$E$9+1,1))</f>
        <v>323.20040177531774</v>
      </c>
      <c r="T57" s="59">
        <f t="shared" si="34"/>
        <v>402.87981443974337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53.35194882573424</v>
      </c>
      <c r="AA57" s="21">
        <f>EXP(-LN(2)/25)*AA56+(1-EXP(-LN(2)/25))/(LN(2)/25)*Calculateur!V57*Calculateur!X57*VLOOKUP('Données projet'!$B$9,Paramètres!$A$1:$I$89,3,0)*0.475*44/12</f>
        <v>18.529229389069542</v>
      </c>
      <c r="AB57" s="21">
        <f>EXP(-LN(2)/2)*AB56+(1-EXP(-LN(2)/2))/(LN(2)/2)*V57*Y57*VLOOKUP('Données projet'!$B$9,Paramètres!$A$1:$I$89,3,0)*0.475*44/12</f>
        <v>1.005984280993955</v>
      </c>
      <c r="AC57" s="22">
        <f t="shared" si="3"/>
        <v>72.887162495797739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13.793846153846165</v>
      </c>
      <c r="AI57" s="13">
        <f>IF('Données projet'!$A$62&gt;35,AI56+AH57-AQ56,IF(A57&lt;'Données projet'!$A$62,$AF$205^A57,IF(A57='Données projet'!$A$62,'Données projet'!$B$62,AI56+AH57-AQ56)))</f>
        <v>400.61230769230775</v>
      </c>
      <c r="AJ57" s="13">
        <f>AI57*VLOOKUP('Données projet'!$B$10,Paramètres!$A$1:$I$89,3,0)*VLOOKUP('Données projet'!$B$10,Paramètres!$A$1:$I$89,5,0)</f>
        <v>239.56616000000005</v>
      </c>
      <c r="AK57" s="13">
        <f t="shared" si="35"/>
        <v>58.346177865957287</v>
      </c>
      <c r="AL57" s="20">
        <f t="shared" si="4"/>
        <v>518.86398844987571</v>
      </c>
      <c r="AM57" s="59">
        <f t="shared" si="5"/>
        <v>812.19732178320896</v>
      </c>
      <c r="AN57" s="59">
        <f ca="1">AVERAGE(OFFSET($AM$3,0,0,'Données projet'!$E$10+1,1))-AVERAGE(OFFSET($H$3,0,0,'Données projet'!$E$10+1,1))</f>
        <v>355.09162485318728</v>
      </c>
      <c r="AO57" s="59">
        <f t="shared" si="36"/>
        <v>320.06572891923685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37.514680393035853</v>
      </c>
      <c r="AV57" s="21">
        <f>EXP(-LN(2)/25)*AV56+(1-EXP(-LN(2)/25))/(LN(2)/25)*Calculateur!AQ57*Calculateur!AS57*VLOOKUP('Données projet'!$B$10,Paramètres!$A$1:$I$89,3,0)*0.475*44/12</f>
        <v>11.37672472553877</v>
      </c>
      <c r="AW57" s="21">
        <f>EXP(-LN(2)/2)*AW56+(1-EXP(-LN(2)/2))/(LN(2)/2)*AQ57*AT57*VLOOKUP('Données projet'!$B$10,Paramètres!$A$1:$I$89,3,0)*0.475*44/12</f>
        <v>0.41749217742534883</v>
      </c>
      <c r="AX57" s="21">
        <f t="shared" si="6"/>
        <v>49.308897295999977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8.8736263736263741</v>
      </c>
      <c r="BD57" s="12">
        <f>IF('Données projet'!$A$88&gt;35,BD56+BC57-BL56,IF(A57&lt;'Données projet'!$A$88,$BA$205^A57,IF(A57='Données projet'!$A$88,'Données projet'!$B$88,BD56+BC57-BL56)))</f>
        <v>189.56868131868137</v>
      </c>
      <c r="BE57" s="13">
        <f>BD57*VLOOKUP('Données projet'!$B$11,Paramètres!$A$1:$I$89,3,0)*VLOOKUP('Données projet'!$B$11,Paramètres!$A$1:$I$89,5,0)</f>
        <v>192.22264285714294</v>
      </c>
      <c r="BF57" s="13">
        <f t="shared" si="37"/>
        <v>48.031014520243914</v>
      </c>
      <c r="BG57" s="20">
        <f t="shared" si="7"/>
        <v>418.44178659894874</v>
      </c>
      <c r="BH57" s="59">
        <f t="shared" si="8"/>
        <v>711.775119932282</v>
      </c>
      <c r="BI57" s="59">
        <f ca="1">AVERAGE(OFFSET($BH$3,0,0,'Données projet'!$E$11+1,1))-AVERAGE(OFFSET($H$3,0,0,'Données projet'!$E$11+1,1))</f>
        <v>425.47148407510412</v>
      </c>
      <c r="BJ57" s="59">
        <f t="shared" si="38"/>
        <v>308.54448799922471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12.837499999999991</v>
      </c>
      <c r="N58" s="13">
        <f>IF('Données projet'!$A$36&gt;35,N57+M58-V57,IF(A58&lt;'Données projet'!$A$36,$K$205^A58,IF(A58='Données projet'!$A$36,'Données projet'!$B$36,N57+M58-V57)))</f>
        <v>433.63942307692281</v>
      </c>
      <c r="O58" s="13">
        <f>N58*VLOOKUP('Données projet'!$B$9,Paramètres!$A$1:$I$89,3,0)*VLOOKUP('Données projet'!$B$9,Paramètres!$A$1:$I$89,5,0)</f>
        <v>259.31637499999988</v>
      </c>
      <c r="P58" s="13">
        <f t="shared" si="33"/>
        <v>62.576634410968637</v>
      </c>
      <c r="Q58" s="20">
        <f t="shared" si="53"/>
        <v>560.63032472410339</v>
      </c>
      <c r="R58" s="59">
        <f t="shared" si="0"/>
        <v>853.96365805743676</v>
      </c>
      <c r="S58" s="59">
        <f ca="1">AVERAGE(OFFSET($R$3,0,0,'Données projet'!$E$9+1,1))-AVERAGE(OFFSET($H$3,0,0,'Données projet'!$E$9+1,1))</f>
        <v>323.20040177531774</v>
      </c>
      <c r="T58" s="59">
        <f t="shared" si="34"/>
        <v>402.87981443974337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52.30574965073717</v>
      </c>
      <c r="AA58" s="21">
        <f>EXP(-LN(2)/25)*AA57+(1-EXP(-LN(2)/25))/(LN(2)/25)*Calculateur!V58*Calculateur!X58*VLOOKUP('Données projet'!$B$9,Paramètres!$A$1:$I$89,3,0)*0.475*44/12</f>
        <v>18.022546637015612</v>
      </c>
      <c r="AB58" s="21">
        <f>EXP(-LN(2)/2)*AB57+(1-EXP(-LN(2)/2))/(LN(2)/2)*V58*Y58*VLOOKUP('Données projet'!$B$9,Paramètres!$A$1:$I$89,3,0)*0.475*44/12</f>
        <v>0.71133830685789889</v>
      </c>
      <c r="AC58" s="22">
        <f t="shared" si="3"/>
        <v>71.039634594610675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13.793846153846165</v>
      </c>
      <c r="AI58" s="13">
        <f>IF('Données projet'!$A$62&gt;35,AI57+AH58-AQ57,IF(A58&lt;'Données projet'!$A$62,$AF$205^A58,IF(A58='Données projet'!$A$62,'Données projet'!$B$62,AI57+AH58-AQ57)))</f>
        <v>414.40615384615393</v>
      </c>
      <c r="AJ58" s="13">
        <f>AI58*VLOOKUP('Données projet'!$B$10,Paramètres!$A$1:$I$89,3,0)*VLOOKUP('Données projet'!$B$10,Paramètres!$A$1:$I$89,5,0)</f>
        <v>247.81488000000007</v>
      </c>
      <c r="AK58" s="13">
        <f t="shared" si="35"/>
        <v>60.117791489820576</v>
      </c>
      <c r="AL58" s="20">
        <f t="shared" si="4"/>
        <v>536.3160695114376</v>
      </c>
      <c r="AM58" s="59">
        <f t="shared" si="5"/>
        <v>829.64940284477098</v>
      </c>
      <c r="AN58" s="59">
        <f ca="1">AVERAGE(OFFSET($AM$3,0,0,'Données projet'!$E$10+1,1))-AVERAGE(OFFSET($H$3,0,0,'Données projet'!$E$10+1,1))</f>
        <v>355.09162485318728</v>
      </c>
      <c r="AO58" s="59">
        <f t="shared" si="36"/>
        <v>320.06572891923685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36.779040392224083</v>
      </c>
      <c r="AV58" s="21">
        <f>EXP(-LN(2)/25)*AV57+(1-EXP(-LN(2)/25))/(LN(2)/25)*Calculateur!AQ58*Calculateur!AS58*VLOOKUP('Données projet'!$B$10,Paramètres!$A$1:$I$89,3,0)*0.475*44/12</f>
        <v>11.065627589642961</v>
      </c>
      <c r="AW58" s="21">
        <f>EXP(-LN(2)/2)*AW57+(1-EXP(-LN(2)/2))/(LN(2)/2)*AQ58*AT58*VLOOKUP('Données projet'!$B$10,Paramètres!$A$1:$I$89,3,0)*0.475*44/12</f>
        <v>0.29521154974980141</v>
      </c>
      <c r="AX58" s="21">
        <f t="shared" si="6"/>
        <v>48.139879531616849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198.44230769230768</v>
      </c>
      <c r="BB58" s="12">
        <f>VLOOKUP(A58,'Données projet'!$A$87:$I$107,9,0)</f>
        <v>8.8736263736263741</v>
      </c>
      <c r="BC58" s="12">
        <f t="array" ref="BC58">INDEX(BB:BB,MIN(IF(ISNUMBER(BB58:BB254),ROW(BB58:BB254),"")))</f>
        <v>8.8736263736263741</v>
      </c>
      <c r="BD58" s="12">
        <f>IF('Données projet'!$A$88&gt;35,BD57+BC58-BL57,IF(A58&lt;'Données projet'!$A$88,$BA$205^A58,IF(A58='Données projet'!$A$88,'Données projet'!$B$88,BD57+BC58-BL57)))</f>
        <v>198.44230769230774</v>
      </c>
      <c r="BE58" s="13">
        <f>BD58*VLOOKUP('Données projet'!$B$11,Paramètres!$A$1:$I$89,3,0)*VLOOKUP('Données projet'!$B$11,Paramètres!$A$1:$I$89,5,0)</f>
        <v>201.22050000000007</v>
      </c>
      <c r="BF58" s="13">
        <f t="shared" si="37"/>
        <v>50.012301634497518</v>
      </c>
      <c r="BG58" s="20">
        <f t="shared" si="7"/>
        <v>437.56379618008327</v>
      </c>
      <c r="BH58" s="59">
        <f t="shared" si="8"/>
        <v>730.89712951341653</v>
      </c>
      <c r="BI58" s="59">
        <f ca="1">AVERAGE(OFFSET($BH$3,0,0,'Données projet'!$E$11+1,1))-AVERAGE(OFFSET($H$3,0,0,'Données projet'!$E$11+1,1))</f>
        <v>425.47148407510412</v>
      </c>
      <c r="BJ58" s="59">
        <f t="shared" si="38"/>
        <v>308.54448799922471</v>
      </c>
      <c r="BK58" s="15">
        <f>IF(ISNA(VLOOKUP(A58,'Données projet'!$A$87:$I$107,3,0)),0,VLOOKUP(A58,'Données projet'!$A$87:$I$107,3,0))</f>
        <v>4</v>
      </c>
      <c r="BL58" s="15">
        <f>IF(ISNA(VLOOKUP(A58,'Données projet'!$A$87:$I$107,4,0)),0,VLOOKUP(A58,'Données projet'!$A$87:$I$107,4,0))</f>
        <v>45.147435897435898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446.47692307692301</v>
      </c>
      <c r="L59" s="12">
        <f>VLOOKUP(A59,'Données projet'!$A$35:$I$55,9,0)</f>
        <v>12.837499999999991</v>
      </c>
      <c r="M59" s="12">
        <f t="array" ref="M59">INDEX(L:L,MIN(IF(ISNUMBER(L59:L255),ROW(L59:L255),"")))</f>
        <v>12.837499999999991</v>
      </c>
      <c r="N59" s="13">
        <f>IF('Données projet'!$A$36&gt;35,N58+M59-V58,IF(A59&lt;'Données projet'!$A$36,$K$205^A59,IF(A59='Données projet'!$A$36,'Données projet'!$B$36,N58+M59-V58)))</f>
        <v>446.47692307692279</v>
      </c>
      <c r="O59" s="13">
        <f>N59*VLOOKUP('Données projet'!$B$9,Paramètres!$A$1:$I$89,3,0)*VLOOKUP('Données projet'!$B$9,Paramètres!$A$1:$I$89,5,0)</f>
        <v>266.99319999999983</v>
      </c>
      <c r="P59" s="13">
        <f t="shared" si="33"/>
        <v>64.210735131625498</v>
      </c>
      <c r="Q59" s="20">
        <f t="shared" si="53"/>
        <v>576.84685368758073</v>
      </c>
      <c r="R59" s="59">
        <f t="shared" si="0"/>
        <v>870.18018702091399</v>
      </c>
      <c r="S59" s="59">
        <f ca="1">AVERAGE(OFFSET($R$3,0,0,'Données projet'!$E$9+1,1))-AVERAGE(OFFSET($H$3,0,0,'Données projet'!$E$9+1,1))</f>
        <v>323.20040177531774</v>
      </c>
      <c r="T59" s="59">
        <f t="shared" si="34"/>
        <v>402.87981443974337</v>
      </c>
      <c r="U59" s="15">
        <f>IF(ISNA(VLOOKUP(A59,'Données projet'!$A$35:$I$55,3,0)),0,VLOOKUP(A59,'Données projet'!$A$35:$I$55,3,0))</f>
        <v>7</v>
      </c>
      <c r="V59" s="15">
        <f>IF(ISNA(VLOOKUP(A59,'Données projet'!$A$35:$I$55,4,0)),0,VLOOKUP(A59,'Données projet'!$A$35:$I$55,4,0))</f>
        <v>446.47692307692301</v>
      </c>
      <c r="W59" s="16">
        <f>IF(ISNA(VLOOKUP(A59,'Données projet'!$A$35:$I$55,5,0)),0%,VLOOKUP(A59,'Données projet'!$A$35:$I$55,5,0)*VLOOKUP('Données projet'!$B$9,Paramètres!$A$1:$I$89,7,0))</f>
        <v>0.315</v>
      </c>
      <c r="X59" s="16">
        <f>IF(ISNA(VLOOKUP(A59,'Données projet'!$A$35:$I$55,6,0)),0%,VLOOKUP(A59,'Données projet'!$A$35:$I$55,6,0)*VLOOKUP('Données projet'!$B$9,Paramètres!$A$1:$I$89,7,0))</f>
        <v>7.5600000000000001E-2</v>
      </c>
      <c r="Y59" s="16">
        <f>IF(ISNA(VLOOKUP(A59,'Données projet'!$A$35:$I$55,7,0)),0%,VLOOKUP(A59,'Données projet'!$A$35:$I$55,7,0))</f>
        <v>0.13200000000000001</v>
      </c>
      <c r="Z59" s="21">
        <f>EXP(-LN(2)/35)*Z58+(1-EXP(-LN(2)/35))/(LN(2)/35)*V59*W59*VLOOKUP('Données projet'!$B$9,Paramètres!$A$1:$I$89,3,0)*0.475*44/12</f>
        <v>162.84792782712228</v>
      </c>
      <c r="AA59" s="21">
        <f>EXP(-LN(2)/25)*AA58+(1-EXP(-LN(2)/25))/(LN(2)/25)*Calculateur!V59*Calculateur!X59*VLOOKUP('Données projet'!$B$9,Paramètres!$A$1:$I$89,3,0)*0.475*44/12</f>
        <v>44.200577593110729</v>
      </c>
      <c r="AB59" s="21">
        <f>EXP(-LN(2)/2)*AB58+(1-EXP(-LN(2)/2))/(LN(2)/2)*V59*Y59*VLOOKUP('Données projet'!$B$9,Paramètres!$A$1:$I$89,3,0)*0.475*44/12</f>
        <v>40.406370942809481</v>
      </c>
      <c r="AC59" s="22">
        <f t="shared" si="3"/>
        <v>247.45487636304247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428.20000000000005</v>
      </c>
      <c r="AG59" s="12">
        <f>VLOOKUP(A59,'Données projet'!$A$61:$I$81,9,0)</f>
        <v>13.793846153846165</v>
      </c>
      <c r="AH59" s="12">
        <f t="array" ref="AH59">INDEX(AG:AG,MIN(IF(ISNUMBER(AG59:AG255),ROW(AG59:AG255),"")))</f>
        <v>13.793846153846165</v>
      </c>
      <c r="AI59" s="13">
        <f>IF('Données projet'!$A$62&gt;35,AI58+AH59-AQ58,IF(A59&lt;'Données projet'!$A$62,$AF$205^A59,IF(A59='Données projet'!$A$62,'Données projet'!$B$62,AI58+AH59-AQ58)))</f>
        <v>428.2000000000001</v>
      </c>
      <c r="AJ59" s="13">
        <f>AI59*VLOOKUP('Données projet'!$B$10,Paramètres!$A$1:$I$89,3,0)*VLOOKUP('Données projet'!$B$10,Paramètres!$A$1:$I$89,5,0)</f>
        <v>256.06360000000012</v>
      </c>
      <c r="AK59" s="13">
        <f t="shared" si="35"/>
        <v>61.882552995500411</v>
      </c>
      <c r="AL59" s="20">
        <f t="shared" si="4"/>
        <v>553.75621646716343</v>
      </c>
      <c r="AM59" s="59">
        <f t="shared" si="5"/>
        <v>847.0895498004968</v>
      </c>
      <c r="AN59" s="59">
        <f ca="1">AVERAGE(OFFSET($AM$3,0,0,'Données projet'!$E$10+1,1))-AVERAGE(OFFSET($H$3,0,0,'Données projet'!$E$10+1,1))</f>
        <v>355.09162485318728</v>
      </c>
      <c r="AO59" s="59">
        <f t="shared" si="36"/>
        <v>320.06572891923685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60.092307692307692</v>
      </c>
      <c r="AR59" s="16">
        <f>IF(ISNA(VLOOKUP(A59,'Données projet'!$A$61:$I$81,5,0)),0%,VLOOKUP(A59,'Données projet'!$A$61:$I$81,5,0)*VLOOKUP('Données projet'!$B$10,Paramètres!$A$1:$I$89,7,0))</f>
        <v>0.315</v>
      </c>
      <c r="AS59" s="16">
        <f>IF(ISNA(VLOOKUP(A59,'Données projet'!$A$61:$I$81,6,0)),0%,VLOOKUP(A59,'Données projet'!$A$61:$I$81,6,0)*VLOOKUP('Données projet'!$B$10,Paramètres!$A$1:$I$89,7,0))</f>
        <v>7.5600000000000001E-2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51.073988934152091</v>
      </c>
      <c r="AV59" s="21">
        <f>EXP(-LN(2)/25)*AV58+(1-EXP(-LN(2)/25))/(LN(2)/25)*Calculateur!AQ59*Calculateur!AS59*VLOOKUP('Données projet'!$B$10,Paramètres!$A$1:$I$89,3,0)*0.475*44/12</f>
        <v>14.352726717765847</v>
      </c>
      <c r="AW59" s="21">
        <f>EXP(-LN(2)/2)*AW58+(1-EXP(-LN(2)/2))/(LN(2)/2)*AQ59*AT59*VLOOKUP('Données projet'!$B$10,Paramètres!$A$1:$I$89,3,0)*0.475*44/12</f>
        <v>5.5794293043783174</v>
      </c>
      <c r="AX59" s="21">
        <f t="shared" si="6"/>
        <v>71.006144956296254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8.374198717948719</v>
      </c>
      <c r="BD59" s="12">
        <f>IF('Données projet'!$A$88&gt;35,BD58+BC59-BL58,IF(A59&lt;'Données projet'!$A$88,$BA$205^A59,IF(A59='Données projet'!$A$88,'Données projet'!$B$88,BD58+BC59-BL58)))</f>
        <v>161.66907051282055</v>
      </c>
      <c r="BE59" s="13">
        <f>BD59*VLOOKUP('Données projet'!$B$11,Paramètres!$A$1:$I$89,3,0)*VLOOKUP('Données projet'!$B$11,Paramètres!$A$1:$I$89,5,0)</f>
        <v>163.93243750000005</v>
      </c>
      <c r="BF59" s="13">
        <f t="shared" si="37"/>
        <v>41.728230370613375</v>
      </c>
      <c r="BG59" s="20">
        <f t="shared" si="7"/>
        <v>358.1923298746517</v>
      </c>
      <c r="BH59" s="59">
        <f t="shared" si="8"/>
        <v>651.52566320798496</v>
      </c>
      <c r="BI59" s="59">
        <f ca="1">AVERAGE(OFFSET($BH$3,0,0,'Données projet'!$E$11+1,1))-AVERAGE(OFFSET($H$3,0,0,'Données projet'!$E$11+1,1))</f>
        <v>425.47148407510412</v>
      </c>
      <c r="BJ59" s="59">
        <f t="shared" si="38"/>
        <v>308.54448799922471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-1.3596945791505279E-13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323.20040177531774</v>
      </c>
      <c r="T60" s="59">
        <f t="shared" si="34"/>
        <v>402.87981443974337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159.65457928986061</v>
      </c>
      <c r="AA60" s="21">
        <f>EXP(-LN(2)/25)*AA59+(1-EXP(-LN(2)/25))/(LN(2)/25)*Calculateur!V60*Calculateur!X60*VLOOKUP('Données projet'!$B$9,Paramètres!$A$1:$I$89,3,0)*0.475*44/12</f>
        <v>42.991910474419761</v>
      </c>
      <c r="AB60" s="21">
        <f>EXP(-LN(2)/2)*AB59+(1-EXP(-LN(2)/2))/(LN(2)/2)*V60*Y60*VLOOKUP('Données projet'!$B$9,Paramètres!$A$1:$I$89,3,0)*0.475*44/12</f>
        <v>28.571618896799659</v>
      </c>
      <c r="AC60" s="22">
        <f t="shared" si="3"/>
        <v>231.21810866108004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12.05461538461538</v>
      </c>
      <c r="AI60" s="13">
        <f>IF('Données projet'!$A$62&gt;35,AI59+AH60-AQ59,IF(A60&lt;'Données projet'!$A$62,$AF$205^A60,IF(A60='Données projet'!$A$62,'Données projet'!$B$62,AI59+AH60-AQ59)))</f>
        <v>380.16230769230776</v>
      </c>
      <c r="AJ60" s="13">
        <f>AI60*VLOOKUP('Données projet'!$B$10,Paramètres!$A$1:$I$89,3,0)*VLOOKUP('Données projet'!$B$10,Paramètres!$A$1:$I$89,5,0)</f>
        <v>227.33706000000004</v>
      </c>
      <c r="AK60" s="13">
        <f t="shared" si="35"/>
        <v>55.70650197157245</v>
      </c>
      <c r="AL60" s="20">
        <f t="shared" si="4"/>
        <v>492.9675371004887</v>
      </c>
      <c r="AM60" s="59">
        <f t="shared" si="5"/>
        <v>786.30087043382196</v>
      </c>
      <c r="AN60" s="59">
        <f ca="1">AVERAGE(OFFSET($AM$3,0,0,'Données projet'!$E$10+1,1))-AVERAGE(OFFSET($H$3,0,0,'Données projet'!$E$10+1,1))</f>
        <v>355.09162485318728</v>
      </c>
      <c r="AO60" s="59">
        <f t="shared" si="36"/>
        <v>320.06572891923685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50.07245916321061</v>
      </c>
      <c r="AV60" s="21">
        <f>EXP(-LN(2)/25)*AV59+(1-EXP(-LN(2)/25))/(LN(2)/25)*Calculateur!AQ60*Calculateur!AS60*VLOOKUP('Données projet'!$B$10,Paramètres!$A$1:$I$89,3,0)*0.475*44/12</f>
        <v>13.960250650891446</v>
      </c>
      <c r="AW60" s="21">
        <f>EXP(-LN(2)/2)*AW59+(1-EXP(-LN(2)/2))/(LN(2)/2)*AQ60*AT60*VLOOKUP('Données projet'!$B$10,Paramètres!$A$1:$I$89,3,0)*0.475*44/12</f>
        <v>3.9452522962768501</v>
      </c>
      <c r="AX60" s="21">
        <f t="shared" si="6"/>
        <v>67.977962110378897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8.374198717948719</v>
      </c>
      <c r="BD60" s="12">
        <f>IF('Données projet'!$A$88&gt;35,BD59+BC60-BL59,IF(A60&lt;'Données projet'!$A$88,$BA$205^A60,IF(A60='Données projet'!$A$88,'Données projet'!$B$88,BD59+BC60-BL59)))</f>
        <v>170.04326923076928</v>
      </c>
      <c r="BE60" s="13">
        <f>BD60*VLOOKUP('Données projet'!$B$11,Paramètres!$A$1:$I$89,3,0)*VLOOKUP('Données projet'!$B$11,Paramètres!$A$1:$I$89,5,0)</f>
        <v>172.42387500000007</v>
      </c>
      <c r="BF60" s="13">
        <f t="shared" si="37"/>
        <v>43.632442843290029</v>
      </c>
      <c r="BG60" s="20">
        <f t="shared" si="7"/>
        <v>376.29808691039688</v>
      </c>
      <c r="BH60" s="59">
        <f t="shared" si="8"/>
        <v>669.63142024373019</v>
      </c>
      <c r="BI60" s="59">
        <f ca="1">AVERAGE(OFFSET($BH$3,0,0,'Données projet'!$E$11+1,1))-AVERAGE(OFFSET($H$3,0,0,'Données projet'!$E$11+1,1))</f>
        <v>425.47148407510412</v>
      </c>
      <c r="BJ60" s="59">
        <f t="shared" si="38"/>
        <v>308.54448799922471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-1.3596945791505279E-13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323.20040177531774</v>
      </c>
      <c r="T61" s="59">
        <f t="shared" si="34"/>
        <v>402.87981443974337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156.52385036966436</v>
      </c>
      <c r="AA61" s="21">
        <f>EXP(-LN(2)/25)*AA60+(1-EXP(-LN(2)/25))/(LN(2)/25)*Calculateur!V61*Calculateur!X61*VLOOKUP('Données projet'!$B$9,Paramètres!$A$1:$I$89,3,0)*0.475*44/12</f>
        <v>41.81629442165044</v>
      </c>
      <c r="AB61" s="21">
        <f>EXP(-LN(2)/2)*AB60+(1-EXP(-LN(2)/2))/(LN(2)/2)*V61*Y61*VLOOKUP('Données projet'!$B$9,Paramètres!$A$1:$I$89,3,0)*0.475*44/12</f>
        <v>20.203185471404744</v>
      </c>
      <c r="AC61" s="22">
        <f t="shared" si="3"/>
        <v>218.54333026271954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12.05461538461538</v>
      </c>
      <c r="AI61" s="13">
        <f>IF('Données projet'!$A$62&gt;35,AI60+AH61-AQ60,IF(A61&lt;'Données projet'!$A$62,$AF$205^A61,IF(A61='Données projet'!$A$62,'Données projet'!$B$62,AI60+AH61-AQ60)))</f>
        <v>392.21692307692314</v>
      </c>
      <c r="AJ61" s="13">
        <f>AI61*VLOOKUP('Données projet'!$B$10,Paramètres!$A$1:$I$89,3,0)*VLOOKUP('Données projet'!$B$10,Paramètres!$A$1:$I$89,5,0)</f>
        <v>234.54572000000007</v>
      </c>
      <c r="AK61" s="13">
        <f t="shared" si="35"/>
        <v>57.264450118616011</v>
      </c>
      <c r="AL61" s="20">
        <f t="shared" si="4"/>
        <v>508.23604628992302</v>
      </c>
      <c r="AM61" s="59">
        <f t="shared" si="5"/>
        <v>801.56937962325628</v>
      </c>
      <c r="AN61" s="59">
        <f ca="1">AVERAGE(OFFSET($AM$3,0,0,'Données projet'!$E$10+1,1))-AVERAGE(OFFSET($H$3,0,0,'Données projet'!$E$10+1,1))</f>
        <v>355.09162485318728</v>
      </c>
      <c r="AO61" s="59">
        <f t="shared" si="36"/>
        <v>320.06572891923685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49.09056878020445</v>
      </c>
      <c r="AV61" s="21">
        <f>EXP(-LN(2)/25)*AV60+(1-EXP(-LN(2)/25))/(LN(2)/25)*Calculateur!AQ61*Calculateur!AS61*VLOOKUP('Données projet'!$B$10,Paramètres!$A$1:$I$89,3,0)*0.475*44/12</f>
        <v>13.578506862705144</v>
      </c>
      <c r="AW61" s="21">
        <f>EXP(-LN(2)/2)*AW60+(1-EXP(-LN(2)/2))/(LN(2)/2)*AQ61*AT61*VLOOKUP('Données projet'!$B$10,Paramètres!$A$1:$I$89,3,0)*0.475*44/12</f>
        <v>2.7897146521891591</v>
      </c>
      <c r="AX61" s="21">
        <f t="shared" si="6"/>
        <v>65.458790295098751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8.374198717948719</v>
      </c>
      <c r="BD61" s="12">
        <f>IF('Données projet'!$A$88&gt;35,BD60+BC61-BL60,IF(A61&lt;'Données projet'!$A$88,$BA$205^A61,IF(A61='Données projet'!$A$88,'Données projet'!$B$88,BD60+BC61-BL60)))</f>
        <v>178.41746794871801</v>
      </c>
      <c r="BE61" s="13">
        <f>BD61*VLOOKUP('Données projet'!$B$11,Paramètres!$A$1:$I$89,3,0)*VLOOKUP('Données projet'!$B$11,Paramètres!$A$1:$I$89,5,0)</f>
        <v>180.91531250000008</v>
      </c>
      <c r="BF61" s="13">
        <f t="shared" si="37"/>
        <v>45.525766180401902</v>
      </c>
      <c r="BG61" s="20">
        <f t="shared" si="7"/>
        <v>394.38487870170007</v>
      </c>
      <c r="BH61" s="59">
        <f t="shared" si="8"/>
        <v>687.71821203503339</v>
      </c>
      <c r="BI61" s="59">
        <f ca="1">AVERAGE(OFFSET($BH$3,0,0,'Données projet'!$E$11+1,1))-AVERAGE(OFFSET($H$3,0,0,'Données projet'!$E$11+1,1))</f>
        <v>425.47148407510412</v>
      </c>
      <c r="BJ61" s="59">
        <f t="shared" si="38"/>
        <v>308.54448799922471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-1.3596945791505279E-13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323.20040177531774</v>
      </c>
      <c r="T62" s="59">
        <f t="shared" si="34"/>
        <v>402.87981443974337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153.45451313403709</v>
      </c>
      <c r="AA62" s="21">
        <f>EXP(-LN(2)/25)*AA61+(1-EXP(-LN(2)/25))/(LN(2)/25)*Calculateur!V62*Calculateur!X62*VLOOKUP('Données projet'!$B$9,Paramètres!$A$1:$I$89,3,0)*0.475*44/12</f>
        <v>40.672825651667054</v>
      </c>
      <c r="AB62" s="21">
        <f>EXP(-LN(2)/2)*AB61+(1-EXP(-LN(2)/2))/(LN(2)/2)*V62*Y62*VLOOKUP('Données projet'!$B$9,Paramètres!$A$1:$I$89,3,0)*0.475*44/12</f>
        <v>14.285809448399831</v>
      </c>
      <c r="AC62" s="22">
        <f t="shared" si="3"/>
        <v>208.41314823410397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12.05461538461538</v>
      </c>
      <c r="AI62" s="13">
        <f>IF('Données projet'!$A$62&gt;35,AI61+AH62-AQ61,IF(A62&lt;'Données projet'!$A$62,$AF$205^A62,IF(A62='Données projet'!$A$62,'Données projet'!$B$62,AI61+AH62-AQ61)))</f>
        <v>404.27153846153851</v>
      </c>
      <c r="AJ62" s="13">
        <f>AI62*VLOOKUP('Données projet'!$B$10,Paramètres!$A$1:$I$89,3,0)*VLOOKUP('Données projet'!$B$10,Paramètres!$A$1:$I$89,5,0)</f>
        <v>241.75438000000005</v>
      </c>
      <c r="AK62" s="13">
        <f t="shared" si="35"/>
        <v>58.816833733689712</v>
      </c>
      <c r="AL62" s="20">
        <f t="shared" si="4"/>
        <v>523.49486391950961</v>
      </c>
      <c r="AM62" s="59">
        <f t="shared" si="5"/>
        <v>816.82819725284298</v>
      </c>
      <c r="AN62" s="59">
        <f ca="1">AVERAGE(OFFSET($AM$3,0,0,'Données projet'!$E$10+1,1))-AVERAGE(OFFSET($H$3,0,0,'Données projet'!$E$10+1,1))</f>
        <v>355.09162485318728</v>
      </c>
      <c r="AO62" s="59">
        <f t="shared" si="36"/>
        <v>320.06572891923685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48.12793266871504</v>
      </c>
      <c r="AV62" s="21">
        <f>EXP(-LN(2)/25)*AV61+(1-EXP(-LN(2)/25))/(LN(2)/25)*Calculateur!AQ62*Calculateur!AS62*VLOOKUP('Données projet'!$B$10,Paramètres!$A$1:$I$89,3,0)*0.475*44/12</f>
        <v>13.207201878481829</v>
      </c>
      <c r="AW62" s="21">
        <f>EXP(-LN(2)/2)*AW61+(1-EXP(-LN(2)/2))/(LN(2)/2)*AQ62*AT62*VLOOKUP('Données projet'!$B$10,Paramètres!$A$1:$I$89,3,0)*0.475*44/12</f>
        <v>1.9726261481384255</v>
      </c>
      <c r="AX62" s="21">
        <f t="shared" si="6"/>
        <v>63.307760695335297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8.374198717948719</v>
      </c>
      <c r="BD62" s="12">
        <f>IF('Données projet'!$A$88&gt;35,BD61+BC62-BL61,IF(A62&lt;'Données projet'!$A$88,$BA$205^A62,IF(A62='Données projet'!$A$88,'Données projet'!$B$88,BD61+BC62-BL61)))</f>
        <v>186.79166666666674</v>
      </c>
      <c r="BE62" s="13">
        <f>BD62*VLOOKUP('Données projet'!$B$11,Paramètres!$A$1:$I$89,3,0)*VLOOKUP('Données projet'!$B$11,Paramètres!$A$1:$I$89,5,0)</f>
        <v>189.40675000000007</v>
      </c>
      <c r="BF62" s="13">
        <f t="shared" si="37"/>
        <v>47.408769837095797</v>
      </c>
      <c r="BG62" s="20">
        <f t="shared" si="7"/>
        <v>412.45369704960859</v>
      </c>
      <c r="BH62" s="59">
        <f t="shared" si="8"/>
        <v>705.78703038294191</v>
      </c>
      <c r="BI62" s="59">
        <f ca="1">AVERAGE(OFFSET($BH$3,0,0,'Données projet'!$E$11+1,1))-AVERAGE(OFFSET($H$3,0,0,'Données projet'!$E$11+1,1))</f>
        <v>425.47148407510412</v>
      </c>
      <c r="BJ62" s="59">
        <f t="shared" si="38"/>
        <v>308.54448799922471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-1.3596945791505279E-13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323.20040177531774</v>
      </c>
      <c r="T63" s="59">
        <f t="shared" si="34"/>
        <v>402.87981443974337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150.4453637294896</v>
      </c>
      <c r="AA63" s="21">
        <f>EXP(-LN(2)/25)*AA62+(1-EXP(-LN(2)/25))/(LN(2)/25)*Calculateur!V63*Calculateur!X63*VLOOKUP('Données projet'!$B$9,Paramètres!$A$1:$I$89,3,0)*0.475*44/12</f>
        <v>39.560625095331275</v>
      </c>
      <c r="AB63" s="21">
        <f>EXP(-LN(2)/2)*AB62+(1-EXP(-LN(2)/2))/(LN(2)/2)*V63*Y63*VLOOKUP('Données projet'!$B$9,Paramètres!$A$1:$I$89,3,0)*0.475*44/12</f>
        <v>10.101592735702374</v>
      </c>
      <c r="AC63" s="22">
        <f t="shared" si="3"/>
        <v>200.10758156052324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12.05461538461538</v>
      </c>
      <c r="AI63" s="13">
        <f>IF('Données projet'!$A$62&gt;35,AI62+AH63-AQ62,IF(A63&lt;'Données projet'!$A$62,$AF$205^A63,IF(A63='Données projet'!$A$62,'Données projet'!$B$62,AI62+AH63-AQ62)))</f>
        <v>416.32615384615389</v>
      </c>
      <c r="AJ63" s="13">
        <f>AI63*VLOOKUP('Données projet'!$B$10,Paramètres!$A$1:$I$89,3,0)*VLOOKUP('Données projet'!$B$10,Paramètres!$A$1:$I$89,5,0)</f>
        <v>248.96304000000006</v>
      </c>
      <c r="AK63" s="13">
        <f t="shared" si="35"/>
        <v>60.363837788674616</v>
      </c>
      <c r="AL63" s="20">
        <f t="shared" si="4"/>
        <v>538.7443121486084</v>
      </c>
      <c r="AM63" s="59">
        <f t="shared" si="5"/>
        <v>832.07764548194177</v>
      </c>
      <c r="AN63" s="59">
        <f ca="1">AVERAGE(OFFSET($AM$3,0,0,'Données projet'!$E$10+1,1))-AVERAGE(OFFSET($H$3,0,0,'Données projet'!$E$10+1,1))</f>
        <v>355.09162485318728</v>
      </c>
      <c r="AO63" s="59">
        <f t="shared" si="36"/>
        <v>320.06572891923685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47.18417326422189</v>
      </c>
      <c r="AV63" s="21">
        <f>EXP(-LN(2)/25)*AV62+(1-EXP(-LN(2)/25))/(LN(2)/25)*Calculateur!AQ63*Calculateur!AS63*VLOOKUP('Données projet'!$B$10,Paramètres!$A$1:$I$89,3,0)*0.475*44/12</f>
        <v>12.846050248578182</v>
      </c>
      <c r="AW63" s="21">
        <f>EXP(-LN(2)/2)*AW62+(1-EXP(-LN(2)/2))/(LN(2)/2)*AQ63*AT63*VLOOKUP('Données projet'!$B$10,Paramètres!$A$1:$I$89,3,0)*0.475*44/12</f>
        <v>1.3948573260945798</v>
      </c>
      <c r="AX63" s="21">
        <f t="shared" si="6"/>
        <v>61.425080838894651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8.374198717948719</v>
      </c>
      <c r="BD63" s="12">
        <f>IF('Données projet'!$A$88&gt;35,BD62+BC63-BL62,IF(A63&lt;'Données projet'!$A$88,$BA$205^A63,IF(A63='Données projet'!$A$88,'Données projet'!$B$88,BD62+BC63-BL62)))</f>
        <v>195.16586538461547</v>
      </c>
      <c r="BE63" s="13">
        <f>BD63*VLOOKUP('Données projet'!$B$11,Paramètres!$A$1:$I$89,3,0)*VLOOKUP('Données projet'!$B$11,Paramètres!$A$1:$I$89,5,0)</f>
        <v>197.89818750000012</v>
      </c>
      <c r="BF63" s="13">
        <f t="shared" si="37"/>
        <v>49.281969322616803</v>
      </c>
      <c r="BG63" s="20">
        <f t="shared" si="7"/>
        <v>430.50543979939113</v>
      </c>
      <c r="BH63" s="59">
        <f t="shared" si="8"/>
        <v>723.83877313272444</v>
      </c>
      <c r="BI63" s="59">
        <f ca="1">AVERAGE(OFFSET($BH$3,0,0,'Données projet'!$E$11+1,1))-AVERAGE(OFFSET($H$3,0,0,'Données projet'!$E$11+1,1))</f>
        <v>425.47148407510412</v>
      </c>
      <c r="BJ63" s="59">
        <f t="shared" si="38"/>
        <v>308.54448799922471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-1.3596945791505279E-13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323.20040177531774</v>
      </c>
      <c r="T64" s="59">
        <f t="shared" si="34"/>
        <v>402.87981443974337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147.49522190936537</v>
      </c>
      <c r="AA64" s="21">
        <f>EXP(-LN(2)/25)*AA63+(1-EXP(-LN(2)/25))/(LN(2)/25)*Calculateur!V64*Calculateur!X64*VLOOKUP('Données projet'!$B$9,Paramètres!$A$1:$I$89,3,0)*0.475*44/12</f>
        <v>38.478837721696586</v>
      </c>
      <c r="AB64" s="21">
        <f>EXP(-LN(2)/2)*AB63+(1-EXP(-LN(2)/2))/(LN(2)/2)*V64*Y64*VLOOKUP('Données projet'!$B$9,Paramètres!$A$1:$I$89,3,0)*0.475*44/12</f>
        <v>7.1429047241999166</v>
      </c>
      <c r="AC64" s="22">
        <f t="shared" si="3"/>
        <v>193.11696435526187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12.05461538461538</v>
      </c>
      <c r="AI64" s="13">
        <f>IF('Données projet'!$A$62&gt;35,AI63+AH64-AQ63,IF(A64&lt;'Données projet'!$A$62,$AF$205^A64,IF(A64='Données projet'!$A$62,'Données projet'!$B$62,AI63+AH64-AQ63)))</f>
        <v>428.38076923076926</v>
      </c>
      <c r="AJ64" s="13">
        <f>AI64*VLOOKUP('Données projet'!$B$10,Paramètres!$A$1:$I$89,3,0)*VLOOKUP('Données projet'!$B$10,Paramètres!$A$1:$I$89,5,0)</f>
        <v>256.17170000000004</v>
      </c>
      <c r="AK64" s="13">
        <f t="shared" si="35"/>
        <v>61.90563593470165</v>
      </c>
      <c r="AL64" s="20">
        <f t="shared" si="4"/>
        <v>553.98469341960538</v>
      </c>
      <c r="AM64" s="59">
        <f t="shared" si="5"/>
        <v>847.31802675293875</v>
      </c>
      <c r="AN64" s="59">
        <f ca="1">AVERAGE(OFFSET($AM$3,0,0,'Données projet'!$E$10+1,1))-AVERAGE(OFFSET($H$3,0,0,'Données projet'!$E$10+1,1))</f>
        <v>355.09162485318728</v>
      </c>
      <c r="AO64" s="59">
        <f t="shared" si="36"/>
        <v>320.06572891923685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46.258920406014447</v>
      </c>
      <c r="AV64" s="21">
        <f>EXP(-LN(2)/25)*AV63+(1-EXP(-LN(2)/25))/(LN(2)/25)*Calculateur!AQ64*Calculateur!AS64*VLOOKUP('Données projet'!$B$10,Paramètres!$A$1:$I$89,3,0)*0.475*44/12</f>
        <v>12.49477432898639</v>
      </c>
      <c r="AW64" s="21">
        <f>EXP(-LN(2)/2)*AW63+(1-EXP(-LN(2)/2))/(LN(2)/2)*AQ64*AT64*VLOOKUP('Données projet'!$B$10,Paramètres!$A$1:$I$89,3,0)*0.475*44/12</f>
        <v>0.98631307406921287</v>
      </c>
      <c r="AX64" s="21">
        <f t="shared" si="6"/>
        <v>59.74000780907005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8.374198717948719</v>
      </c>
      <c r="BD64" s="12">
        <f>IF('Données projet'!$A$88&gt;35,BD63+BC64-BL63,IF(A64&lt;'Données projet'!$A$88,$BA$205^A64,IF(A64='Données projet'!$A$88,'Données projet'!$B$88,BD63+BC64-BL63)))</f>
        <v>203.5400641025642</v>
      </c>
      <c r="BE64" s="13">
        <f>BD64*VLOOKUP('Données projet'!$B$11,Paramètres!$A$1:$I$89,3,0)*VLOOKUP('Données projet'!$B$11,Paramètres!$A$1:$I$89,5,0)</f>
        <v>206.38962500000014</v>
      </c>
      <c r="BF64" s="13">
        <f t="shared" si="37"/>
        <v>51.145833405091373</v>
      </c>
      <c r="BG64" s="20">
        <f t="shared" si="7"/>
        <v>448.54092338886767</v>
      </c>
      <c r="BH64" s="59">
        <f t="shared" si="8"/>
        <v>741.87425672220093</v>
      </c>
      <c r="BI64" s="59">
        <f ca="1">AVERAGE(OFFSET($BH$3,0,0,'Données projet'!$E$11+1,1))-AVERAGE(OFFSET($H$3,0,0,'Données projet'!$E$11+1,1))</f>
        <v>425.47148407510412</v>
      </c>
      <c r="BJ64" s="59">
        <f t="shared" si="38"/>
        <v>308.54448799922471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-1.3596945791505279E-13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323.20040177531774</v>
      </c>
      <c r="T65" s="59">
        <f t="shared" si="34"/>
        <v>402.87981443974337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144.60293057092494</v>
      </c>
      <c r="AA65" s="21">
        <f>EXP(-LN(2)/25)*AA64+(1-EXP(-LN(2)/25))/(LN(2)/25)*Calculateur!V65*Calculateur!X65*VLOOKUP('Données projet'!$B$9,Paramètres!$A$1:$I$89,3,0)*0.475*44/12</f>
        <v>37.426631880682663</v>
      </c>
      <c r="AB65" s="21">
        <f>EXP(-LN(2)/2)*AB64+(1-EXP(-LN(2)/2))/(LN(2)/2)*V65*Y65*VLOOKUP('Données projet'!$B$9,Paramètres!$A$1:$I$89,3,0)*0.475*44/12</f>
        <v>5.0507963678511878</v>
      </c>
      <c r="AC65" s="22">
        <f t="shared" si="3"/>
        <v>187.08035881945878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12.05461538461538</v>
      </c>
      <c r="AI65" s="13">
        <f>IF('Données projet'!$A$62&gt;35,AI64+AH65-AQ64,IF(A65&lt;'Données projet'!$A$62,$AF$205^A65,IF(A65='Données projet'!$A$62,'Données projet'!$B$62,AI64+AH65-AQ64)))</f>
        <v>440.43538461538463</v>
      </c>
      <c r="AJ65" s="13">
        <f>AI65*VLOOKUP('Données projet'!$B$10,Paramètres!$A$1:$I$89,3,0)*VLOOKUP('Données projet'!$B$10,Paramètres!$A$1:$I$89,5,0)</f>
        <v>263.38036</v>
      </c>
      <c r="AK65" s="13">
        <f t="shared" si="35"/>
        <v>63.442391493835359</v>
      </c>
      <c r="AL65" s="20">
        <f t="shared" si="4"/>
        <v>569.21629218509656</v>
      </c>
      <c r="AM65" s="59">
        <f t="shared" si="5"/>
        <v>862.54962551842982</v>
      </c>
      <c r="AN65" s="59">
        <f ca="1">AVERAGE(OFFSET($AM$3,0,0,'Données projet'!$E$10+1,1))-AVERAGE(OFFSET($H$3,0,0,'Données projet'!$E$10+1,1))</f>
        <v>355.09162485318728</v>
      </c>
      <c r="AO65" s="59">
        <f t="shared" si="36"/>
        <v>320.06572891923685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45.351811192007936</v>
      </c>
      <c r="AV65" s="21">
        <f>EXP(-LN(2)/25)*AV64+(1-EXP(-LN(2)/25))/(LN(2)/25)*Calculateur!AQ65*Calculateur!AS65*VLOOKUP('Données projet'!$B$10,Paramètres!$A$1:$I$89,3,0)*0.475*44/12</f>
        <v>12.153104067888632</v>
      </c>
      <c r="AW65" s="21">
        <f>EXP(-LN(2)/2)*AW64+(1-EXP(-LN(2)/2))/(LN(2)/2)*AQ65*AT65*VLOOKUP('Données projet'!$B$10,Paramètres!$A$1:$I$89,3,0)*0.475*44/12</f>
        <v>0.69742866304729001</v>
      </c>
      <c r="AX65" s="21">
        <f t="shared" si="6"/>
        <v>58.202343922943861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8.374198717948719</v>
      </c>
      <c r="BD65" s="12">
        <f>IF('Données projet'!$A$88&gt;35,BD64+BC65-BL64,IF(A65&lt;'Données projet'!$A$88,$BA$205^A65,IF(A65='Données projet'!$A$88,'Données projet'!$B$88,BD64+BC65-BL64)))</f>
        <v>211.91426282051293</v>
      </c>
      <c r="BE65" s="13">
        <f>BD65*VLOOKUP('Données projet'!$B$11,Paramètres!$A$1:$I$89,3,0)*VLOOKUP('Données projet'!$B$11,Paramètres!$A$1:$I$89,5,0)</f>
        <v>214.88106250000013</v>
      </c>
      <c r="BF65" s="13">
        <f t="shared" si="37"/>
        <v>53.000790097212402</v>
      </c>
      <c r="BG65" s="20">
        <f t="shared" si="7"/>
        <v>466.56089327347848</v>
      </c>
      <c r="BH65" s="59">
        <f t="shared" si="8"/>
        <v>759.8942266068118</v>
      </c>
      <c r="BI65" s="59">
        <f ca="1">AVERAGE(OFFSET($BH$3,0,0,'Données projet'!$E$11+1,1))-AVERAGE(OFFSET($H$3,0,0,'Données projet'!$E$11+1,1))</f>
        <v>425.47148407510412</v>
      </c>
      <c r="BJ65" s="59">
        <f t="shared" si="38"/>
        <v>308.54448799922471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-1.3596945791505279E-13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323.20040177531774</v>
      </c>
      <c r="T66" s="59">
        <f t="shared" si="34"/>
        <v>402.87981443974337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141.76735530150782</v>
      </c>
      <c r="AA66" s="21">
        <f>EXP(-LN(2)/25)*AA65+(1-EXP(-LN(2)/25))/(LN(2)/25)*Calculateur!V66*Calculateur!X66*VLOOKUP('Données projet'!$B$9,Paramètres!$A$1:$I$89,3,0)*0.475*44/12</f>
        <v>36.403198663724368</v>
      </c>
      <c r="AB66" s="21">
        <f>EXP(-LN(2)/2)*AB65+(1-EXP(-LN(2)/2))/(LN(2)/2)*V66*Y66*VLOOKUP('Données projet'!$B$9,Paramètres!$A$1:$I$89,3,0)*0.475*44/12</f>
        <v>3.5714523620999592</v>
      </c>
      <c r="AC66" s="22">
        <f t="shared" si="3"/>
        <v>181.74200632733215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12.05461538461538</v>
      </c>
      <c r="AI66" s="13">
        <f>IF('Données projet'!$A$62&gt;35,AI65+AH66-AQ65,IF(A66&lt;'Données projet'!$A$62,$AF$205^A66,IF(A66='Données projet'!$A$62,'Données projet'!$B$62,AI65+AH66-AQ65)))</f>
        <v>452.49</v>
      </c>
      <c r="AJ66" s="13">
        <f>AI66*VLOOKUP('Données projet'!$B$10,Paramètres!$A$1:$I$89,3,0)*VLOOKUP('Données projet'!$B$10,Paramètres!$A$1:$I$89,5,0)</f>
        <v>270.58902000000006</v>
      </c>
      <c r="AK66" s="13">
        <f t="shared" si="35"/>
        <v>64.974258339135972</v>
      </c>
      <c r="AL66" s="20">
        <f t="shared" si="4"/>
        <v>584.43937644066193</v>
      </c>
      <c r="AM66" s="59">
        <f t="shared" si="5"/>
        <v>877.7727097739953</v>
      </c>
      <c r="AN66" s="59">
        <f ca="1">AVERAGE(OFFSET($AM$3,0,0,'Données projet'!$E$10+1,1))-AVERAGE(OFFSET($H$3,0,0,'Données projet'!$E$10+1,1))</f>
        <v>355.09162485318728</v>
      </c>
      <c r="AO66" s="59">
        <f t="shared" si="36"/>
        <v>320.06572891923685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44.462489836406107</v>
      </c>
      <c r="AV66" s="21">
        <f>EXP(-LN(2)/25)*AV65+(1-EXP(-LN(2)/25))/(LN(2)/25)*Calculateur!AQ66*Calculateur!AS66*VLOOKUP('Données projet'!$B$10,Paramètres!$A$1:$I$89,3,0)*0.475*44/12</f>
        <v>11.820776798048252</v>
      </c>
      <c r="AW66" s="21">
        <f>EXP(-LN(2)/2)*AW65+(1-EXP(-LN(2)/2))/(LN(2)/2)*AQ66*AT66*VLOOKUP('Données projet'!$B$10,Paramètres!$A$1:$I$89,3,0)*0.475*44/12</f>
        <v>0.49315653703460649</v>
      </c>
      <c r="AX66" s="21">
        <f t="shared" si="6"/>
        <v>56.776423171488965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220.28846153846152</v>
      </c>
      <c r="BB66" s="12">
        <f>VLOOKUP(A66,'Données projet'!$A$87:$I$107,9,0)</f>
        <v>8.374198717948719</v>
      </c>
      <c r="BC66" s="12">
        <f t="array" ref="BC66">INDEX(BB:BB,MIN(IF(ISNUMBER(BB66:BB262),ROW(BB66:BB262),"")))</f>
        <v>8.374198717948719</v>
      </c>
      <c r="BD66" s="12">
        <f>IF('Données projet'!$A$88&gt;35,BD65+BC66-BL65,IF(A66&lt;'Données projet'!$A$88,$BA$205^A66,IF(A66='Données projet'!$A$88,'Données projet'!$B$88,BD65+BC66-BL65)))</f>
        <v>220.28846153846166</v>
      </c>
      <c r="BE66" s="13">
        <f>BD66*VLOOKUP('Données projet'!$B$11,Paramètres!$A$1:$I$89,3,0)*VLOOKUP('Données projet'!$B$11,Paramètres!$A$1:$I$89,5,0)</f>
        <v>223.37250000000014</v>
      </c>
      <c r="BF66" s="13">
        <f t="shared" si="37"/>
        <v>54.84723166915564</v>
      </c>
      <c r="BG66" s="20">
        <f t="shared" si="7"/>
        <v>484.566032657113</v>
      </c>
      <c r="BH66" s="59">
        <f t="shared" si="8"/>
        <v>777.89936599044631</v>
      </c>
      <c r="BI66" s="59">
        <f ca="1">AVERAGE(OFFSET($BH$3,0,0,'Données projet'!$E$11+1,1))-AVERAGE(OFFSET($H$3,0,0,'Données projet'!$E$11+1,1))</f>
        <v>425.47148407510412</v>
      </c>
      <c r="BJ66" s="59">
        <f t="shared" si="38"/>
        <v>308.54448799922471</v>
      </c>
      <c r="BK66" s="15">
        <f>IF(ISNA(VLOOKUP(A66,'Données projet'!$A$87:$I$107,3,0)),0,VLOOKUP(A66,'Données projet'!$A$87:$I$107,3,0))</f>
        <v>5</v>
      </c>
      <c r="BL66" s="15">
        <f>IF(ISNA(VLOOKUP(A66,'Données projet'!$A$87:$I$107,4,0)),0,VLOOKUP(A66,'Données projet'!$A$87:$I$107,4,0))</f>
        <v>41.724358974358978</v>
      </c>
      <c r="BM66" s="16">
        <f>IF(ISNA(VLOOKUP(A66,'Données projet'!$A$87:$I$107,5,0)),0%,VLOOKUP(A66,'Données projet'!$A$87:$I$107,5,0)*VLOOKUP('Données projet'!$B$11,Paramètres!$A$1:$I$89,7,0))</f>
        <v>0.30099999999999999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14.078008859293417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14.078008859293417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-1.3596945791505279E-13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323.20040177531774</v>
      </c>
      <c r="T67" s="59">
        <f t="shared" si="34"/>
        <v>402.87981443974337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138.98738393359383</v>
      </c>
      <c r="AA67" s="21">
        <f>EXP(-LN(2)/25)*AA66+(1-EXP(-LN(2)/25))/(LN(2)/25)*Calculateur!V67*Calculateur!X67*VLOOKUP('Données projet'!$B$9,Paramètres!$A$1:$I$89,3,0)*0.475*44/12</f>
        <v>35.407751281903806</v>
      </c>
      <c r="AB67" s="21">
        <f>EXP(-LN(2)/2)*AB66+(1-EXP(-LN(2)/2))/(LN(2)/2)*V67*Y67*VLOOKUP('Données projet'!$B$9,Paramètres!$A$1:$I$89,3,0)*0.475*44/12</f>
        <v>2.5253981839255943</v>
      </c>
      <c r="AC67" s="22">
        <f t="shared" si="3"/>
        <v>176.92053339942325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12.05461538461538</v>
      </c>
      <c r="AI67" s="13">
        <f>IF('Données projet'!$A$62&gt;35,AI66+AH67-AQ66,IF(A67&lt;'Données projet'!$A$62,$AF$205^A67,IF(A67='Données projet'!$A$62,'Données projet'!$B$62,AI66+AH67-AQ66)))</f>
        <v>464.54461538461538</v>
      </c>
      <c r="AJ67" s="13">
        <f>AI67*VLOOKUP('Données projet'!$B$10,Paramètres!$A$1:$I$89,3,0)*VLOOKUP('Données projet'!$B$10,Paramètres!$A$1:$I$89,5,0)</f>
        <v>277.79768000000001</v>
      </c>
      <c r="AK67" s="13">
        <f t="shared" si="35"/>
        <v>66.501381678302167</v>
      </c>
      <c r="AL67" s="20">
        <f t="shared" si="4"/>
        <v>599.65419908970955</v>
      </c>
      <c r="AM67" s="59">
        <f t="shared" si="5"/>
        <v>892.98753242304292</v>
      </c>
      <c r="AN67" s="59">
        <f ca="1">AVERAGE(OFFSET($AM$3,0,0,'Données projet'!$E$10+1,1))-AVERAGE(OFFSET($H$3,0,0,'Données projet'!$E$10+1,1))</f>
        <v>355.09162485318728</v>
      </c>
      <c r="AO67" s="59">
        <f t="shared" si="36"/>
        <v>320.06572891923685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43.590607530155161</v>
      </c>
      <c r="AV67" s="21">
        <f>EXP(-LN(2)/25)*AV66+(1-EXP(-LN(2)/25))/(LN(2)/25)*Calculateur!AQ67*Calculateur!AS67*VLOOKUP('Données projet'!$B$10,Paramètres!$A$1:$I$89,3,0)*0.475*44/12</f>
        <v>11.497537034877988</v>
      </c>
      <c r="AW67" s="21">
        <f>EXP(-LN(2)/2)*AW66+(1-EXP(-LN(2)/2))/(LN(2)/2)*AQ67*AT67*VLOOKUP('Données projet'!$B$10,Paramètres!$A$1:$I$89,3,0)*0.475*44/12</f>
        <v>0.34871433152364506</v>
      </c>
      <c r="AX67" s="21">
        <f t="shared" si="6"/>
        <v>55.436858896556792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8.1001602564102626</v>
      </c>
      <c r="BD67" s="12">
        <f>IF('Données projet'!$A$88&gt;35,BD66+BC67-BL66,IF(A67&lt;'Données projet'!$A$88,$BA$205^A67,IF(A67='Données projet'!$A$88,'Données projet'!$B$88,BD66+BC67-BL66)))</f>
        <v>186.66426282051296</v>
      </c>
      <c r="BE67" s="13">
        <f>BD67*VLOOKUP('Données projet'!$B$11,Paramètres!$A$1:$I$89,3,0)*VLOOKUP('Données projet'!$B$11,Paramètres!$A$1:$I$89,5,0)</f>
        <v>189.27756250000016</v>
      </c>
      <c r="BF67" s="13">
        <f t="shared" si="37"/>
        <v>47.380196781958283</v>
      </c>
      <c r="BG67" s="20">
        <f t="shared" si="7"/>
        <v>412.17893074941094</v>
      </c>
      <c r="BH67" s="59">
        <f t="shared" si="8"/>
        <v>705.5122640827442</v>
      </c>
      <c r="BI67" s="59">
        <f ca="1">AVERAGE(OFFSET($BH$3,0,0,'Données projet'!$E$11+1,1))-AVERAGE(OFFSET($H$3,0,0,'Données projet'!$E$11+1,1))</f>
        <v>425.47148407510412</v>
      </c>
      <c r="BJ67" s="59">
        <f t="shared" si="38"/>
        <v>308.54448799922471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13.801947692300208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13.801947692300208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-1.3596945791505279E-13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323.20040177531774</v>
      </c>
      <c r="T68" s="59">
        <f t="shared" si="34"/>
        <v>402.87981443974337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136.26192610858953</v>
      </c>
      <c r="AA68" s="21">
        <f>EXP(-LN(2)/25)*AA67+(1-EXP(-LN(2)/25))/(LN(2)/25)*Calculateur!V68*Calculateur!X68*VLOOKUP('Données projet'!$B$9,Paramètres!$A$1:$I$89,3,0)*0.475*44/12</f>
        <v>34.43952446108743</v>
      </c>
      <c r="AB68" s="21">
        <f>EXP(-LN(2)/2)*AB67+(1-EXP(-LN(2)/2))/(LN(2)/2)*V68*Y68*VLOOKUP('Données projet'!$B$9,Paramètres!$A$1:$I$89,3,0)*0.475*44/12</f>
        <v>1.7857261810499798</v>
      </c>
      <c r="AC68" s="22">
        <f t="shared" ref="AC68:AC131" si="57">SUM(Z68:AB68)</f>
        <v>172.48717675072695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12.05461538461538</v>
      </c>
      <c r="AI68" s="13">
        <f>IF('Données projet'!$A$62&gt;35,AI67+AH68-AQ67,IF(A68&lt;'Données projet'!$A$62,$AF$205^A68,IF(A68='Données projet'!$A$62,'Données projet'!$B$62,AI67+AH68-AQ67)))</f>
        <v>476.59923076923076</v>
      </c>
      <c r="AJ68" s="13">
        <f>AI68*VLOOKUP('Données projet'!$B$10,Paramètres!$A$1:$I$89,3,0)*VLOOKUP('Données projet'!$B$10,Paramètres!$A$1:$I$89,5,0)</f>
        <v>285.00634000000002</v>
      </c>
      <c r="AK68" s="13">
        <f t="shared" si="35"/>
        <v>68.023898753685756</v>
      </c>
      <c r="AL68" s="20">
        <f t="shared" ref="AL68:AL131" si="58">(AJ68+AK68)*0.475*44/12</f>
        <v>614.86099916266949</v>
      </c>
      <c r="AM68" s="59">
        <f t="shared" ref="AM68:AM131" si="59">AL68+(AD68+AE68)*44/12</f>
        <v>908.19433249600274</v>
      </c>
      <c r="AN68" s="59">
        <f ca="1">AVERAGE(OFFSET($AM$3,0,0,'Données projet'!$E$10+1,1))-AVERAGE(OFFSET($H$3,0,0,'Données projet'!$E$10+1,1))</f>
        <v>355.09162485318728</v>
      </c>
      <c r="AO68" s="59">
        <f t="shared" si="36"/>
        <v>320.06572891923685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42.735822304134096</v>
      </c>
      <c r="AV68" s="21">
        <f>EXP(-LN(2)/25)*AV67+(1-EXP(-LN(2)/25))/(LN(2)/25)*Calculateur!AQ68*Calculateur!AS68*VLOOKUP('Données projet'!$B$10,Paramètres!$A$1:$I$89,3,0)*0.475*44/12</f>
        <v>11.183136280030055</v>
      </c>
      <c r="AW68" s="21">
        <f>EXP(-LN(2)/2)*AW67+(1-EXP(-LN(2)/2))/(LN(2)/2)*AQ68*AT68*VLOOKUP('Données projet'!$B$10,Paramètres!$A$1:$I$89,3,0)*0.475*44/12</f>
        <v>0.2465782685173033</v>
      </c>
      <c r="AX68" s="21">
        <f t="shared" ref="AX68:AX131" si="60">SUM(AU68:AW68)</f>
        <v>54.165536852681456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8.1001602564102626</v>
      </c>
      <c r="BD68" s="12">
        <f>IF('Données projet'!$A$88&gt;35,BD67+BC68-BL67,IF(A68&lt;'Données projet'!$A$88,$BA$205^A68,IF(A68='Données projet'!$A$88,'Données projet'!$B$88,BD67+BC68-BL67)))</f>
        <v>194.76442307692321</v>
      </c>
      <c r="BE68" s="13">
        <f>BD68*VLOOKUP('Données projet'!$B$11,Paramètres!$A$1:$I$89,3,0)*VLOOKUP('Données projet'!$B$11,Paramètres!$A$1:$I$89,5,0)</f>
        <v>197.49112500000015</v>
      </c>
      <c r="BF68" s="13">
        <f t="shared" si="37"/>
        <v>49.192388495579841</v>
      </c>
      <c r="BG68" s="20">
        <f t="shared" ref="BG68:BG131" si="61">(BE68+BF68)*0.475*44/12</f>
        <v>429.64045267146849</v>
      </c>
      <c r="BH68" s="59">
        <f t="shared" ref="BH68:BH131" si="62">BG68+(AY68+AZ68)*44/12</f>
        <v>722.97378600480181</v>
      </c>
      <c r="BI68" s="59">
        <f ca="1">AVERAGE(OFFSET($BH$3,0,0,'Données projet'!$E$11+1,1))-AVERAGE(OFFSET($H$3,0,0,'Données projet'!$E$11+1,1))</f>
        <v>425.47148407510412</v>
      </c>
      <c r="BJ68" s="59">
        <f t="shared" si="38"/>
        <v>308.54448799922471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13.531299916411051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13.531299916411051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-1.3596945791505279E-13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323.20040177531774</v>
      </c>
      <c r="T69" s="59">
        <f t="shared" ref="T69:T132" si="88">$T$3</f>
        <v>402.87981443974337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133.58991284916843</v>
      </c>
      <c r="AA69" s="21">
        <f>EXP(-LN(2)/25)*AA68+(1-EXP(-LN(2)/25))/(LN(2)/25)*Calculateur!V69*Calculateur!X69*VLOOKUP('Données projet'!$B$9,Paramètres!$A$1:$I$89,3,0)*0.475*44/12</f>
        <v>33.497773853603114</v>
      </c>
      <c r="AB69" s="21">
        <f>EXP(-LN(2)/2)*AB68+(1-EXP(-LN(2)/2))/(LN(2)/2)*V69*Y69*VLOOKUP('Données projet'!$B$9,Paramètres!$A$1:$I$89,3,0)*0.475*44/12</f>
        <v>1.2626990919627974</v>
      </c>
      <c r="AC69" s="22">
        <f t="shared" si="57"/>
        <v>168.35038579473434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488.65384615384613</v>
      </c>
      <c r="AG69" s="12">
        <f>VLOOKUP(A69,'Données projet'!$A$61:$I$81,9,0)</f>
        <v>12.05461538461538</v>
      </c>
      <c r="AH69" s="12">
        <f t="array" ref="AH69">INDEX(AG:AG,MIN(IF(ISNUMBER(AG69:AG265),ROW(AG69:AG265),"")))</f>
        <v>12.05461538461538</v>
      </c>
      <c r="AI69" s="13">
        <f>IF('Données projet'!$A$62&gt;35,AI68+AH69-AQ68,IF(A69&lt;'Données projet'!$A$62,$AF$205^A69,IF(A69='Données projet'!$A$62,'Données projet'!$B$62,AI68+AH69-AQ68)))</f>
        <v>488.65384615384613</v>
      </c>
      <c r="AJ69" s="13">
        <f>AI69*VLOOKUP('Données projet'!$B$10,Paramètres!$A$1:$I$89,3,0)*VLOOKUP('Données projet'!$B$10,Paramètres!$A$1:$I$89,5,0)</f>
        <v>292.21500000000003</v>
      </c>
      <c r="AK69" s="13">
        <f t="shared" ref="AK69:AK132" si="89">EXP(-1.0587+0.8836*LN(AJ69)+0.284)</f>
        <v>69.541939469490984</v>
      </c>
      <c r="AL69" s="20">
        <f t="shared" si="58"/>
        <v>630.06000290936356</v>
      </c>
      <c r="AM69" s="59">
        <f t="shared" si="59"/>
        <v>923.39333624269693</v>
      </c>
      <c r="AN69" s="59">
        <f ca="1">AVERAGE(OFFSET($AM$3,0,0,'Données projet'!$E$10+1,1))-AVERAGE(OFFSET($H$3,0,0,'Données projet'!$E$10+1,1))</f>
        <v>355.09162485318728</v>
      </c>
      <c r="AO69" s="59">
        <f t="shared" ref="AO69:AO132" si="90">$AO$3</f>
        <v>320.06572891923685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68.146153846153851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7.5600000000000001E-2</v>
      </c>
      <c r="AT69" s="16">
        <f>IF(ISNA(VLOOKUP(A69,'Données projet'!$A$61:$I$81,7,0)),0%,VLOOKUP(A69,'Données projet'!$A$61:$I$81,7,0))</f>
        <v>0.13200000000000001</v>
      </c>
      <c r="AU69" s="21">
        <f>EXP(-LN(2)/35)*AU68+(1-EXP(-LN(2)/35))/(LN(2)/35)*AQ69*AR69*VLOOKUP('Données projet'!$B$10,Paramètres!$A$1:$I$89,3,0)*0.475*44/12</f>
        <v>58.926496901088441</v>
      </c>
      <c r="AV69" s="21">
        <f>EXP(-LN(2)/25)*AV68+(1-EXP(-LN(2)/25))/(LN(2)/25)*Calculateur!AQ69*Calculateur!AS69*VLOOKUP('Données projet'!$B$10,Paramètres!$A$1:$I$89,3,0)*0.475*44/12</f>
        <v>14.948128718413415</v>
      </c>
      <c r="AW69" s="21">
        <f>EXP(-LN(2)/2)*AW68+(1-EXP(-LN(2)/2))/(LN(2)/2)*AQ69*AT69*VLOOKUP('Données projet'!$B$10,Paramètres!$A$1:$I$89,3,0)*0.475*44/12</f>
        <v>6.2648439306852666</v>
      </c>
      <c r="AX69" s="21">
        <f t="shared" si="60"/>
        <v>80.13946955018713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8.1001602564102626</v>
      </c>
      <c r="BD69" s="12">
        <f>IF('Données projet'!$A$88&gt;35,BD68+BC69-BL68,IF(A69&lt;'Données projet'!$A$88,$BA$205^A69,IF(A69='Données projet'!$A$88,'Données projet'!$B$88,BD68+BC69-BL68)))</f>
        <v>202.86458333333348</v>
      </c>
      <c r="BE69" s="13">
        <f>BD69*VLOOKUP('Données projet'!$B$11,Paramètres!$A$1:$I$89,3,0)*VLOOKUP('Données projet'!$B$11,Paramètres!$A$1:$I$89,5,0)</f>
        <v>205.70468750000018</v>
      </c>
      <c r="BF69" s="13">
        <f t="shared" ref="BF69:BF132" si="91">EXP(-1.0587+0.8836*LN(BE69)+0.284)</f>
        <v>50.995825886459762</v>
      </c>
      <c r="BG69" s="20">
        <f t="shared" si="61"/>
        <v>447.08672748141771</v>
      </c>
      <c r="BH69" s="59">
        <f t="shared" si="62"/>
        <v>740.42006081475097</v>
      </c>
      <c r="BI69" s="59">
        <f ca="1">AVERAGE(OFFSET($BH$3,0,0,'Données projet'!$E$11+1,1))-AVERAGE(OFFSET($H$3,0,0,'Données projet'!$E$11+1,1))</f>
        <v>425.47148407510412</v>
      </c>
      <c r="BJ69" s="59">
        <f t="shared" ref="BJ69:BJ132" si="92">$BJ$3</f>
        <v>308.54448799922471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13.265959378328235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13.265959378328235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-1.3596945791505279E-13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323.20040177531774</v>
      </c>
      <c r="T70" s="59">
        <f t="shared" si="88"/>
        <v>402.87981443974337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130.9702961399974</v>
      </c>
      <c r="AA70" s="21">
        <f>EXP(-LN(2)/25)*AA69+(1-EXP(-LN(2)/25))/(LN(2)/25)*Calculateur!V70*Calculateur!X70*VLOOKUP('Données projet'!$B$9,Paramètres!$A$1:$I$89,3,0)*0.475*44/12</f>
        <v>32.58177546600497</v>
      </c>
      <c r="AB70" s="21">
        <f>EXP(-LN(2)/2)*AB69+(1-EXP(-LN(2)/2))/(LN(2)/2)*V70*Y70*VLOOKUP('Données projet'!$B$9,Paramètres!$A$1:$I$89,3,0)*0.475*44/12</f>
        <v>0.89286309052499013</v>
      </c>
      <c r="AC70" s="22">
        <f t="shared" si="57"/>
        <v>164.44493469652735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9.9715384615384544</v>
      </c>
      <c r="AI70" s="13">
        <f>IF('Données projet'!$A$62&gt;35,AI69+AH70-AQ69,IF(A70&lt;'Données projet'!$A$62,$AF$205^A70,IF(A70='Données projet'!$A$62,'Données projet'!$B$62,AI69+AH70-AQ69)))</f>
        <v>430.47923076923075</v>
      </c>
      <c r="AJ70" s="13">
        <f>AI70*VLOOKUP('Données projet'!$B$10,Paramètres!$A$1:$I$89,3,0)*VLOOKUP('Données projet'!$B$10,Paramètres!$A$1:$I$89,5,0)</f>
        <v>257.42658</v>
      </c>
      <c r="AK70" s="13">
        <f t="shared" si="89"/>
        <v>62.173511644566837</v>
      </c>
      <c r="AL70" s="20">
        <f t="shared" si="58"/>
        <v>556.63682628095387</v>
      </c>
      <c r="AM70" s="59">
        <f t="shared" si="59"/>
        <v>849.97015961428724</v>
      </c>
      <c r="AN70" s="59">
        <f ca="1">AVERAGE(OFFSET($AM$3,0,0,'Données projet'!$E$10+1,1))-AVERAGE(OFFSET($H$3,0,0,'Données projet'!$E$10+1,1))</f>
        <v>355.09162485318728</v>
      </c>
      <c r="AO70" s="59">
        <f t="shared" si="90"/>
        <v>320.06572891923685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57.770984238472266</v>
      </c>
      <c r="AV70" s="21">
        <f>EXP(-LN(2)/25)*AV69+(1-EXP(-LN(2)/25))/(LN(2)/25)*Calculateur!AQ70*Calculateur!AS70*VLOOKUP('Données projet'!$B$10,Paramètres!$A$1:$I$89,3,0)*0.475*44/12</f>
        <v>14.539371352520474</v>
      </c>
      <c r="AW70" s="21">
        <f>EXP(-LN(2)/2)*AW69+(1-EXP(-LN(2)/2))/(LN(2)/2)*AQ70*AT70*VLOOKUP('Données projet'!$B$10,Paramètres!$A$1:$I$89,3,0)*0.475*44/12</f>
        <v>4.4299136264629375</v>
      </c>
      <c r="AX70" s="21">
        <f t="shared" si="60"/>
        <v>76.740269217455676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8.1001602564102626</v>
      </c>
      <c r="BD70" s="12">
        <f>IF('Données projet'!$A$88&gt;35,BD69+BC70-BL69,IF(A70&lt;'Données projet'!$A$88,$BA$205^A70,IF(A70='Données projet'!$A$88,'Données projet'!$B$88,BD69+BC70-BL69)))</f>
        <v>210.96474358974376</v>
      </c>
      <c r="BE70" s="13">
        <f>BD70*VLOOKUP('Données projet'!$B$11,Paramètres!$A$1:$I$89,3,0)*VLOOKUP('Données projet'!$B$11,Paramètres!$A$1:$I$89,5,0)</f>
        <v>213.91825000000017</v>
      </c>
      <c r="BF70" s="13">
        <f t="shared" si="91"/>
        <v>52.790898498252169</v>
      </c>
      <c r="BG70" s="20">
        <f t="shared" si="61"/>
        <v>464.51843363445613</v>
      </c>
      <c r="BH70" s="59">
        <f t="shared" si="62"/>
        <v>757.85176696778944</v>
      </c>
      <c r="BI70" s="59">
        <f ca="1">AVERAGE(OFFSET($BH$3,0,0,'Données projet'!$E$11+1,1))-AVERAGE(OFFSET($H$3,0,0,'Données projet'!$E$11+1,1))</f>
        <v>425.47148407510412</v>
      </c>
      <c r="BJ70" s="59">
        <f t="shared" si="92"/>
        <v>308.54448799922471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13.005822006355476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13.005822006355476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-1.3596945791505279E-13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323.20040177531774</v>
      </c>
      <c r="T71" s="59">
        <f t="shared" si="88"/>
        <v>402.87981443974337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128.4020485166848</v>
      </c>
      <c r="AA71" s="21">
        <f>EXP(-LN(2)/25)*AA70+(1-EXP(-LN(2)/25))/(LN(2)/25)*Calculateur!V71*Calculateur!X71*VLOOKUP('Données projet'!$B$9,Paramètres!$A$1:$I$89,3,0)*0.475*44/12</f>
        <v>31.69082510248596</v>
      </c>
      <c r="AB71" s="21">
        <f>EXP(-LN(2)/2)*AB70+(1-EXP(-LN(2)/2))/(LN(2)/2)*V71*Y71*VLOOKUP('Données projet'!$B$9,Paramètres!$A$1:$I$89,3,0)*0.475*44/12</f>
        <v>0.63134954598139881</v>
      </c>
      <c r="AC71" s="22">
        <f t="shared" si="57"/>
        <v>160.72422316515215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9.9715384615384544</v>
      </c>
      <c r="AI71" s="13">
        <f>IF('Données projet'!$A$62&gt;35,AI70+AH71-AQ70,IF(A71&lt;'Données projet'!$A$62,$AF$205^A71,IF(A71='Données projet'!$A$62,'Données projet'!$B$62,AI70+AH71-AQ70)))</f>
        <v>440.4507692307692</v>
      </c>
      <c r="AJ71" s="13">
        <f>AI71*VLOOKUP('Données projet'!$B$10,Paramètres!$A$1:$I$89,3,0)*VLOOKUP('Données projet'!$B$10,Paramètres!$A$1:$I$89,5,0)</f>
        <v>263.38956000000002</v>
      </c>
      <c r="AK71" s="13">
        <f t="shared" si="89"/>
        <v>63.444349611612601</v>
      </c>
      <c r="AL71" s="20">
        <f t="shared" si="58"/>
        <v>569.23572590689196</v>
      </c>
      <c r="AM71" s="59">
        <f t="shared" si="59"/>
        <v>862.56905924022522</v>
      </c>
      <c r="AN71" s="59">
        <f ca="1">AVERAGE(OFFSET($AM$3,0,0,'Données projet'!$E$10+1,1))-AVERAGE(OFFSET($H$3,0,0,'Données projet'!$E$10+1,1))</f>
        <v>355.09162485318728</v>
      </c>
      <c r="AO71" s="59">
        <f t="shared" si="90"/>
        <v>320.06572891923685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56.638130474376865</v>
      </c>
      <c r="AV71" s="21">
        <f>EXP(-LN(2)/25)*AV70+(1-EXP(-LN(2)/25))/(LN(2)/25)*Calculateur!AQ71*Calculateur!AS71*VLOOKUP('Données projet'!$B$10,Paramètres!$A$1:$I$89,3,0)*0.475*44/12</f>
        <v>14.141791478293493</v>
      </c>
      <c r="AW71" s="21">
        <f>EXP(-LN(2)/2)*AW70+(1-EXP(-LN(2)/2))/(LN(2)/2)*AQ71*AT71*VLOOKUP('Données projet'!$B$10,Paramètres!$A$1:$I$89,3,0)*0.475*44/12</f>
        <v>3.1324219653426337</v>
      </c>
      <c r="AX71" s="21">
        <f t="shared" si="60"/>
        <v>73.912343918012994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8.1001602564102626</v>
      </c>
      <c r="BD71" s="12">
        <f>IF('Données projet'!$A$88&gt;35,BD70+BC71-BL70,IF(A71&lt;'Données projet'!$A$88,$BA$205^A71,IF(A71='Données projet'!$A$88,'Données projet'!$B$88,BD70+BC71-BL70)))</f>
        <v>219.06490384615404</v>
      </c>
      <c r="BE71" s="13">
        <f>BD71*VLOOKUP('Données projet'!$B$11,Paramètres!$A$1:$I$89,3,0)*VLOOKUP('Données projet'!$B$11,Paramètres!$A$1:$I$89,5,0)</f>
        <v>222.13181250000019</v>
      </c>
      <c r="BF71" s="13">
        <f t="shared" si="91"/>
        <v>54.577964266842784</v>
      </c>
      <c r="BG71" s="20">
        <f t="shared" si="61"/>
        <v>481.93619453558489</v>
      </c>
      <c r="BH71" s="59">
        <f t="shared" si="62"/>
        <v>775.2695278689182</v>
      </c>
      <c r="BI71" s="59">
        <f ca="1">AVERAGE(OFFSET($BH$3,0,0,'Données projet'!$E$11+1,1))-AVERAGE(OFFSET($H$3,0,0,'Données projet'!$E$11+1,1))</f>
        <v>425.47148407510412</v>
      </c>
      <c r="BJ71" s="59">
        <f t="shared" si="92"/>
        <v>308.54448799922471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12.750785769578973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12.750785769578973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-1.3596945791505279E-13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323.20040177531774</v>
      </c>
      <c r="T72" s="59">
        <f t="shared" si="88"/>
        <v>402.87981443974337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125.884162662789</v>
      </c>
      <c r="AA72" s="21">
        <f>EXP(-LN(2)/25)*AA71+(1-EXP(-LN(2)/25))/(LN(2)/25)*Calculateur!V72*Calculateur!X72*VLOOKUP('Données projet'!$B$9,Paramètres!$A$1:$I$89,3,0)*0.475*44/12</f>
        <v>30.824237823510419</v>
      </c>
      <c r="AB72" s="21">
        <f>EXP(-LN(2)/2)*AB71+(1-EXP(-LN(2)/2))/(LN(2)/2)*V72*Y72*VLOOKUP('Données projet'!$B$9,Paramètres!$A$1:$I$89,3,0)*0.475*44/12</f>
        <v>0.44643154526249512</v>
      </c>
      <c r="AC72" s="22">
        <f t="shared" si="57"/>
        <v>157.15483203156191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9.9715384615384544</v>
      </c>
      <c r="AI72" s="13">
        <f>IF('Données projet'!$A$62&gt;35,AI71+AH72-AQ71,IF(A72&lt;'Données projet'!$A$62,$AF$205^A72,IF(A72='Données projet'!$A$62,'Données projet'!$B$62,AI71+AH72-AQ71)))</f>
        <v>450.42230769230764</v>
      </c>
      <c r="AJ72" s="13">
        <f>AI72*VLOOKUP('Données projet'!$B$10,Paramètres!$A$1:$I$89,3,0)*VLOOKUP('Données projet'!$B$10,Paramètres!$A$1:$I$89,5,0)</f>
        <v>269.35253999999998</v>
      </c>
      <c r="AK72" s="13">
        <f t="shared" si="89"/>
        <v>64.711842740845071</v>
      </c>
      <c r="AL72" s="20">
        <f t="shared" si="58"/>
        <v>581.8287999403052</v>
      </c>
      <c r="AM72" s="59">
        <f t="shared" si="59"/>
        <v>875.16213327363857</v>
      </c>
      <c r="AN72" s="59">
        <f ca="1">AVERAGE(OFFSET($AM$3,0,0,'Données projet'!$E$10+1,1))-AVERAGE(OFFSET($H$3,0,0,'Données projet'!$E$10+1,1))</f>
        <v>355.09162485318728</v>
      </c>
      <c r="AO72" s="59">
        <f t="shared" si="90"/>
        <v>320.06572891923685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55.527491281622808</v>
      </c>
      <c r="AV72" s="21">
        <f>EXP(-LN(2)/25)*AV71+(1-EXP(-LN(2)/25))/(LN(2)/25)*Calculateur!AQ72*Calculateur!AS72*VLOOKUP('Données projet'!$B$10,Paramètres!$A$1:$I$89,3,0)*0.475*44/12</f>
        <v>13.755083446635066</v>
      </c>
      <c r="AW72" s="21">
        <f>EXP(-LN(2)/2)*AW71+(1-EXP(-LN(2)/2))/(LN(2)/2)*AQ72*AT72*VLOOKUP('Données projet'!$B$10,Paramètres!$A$1:$I$89,3,0)*0.475*44/12</f>
        <v>2.2149568132314692</v>
      </c>
      <c r="AX72" s="21">
        <f t="shared" si="60"/>
        <v>71.497531541489337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8.1001602564102626</v>
      </c>
      <c r="BD72" s="12">
        <f>IF('Données projet'!$A$88&gt;35,BD71+BC72-BL71,IF(A72&lt;'Données projet'!$A$88,$BA$205^A72,IF(A72='Données projet'!$A$88,'Données projet'!$B$88,BD71+BC72-BL71)))</f>
        <v>227.16506410256432</v>
      </c>
      <c r="BE72" s="13">
        <f>BD72*VLOOKUP('Données projet'!$B$11,Paramètres!$A$1:$I$89,3,0)*VLOOKUP('Données projet'!$B$11,Paramètres!$A$1:$I$89,5,0)</f>
        <v>230.34537500000025</v>
      </c>
      <c r="BF72" s="13">
        <f t="shared" si="91"/>
        <v>56.35735315816531</v>
      </c>
      <c r="BG72" s="20">
        <f t="shared" si="61"/>
        <v>499.34058487547162</v>
      </c>
      <c r="BH72" s="59">
        <f t="shared" si="62"/>
        <v>792.67391820880493</v>
      </c>
      <c r="BI72" s="59">
        <f ca="1">AVERAGE(OFFSET($BH$3,0,0,'Données projet'!$E$11+1,1))-AVERAGE(OFFSET($H$3,0,0,'Données projet'!$E$11+1,1))</f>
        <v>425.47148407510412</v>
      </c>
      <c r="BJ72" s="59">
        <f t="shared" si="92"/>
        <v>308.54448799922471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12.500750637848913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12.500750637848913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-1.3596945791505279E-13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323.20040177531774</v>
      </c>
      <c r="T73" s="59">
        <f t="shared" si="88"/>
        <v>402.87981443974337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123.41565101472936</v>
      </c>
      <c r="AA73" s="21">
        <f>EXP(-LN(2)/25)*AA72+(1-EXP(-LN(2)/25))/(LN(2)/25)*Calculateur!V73*Calculateur!X73*VLOOKUP('Données projet'!$B$9,Paramètres!$A$1:$I$89,3,0)*0.475*44/12</f>
        <v>29.981347419250309</v>
      </c>
      <c r="AB73" s="21">
        <f>EXP(-LN(2)/2)*AB72+(1-EXP(-LN(2)/2))/(LN(2)/2)*V73*Y73*VLOOKUP('Données projet'!$B$9,Paramètres!$A$1:$I$89,3,0)*0.475*44/12</f>
        <v>0.31567477299069946</v>
      </c>
      <c r="AC73" s="22">
        <f t="shared" si="57"/>
        <v>153.71267320697035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9.9715384615384544</v>
      </c>
      <c r="AI73" s="13">
        <f>IF('Données projet'!$A$62&gt;35,AI72+AH73-AQ72,IF(A73&lt;'Données projet'!$A$62,$AF$205^A73,IF(A73='Données projet'!$A$62,'Données projet'!$B$62,AI72+AH73-AQ72)))</f>
        <v>460.39384615384608</v>
      </c>
      <c r="AJ73" s="13">
        <f>AI73*VLOOKUP('Données projet'!$B$10,Paramètres!$A$1:$I$89,3,0)*VLOOKUP('Données projet'!$B$10,Paramètres!$A$1:$I$89,5,0)</f>
        <v>275.31551999999994</v>
      </c>
      <c r="AK73" s="13">
        <f t="shared" si="89"/>
        <v>65.976073607419792</v>
      </c>
      <c r="AL73" s="20">
        <f t="shared" si="58"/>
        <v>594.41619219958932</v>
      </c>
      <c r="AM73" s="59">
        <f t="shared" si="59"/>
        <v>887.74952553292269</v>
      </c>
      <c r="AN73" s="59">
        <f ca="1">AVERAGE(OFFSET($AM$3,0,0,'Données projet'!$E$10+1,1))-AVERAGE(OFFSET($H$3,0,0,'Données projet'!$E$10+1,1))</f>
        <v>355.09162485318728</v>
      </c>
      <c r="AO73" s="59">
        <f t="shared" si="90"/>
        <v>320.06572891923685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54.438631046015637</v>
      </c>
      <c r="AV73" s="21">
        <f>EXP(-LN(2)/25)*AV72+(1-EXP(-LN(2)/25))/(LN(2)/25)*Calculateur!AQ73*Calculateur!AS73*VLOOKUP('Données projet'!$B$10,Paramètres!$A$1:$I$89,3,0)*0.475*44/12</f>
        <v>13.378949966438428</v>
      </c>
      <c r="AW73" s="21">
        <f>EXP(-LN(2)/2)*AW72+(1-EXP(-LN(2)/2))/(LN(2)/2)*AQ73*AT73*VLOOKUP('Données projet'!$B$10,Paramètres!$A$1:$I$89,3,0)*0.475*44/12</f>
        <v>1.5662109826713173</v>
      </c>
      <c r="AX73" s="21">
        <f t="shared" si="60"/>
        <v>69.383791995125392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8.1001602564102626</v>
      </c>
      <c r="BD73" s="12">
        <f>IF('Données projet'!$A$88&gt;35,BD72+BC73-BL72,IF(A73&lt;'Données projet'!$A$88,$BA$205^A73,IF(A73='Données projet'!$A$88,'Données projet'!$B$88,BD72+BC73-BL72)))</f>
        <v>235.26522435897459</v>
      </c>
      <c r="BE73" s="13">
        <f>BD73*VLOOKUP('Données projet'!$B$11,Paramètres!$A$1:$I$89,3,0)*VLOOKUP('Données projet'!$B$11,Paramètres!$A$1:$I$89,5,0)</f>
        <v>238.55893750000027</v>
      </c>
      <c r="BF73" s="13">
        <f t="shared" si="91"/>
        <v>58.129370272573652</v>
      </c>
      <c r="BG73" s="20">
        <f t="shared" si="61"/>
        <v>516.73213603723286</v>
      </c>
      <c r="BH73" s="59">
        <f t="shared" si="62"/>
        <v>810.06546937056623</v>
      </c>
      <c r="BI73" s="59">
        <f ca="1">AVERAGE(OFFSET($BH$3,0,0,'Données projet'!$E$11+1,1))-AVERAGE(OFFSET($H$3,0,0,'Données projet'!$E$11+1,1))</f>
        <v>425.47148407510412</v>
      </c>
      <c r="BJ73" s="59">
        <f t="shared" si="92"/>
        <v>308.54448799922471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12.255618542545708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12.255618542545708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-1.3596945791505279E-13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323.20040177531774</v>
      </c>
      <c r="T74" s="59">
        <f t="shared" si="88"/>
        <v>402.87981443974337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120.99554537444475</v>
      </c>
      <c r="AA74" s="21">
        <f>EXP(-LN(2)/25)*AA73+(1-EXP(-LN(2)/25))/(LN(2)/25)*Calculateur!V74*Calculateur!X74*VLOOKUP('Données projet'!$B$9,Paramètres!$A$1:$I$89,3,0)*0.475*44/12</f>
        <v>29.161505897420373</v>
      </c>
      <c r="AB74" s="21">
        <f>EXP(-LN(2)/2)*AB73+(1-EXP(-LN(2)/2))/(LN(2)/2)*V74*Y74*VLOOKUP('Données projet'!$B$9,Paramètres!$A$1:$I$89,3,0)*0.475*44/12</f>
        <v>0.22321577263124759</v>
      </c>
      <c r="AC74" s="22">
        <f t="shared" si="57"/>
        <v>150.38026704449638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9.9715384615384544</v>
      </c>
      <c r="AI74" s="13">
        <f>IF('Données projet'!$A$62&gt;35,AI73+AH74-AQ73,IF(A74&lt;'Données projet'!$A$62,$AF$205^A74,IF(A74='Données projet'!$A$62,'Données projet'!$B$62,AI73+AH74-AQ73)))</f>
        <v>470.36538461538453</v>
      </c>
      <c r="AJ74" s="13">
        <f>AI74*VLOOKUP('Données projet'!$B$10,Paramètres!$A$1:$I$89,3,0)*VLOOKUP('Données projet'!$B$10,Paramètres!$A$1:$I$89,5,0)</f>
        <v>281.27849999999995</v>
      </c>
      <c r="AK74" s="13">
        <f t="shared" si="89"/>
        <v>67.23712100524989</v>
      </c>
      <c r="AL74" s="20">
        <f t="shared" si="58"/>
        <v>606.99803991747683</v>
      </c>
      <c r="AM74" s="59">
        <f t="shared" si="59"/>
        <v>900.3313732508102</v>
      </c>
      <c r="AN74" s="59">
        <f ca="1">AVERAGE(OFFSET($AM$3,0,0,'Données projet'!$E$10+1,1))-AVERAGE(OFFSET($H$3,0,0,'Données projet'!$E$10+1,1))</f>
        <v>355.09162485318728</v>
      </c>
      <c r="AO74" s="59">
        <f t="shared" si="90"/>
        <v>320.06572891923685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53.371122695489554</v>
      </c>
      <c r="AV74" s="21">
        <f>EXP(-LN(2)/25)*AV73+(1-EXP(-LN(2)/25))/(LN(2)/25)*Calculateur!AQ74*Calculateur!AS74*VLOOKUP('Données projet'!$B$10,Paramètres!$A$1:$I$89,3,0)*0.475*44/12</f>
        <v>13.013101876037769</v>
      </c>
      <c r="AW74" s="21">
        <f>EXP(-LN(2)/2)*AW73+(1-EXP(-LN(2)/2))/(LN(2)/2)*AQ74*AT74*VLOOKUP('Données projet'!$B$10,Paramètres!$A$1:$I$89,3,0)*0.475*44/12</f>
        <v>1.1074784066157348</v>
      </c>
      <c r="AX74" s="21">
        <f t="shared" si="60"/>
        <v>67.491702978143067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>
        <f>VLOOKUP(A74,'Données projet'!$A$87:$I$107,2,0)</f>
        <v>243.36538461538464</v>
      </c>
      <c r="BB74" s="12">
        <f>VLOOKUP(A74,'Données projet'!$A$87:$I$107,9,0)</f>
        <v>8.1001602564102626</v>
      </c>
      <c r="BC74" s="12">
        <f t="array" ref="BC74">INDEX(BB:BB,MIN(IF(ISNUMBER(BB74:BB270),ROW(BB74:BB270),"")))</f>
        <v>8.1001602564102626</v>
      </c>
      <c r="BD74" s="12">
        <f>IF('Données projet'!$A$88&gt;35,BD73+BC74-BL73,IF(A74&lt;'Données projet'!$A$88,$BA$205^A74,IF(A74='Données projet'!$A$88,'Données projet'!$B$88,BD73+BC74-BL73)))</f>
        <v>243.36538461538487</v>
      </c>
      <c r="BE74" s="13">
        <f>BD74*VLOOKUP('Données projet'!$B$11,Paramètres!$A$1:$I$89,3,0)*VLOOKUP('Données projet'!$B$11,Paramètres!$A$1:$I$89,5,0)</f>
        <v>246.77250000000026</v>
      </c>
      <c r="BF74" s="13">
        <f t="shared" si="91"/>
        <v>59.894298509670598</v>
      </c>
      <c r="BG74" s="20">
        <f t="shared" si="61"/>
        <v>534.11134073767676</v>
      </c>
      <c r="BH74" s="59">
        <f t="shared" si="62"/>
        <v>827.44467407101001</v>
      </c>
      <c r="BI74" s="59">
        <f ca="1">AVERAGE(OFFSET($BH$3,0,0,'Données projet'!$E$11+1,1))-AVERAGE(OFFSET($H$3,0,0,'Données projet'!$E$11+1,1))</f>
        <v>425.47148407510412</v>
      </c>
      <c r="BJ74" s="59">
        <f t="shared" si="92"/>
        <v>308.54448799922471</v>
      </c>
      <c r="BK74" s="15">
        <f>IF(ISNA(VLOOKUP(A74,'Données projet'!$A$87:$I$107,3,0)),0,VLOOKUP(A74,'Données projet'!$A$87:$I$107,3,0))</f>
        <v>6</v>
      </c>
      <c r="BL74" s="15">
        <f>IF(ISNA(VLOOKUP(A74,'Données projet'!$A$87:$I$107,4,0)),0,VLOOKUP(A74,'Données projet'!$A$87:$I$107,4,0))</f>
        <v>39.935897435897431</v>
      </c>
      <c r="BM74" s="16">
        <f>IF(ISNA(VLOOKUP(A74,'Données projet'!$A$87:$I$107,5,0)),0%,VLOOKUP(A74,'Données projet'!$A$87:$I$107,5,0)*VLOOKUP('Données projet'!$B$11,Paramètres!$A$1:$I$89,7,0))</f>
        <v>0.30099999999999999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25.489866266890814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25.489866266890814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-1.3596945791505279E-13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323.20040177531774</v>
      </c>
      <c r="T75" s="59">
        <f t="shared" si="88"/>
        <v>402.87981443974337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118.62289652964742</v>
      </c>
      <c r="AA75" s="21">
        <f>EXP(-LN(2)/25)*AA74+(1-EXP(-LN(2)/25))/(LN(2)/25)*Calculateur!V75*Calculateur!X75*VLOOKUP('Données projet'!$B$9,Paramètres!$A$1:$I$89,3,0)*0.475*44/12</f>
        <v>28.364082985118468</v>
      </c>
      <c r="AB75" s="21">
        <f>EXP(-LN(2)/2)*AB74+(1-EXP(-LN(2)/2))/(LN(2)/2)*V75*Y75*VLOOKUP('Données projet'!$B$9,Paramètres!$A$1:$I$89,3,0)*0.475*44/12</f>
        <v>0.15783738649534973</v>
      </c>
      <c r="AC75" s="22">
        <f t="shared" si="57"/>
        <v>147.14481690126124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9.9715384615384544</v>
      </c>
      <c r="AI75" s="13">
        <f>IF('Données projet'!$A$62&gt;35,AI74+AH75-AQ74,IF(A75&lt;'Données projet'!$A$62,$AF$205^A75,IF(A75='Données projet'!$A$62,'Données projet'!$B$62,AI74+AH75-AQ74)))</f>
        <v>480.33692307692297</v>
      </c>
      <c r="AJ75" s="13">
        <f>AI75*VLOOKUP('Données projet'!$B$10,Paramètres!$A$1:$I$89,3,0)*VLOOKUP('Données projet'!$B$10,Paramètres!$A$1:$I$89,5,0)</f>
        <v>287.24147999999997</v>
      </c>
      <c r="AK75" s="13">
        <f t="shared" si="89"/>
        <v>68.495060196585953</v>
      </c>
      <c r="AL75" s="20">
        <f t="shared" si="58"/>
        <v>619.57447417572041</v>
      </c>
      <c r="AM75" s="59">
        <f t="shared" si="59"/>
        <v>912.90780750905378</v>
      </c>
      <c r="AN75" s="59">
        <f ca="1">AVERAGE(OFFSET($AM$3,0,0,'Données projet'!$E$10+1,1))-AVERAGE(OFFSET($H$3,0,0,'Données projet'!$E$10+1,1))</f>
        <v>355.09162485318728</v>
      </c>
      <c r="AO75" s="59">
        <f t="shared" si="90"/>
        <v>320.06572891923685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52.324547532601493</v>
      </c>
      <c r="AV75" s="21">
        <f>EXP(-LN(2)/25)*AV74+(1-EXP(-LN(2)/25))/(LN(2)/25)*Calculateur!AQ75*Calculateur!AS75*VLOOKUP('Données projet'!$B$10,Paramètres!$A$1:$I$89,3,0)*0.475*44/12</f>
        <v>12.657257920908231</v>
      </c>
      <c r="AW75" s="21">
        <f>EXP(-LN(2)/2)*AW74+(1-EXP(-LN(2)/2))/(LN(2)/2)*AQ75*AT75*VLOOKUP('Données projet'!$B$10,Paramètres!$A$1:$I$89,3,0)*0.475*44/12</f>
        <v>0.78310549133565877</v>
      </c>
      <c r="AX75" s="21">
        <f t="shared" si="60"/>
        <v>65.764910944845383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7.8425925925925934</v>
      </c>
      <c r="BD75" s="12">
        <f>IF('Données projet'!$A$88&gt;35,BD74+BC75-BL74,IF(A75&lt;'Données projet'!$A$88,$BA$205^A75,IF(A75='Données projet'!$A$88,'Données projet'!$B$88,BD74+BC75-BL74)))</f>
        <v>211.27207977208002</v>
      </c>
      <c r="BE75" s="13">
        <f>BD75*VLOOKUP('Données projet'!$B$11,Paramètres!$A$1:$I$89,3,0)*VLOOKUP('Données projet'!$B$11,Paramètres!$A$1:$I$89,5,0)</f>
        <v>214.22988888888915</v>
      </c>
      <c r="BF75" s="13">
        <f t="shared" si="91"/>
        <v>52.858847294468234</v>
      </c>
      <c r="BG75" s="20">
        <f t="shared" si="61"/>
        <v>465.17954885268068</v>
      </c>
      <c r="BH75" s="59">
        <f t="shared" si="62"/>
        <v>758.51288218601394</v>
      </c>
      <c r="BI75" s="59">
        <f ca="1">AVERAGE(OFFSET($BH$3,0,0,'Données projet'!$E$11+1,1))-AVERAGE(OFFSET($H$3,0,0,'Données projet'!$E$11+1,1))</f>
        <v>425.47148407510412</v>
      </c>
      <c r="BJ75" s="59">
        <f t="shared" si="92"/>
        <v>308.54448799922471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24.990025536680342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24.990025536680342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-1.3596945791505279E-13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323.20040177531774</v>
      </c>
      <c r="T76" s="59">
        <f t="shared" si="88"/>
        <v>402.87981443974337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116.29677388152366</v>
      </c>
      <c r="AA76" s="21">
        <f>EXP(-LN(2)/25)*AA75+(1-EXP(-LN(2)/25))/(LN(2)/25)*Calculateur!V76*Calculateur!X76*VLOOKUP('Données projet'!$B$9,Paramètres!$A$1:$I$89,3,0)*0.475*44/12</f>
        <v>27.588465644288107</v>
      </c>
      <c r="AB76" s="21">
        <f>EXP(-LN(2)/2)*AB75+(1-EXP(-LN(2)/2))/(LN(2)/2)*V76*Y76*VLOOKUP('Données projet'!$B$9,Paramètres!$A$1:$I$89,3,0)*0.475*44/12</f>
        <v>0.11160788631562379</v>
      </c>
      <c r="AC76" s="22">
        <f t="shared" si="57"/>
        <v>143.99684741212738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9.9715384615384544</v>
      </c>
      <c r="AI76" s="13">
        <f>IF('Données projet'!$A$62&gt;35,AI75+AH76-AQ75,IF(A76&lt;'Données projet'!$A$62,$AF$205^A76,IF(A76='Données projet'!$A$62,'Données projet'!$B$62,AI75+AH76-AQ75)))</f>
        <v>490.30846153846142</v>
      </c>
      <c r="AJ76" s="13">
        <f>AI76*VLOOKUP('Données projet'!$B$10,Paramètres!$A$1:$I$89,3,0)*VLOOKUP('Données projet'!$B$10,Paramètres!$A$1:$I$89,5,0)</f>
        <v>293.20445999999993</v>
      </c>
      <c r="AK76" s="13">
        <f t="shared" si="89"/>
        <v>69.749963140285985</v>
      </c>
      <c r="AL76" s="20">
        <f t="shared" si="58"/>
        <v>632.14562030266472</v>
      </c>
      <c r="AM76" s="59">
        <f t="shared" si="59"/>
        <v>925.4789536359981</v>
      </c>
      <c r="AN76" s="59">
        <f ca="1">AVERAGE(OFFSET($AM$3,0,0,'Données projet'!$E$10+1,1))-AVERAGE(OFFSET($H$3,0,0,'Données projet'!$E$10+1,1))</f>
        <v>355.09162485318728</v>
      </c>
      <c r="AO76" s="59">
        <f t="shared" si="90"/>
        <v>320.06572891923685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51.298495070309848</v>
      </c>
      <c r="AV76" s="21">
        <f>EXP(-LN(2)/25)*AV75+(1-EXP(-LN(2)/25))/(LN(2)/25)*Calculateur!AQ76*Calculateur!AS76*VLOOKUP('Données projet'!$B$10,Paramètres!$A$1:$I$89,3,0)*0.475*44/12</f>
        <v>12.311144537444729</v>
      </c>
      <c r="AW76" s="21">
        <f>EXP(-LN(2)/2)*AW75+(1-EXP(-LN(2)/2))/(LN(2)/2)*AQ76*AT76*VLOOKUP('Données projet'!$B$10,Paramètres!$A$1:$I$89,3,0)*0.475*44/12</f>
        <v>0.55373920330786752</v>
      </c>
      <c r="AX76" s="21">
        <f t="shared" si="60"/>
        <v>64.163378811062444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7.8425925925925934</v>
      </c>
      <c r="BD76" s="12">
        <f>IF('Données projet'!$A$88&gt;35,BD75+BC76-BL75,IF(A76&lt;'Données projet'!$A$88,$BA$205^A76,IF(A76='Données projet'!$A$88,'Données projet'!$B$88,BD75+BC76-BL75)))</f>
        <v>219.1146723646726</v>
      </c>
      <c r="BE76" s="13">
        <f>BD76*VLOOKUP('Données projet'!$B$11,Paramètres!$A$1:$I$89,3,0)*VLOOKUP('Données projet'!$B$11,Paramètres!$A$1:$I$89,5,0)</f>
        <v>222.18227777777804</v>
      </c>
      <c r="BF76" s="13">
        <f t="shared" si="91"/>
        <v>54.588920195757851</v>
      </c>
      <c r="BG76" s="20">
        <f t="shared" si="61"/>
        <v>482.04316980390831</v>
      </c>
      <c r="BH76" s="59">
        <f t="shared" si="62"/>
        <v>775.37650313724157</v>
      </c>
      <c r="BI76" s="59">
        <f ca="1">AVERAGE(OFFSET($BH$3,0,0,'Données projet'!$E$11+1,1))-AVERAGE(OFFSET($H$3,0,0,'Données projet'!$E$11+1,1))</f>
        <v>425.47148407510412</v>
      </c>
      <c r="BJ76" s="59">
        <f t="shared" si="92"/>
        <v>308.54448799922471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24.499986378316557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24.499986378316557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-1.3596945791505279E-13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323.20040177531774</v>
      </c>
      <c r="T77" s="59">
        <f t="shared" si="88"/>
        <v>402.87981443974337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114.01626507973489</v>
      </c>
      <c r="AA77" s="21">
        <f>EXP(-LN(2)/25)*AA76+(1-EXP(-LN(2)/25))/(LN(2)/25)*Calculateur!V77*Calculateur!X77*VLOOKUP('Données projet'!$B$9,Paramètres!$A$1:$I$89,3,0)*0.475*44/12</f>
        <v>26.834057600430693</v>
      </c>
      <c r="AB77" s="21">
        <f>EXP(-LN(2)/2)*AB76+(1-EXP(-LN(2)/2))/(LN(2)/2)*V77*Y77*VLOOKUP('Données projet'!$B$9,Paramètres!$A$1:$I$89,3,0)*0.475*44/12</f>
        <v>7.8918693247674865E-2</v>
      </c>
      <c r="AC77" s="22">
        <f t="shared" si="57"/>
        <v>140.92924137341328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9.9715384615384544</v>
      </c>
      <c r="AI77" s="13">
        <f>IF('Données projet'!$A$62&gt;35,AI76+AH77-AQ76,IF(A77&lt;'Données projet'!$A$62,$AF$205^A77,IF(A77='Données projet'!$A$62,'Données projet'!$B$62,AI76+AH77-AQ76)))</f>
        <v>500.27999999999986</v>
      </c>
      <c r="AJ77" s="13">
        <f>AI77*VLOOKUP('Données projet'!$B$10,Paramètres!$A$1:$I$89,3,0)*VLOOKUP('Données projet'!$B$10,Paramètres!$A$1:$I$89,5,0)</f>
        <v>299.16743999999994</v>
      </c>
      <c r="AK77" s="13">
        <f t="shared" si="89"/>
        <v>71.001898700991546</v>
      </c>
      <c r="AL77" s="20">
        <f t="shared" si="58"/>
        <v>644.71159823756022</v>
      </c>
      <c r="AM77" s="59">
        <f t="shared" si="59"/>
        <v>938.0449315708936</v>
      </c>
      <c r="AN77" s="59">
        <f ca="1">AVERAGE(OFFSET($AM$3,0,0,'Données projet'!$E$10+1,1))-AVERAGE(OFFSET($H$3,0,0,'Données projet'!$E$10+1,1))</f>
        <v>355.09162485318728</v>
      </c>
      <c r="AO77" s="59">
        <f t="shared" si="90"/>
        <v>320.06572891923685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50.292562870973534</v>
      </c>
      <c r="AV77" s="21">
        <f>EXP(-LN(2)/25)*AV76+(1-EXP(-LN(2)/25))/(LN(2)/25)*Calculateur!AQ77*Calculateur!AS77*VLOOKUP('Données projet'!$B$10,Paramètres!$A$1:$I$89,3,0)*0.475*44/12</f>
        <v>11.97449564265335</v>
      </c>
      <c r="AW77" s="21">
        <f>EXP(-LN(2)/2)*AW76+(1-EXP(-LN(2)/2))/(LN(2)/2)*AQ77*AT77*VLOOKUP('Données projet'!$B$10,Paramètres!$A$1:$I$89,3,0)*0.475*44/12</f>
        <v>0.39155274566782944</v>
      </c>
      <c r="AX77" s="21">
        <f t="shared" si="60"/>
        <v>62.658611259294716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7.8425925925925934</v>
      </c>
      <c r="BD77" s="12">
        <f>IF('Données projet'!$A$88&gt;35,BD76+BC77-BL76,IF(A77&lt;'Données projet'!$A$88,$BA$205^A77,IF(A77='Données projet'!$A$88,'Données projet'!$B$88,BD76+BC77-BL76)))</f>
        <v>226.95726495726518</v>
      </c>
      <c r="BE77" s="13">
        <f>BD77*VLOOKUP('Données projet'!$B$11,Paramètres!$A$1:$I$89,3,0)*VLOOKUP('Données projet'!$B$11,Paramètres!$A$1:$I$89,5,0)</f>
        <v>230.13466666666693</v>
      </c>
      <c r="BF77" s="13">
        <f t="shared" si="91"/>
        <v>56.311798620954782</v>
      </c>
      <c r="BG77" s="20">
        <f t="shared" si="61"/>
        <v>498.89426037594109</v>
      </c>
      <c r="BH77" s="59">
        <f t="shared" si="62"/>
        <v>792.2275937092744</v>
      </c>
      <c r="BI77" s="59">
        <f ca="1">AVERAGE(OFFSET($BH$3,0,0,'Données projet'!$E$11+1,1))-AVERAGE(OFFSET($H$3,0,0,'Données projet'!$E$11+1,1))</f>
        <v>425.47148407510412</v>
      </c>
      <c r="BJ77" s="59">
        <f t="shared" si="92"/>
        <v>308.54448799922471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24.019556588953911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24.019556588953911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-1.3596945791505279E-13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323.20040177531774</v>
      </c>
      <c r="T78" s="59">
        <f t="shared" si="88"/>
        <v>402.87981443974337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111.78047566457619</v>
      </c>
      <c r="AA78" s="21">
        <f>EXP(-LN(2)/25)*AA77+(1-EXP(-LN(2)/25))/(LN(2)/25)*Calculateur!V78*Calculateur!X78*VLOOKUP('Données projet'!$B$9,Paramètres!$A$1:$I$89,3,0)*0.475*44/12</f>
        <v>26.100278884205157</v>
      </c>
      <c r="AB78" s="21">
        <f>EXP(-LN(2)/2)*AB77+(1-EXP(-LN(2)/2))/(LN(2)/2)*V78*Y78*VLOOKUP('Données projet'!$B$9,Paramètres!$A$1:$I$89,3,0)*0.475*44/12</f>
        <v>5.5803943157811897E-2</v>
      </c>
      <c r="AC78" s="22">
        <f t="shared" si="57"/>
        <v>137.93655849193914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9.9715384615384544</v>
      </c>
      <c r="AI78" s="13">
        <f>IF('Données projet'!$A$62&gt;35,AI77+AH78-AQ77,IF(A78&lt;'Données projet'!$A$62,$AF$205^A78,IF(A78='Données projet'!$A$62,'Données projet'!$B$62,AI77+AH78-AQ77)))</f>
        <v>510.2515384615383</v>
      </c>
      <c r="AJ78" s="13">
        <f>AI78*VLOOKUP('Données projet'!$B$10,Paramètres!$A$1:$I$89,3,0)*VLOOKUP('Données projet'!$B$10,Paramètres!$A$1:$I$89,5,0)</f>
        <v>305.13041999999996</v>
      </c>
      <c r="AK78" s="13">
        <f t="shared" si="89"/>
        <v>72.250932841155517</v>
      </c>
      <c r="AL78" s="20">
        <f t="shared" si="58"/>
        <v>657.27252286501243</v>
      </c>
      <c r="AM78" s="59">
        <f t="shared" si="59"/>
        <v>950.60585619834569</v>
      </c>
      <c r="AN78" s="59">
        <f ca="1">AVERAGE(OFFSET($AM$3,0,0,'Données projet'!$E$10+1,1))-AVERAGE(OFFSET($H$3,0,0,'Données projet'!$E$10+1,1))</f>
        <v>355.09162485318728</v>
      </c>
      <c r="AO78" s="59">
        <f t="shared" si="90"/>
        <v>320.06572891923685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49.306356388508149</v>
      </c>
      <c r="AV78" s="21">
        <f>EXP(-LN(2)/25)*AV77+(1-EXP(-LN(2)/25))/(LN(2)/25)*Calculateur!AQ78*Calculateur!AS78*VLOOKUP('Données projet'!$B$10,Paramètres!$A$1:$I$89,3,0)*0.475*44/12</f>
        <v>11.647052429593636</v>
      </c>
      <c r="AW78" s="21">
        <f>EXP(-LN(2)/2)*AW77+(1-EXP(-LN(2)/2))/(LN(2)/2)*AQ78*AT78*VLOOKUP('Données projet'!$B$10,Paramètres!$A$1:$I$89,3,0)*0.475*44/12</f>
        <v>0.27686960165393376</v>
      </c>
      <c r="AX78" s="21">
        <f t="shared" si="60"/>
        <v>61.23027841975572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7.8425925925925934</v>
      </c>
      <c r="BD78" s="12">
        <f>IF('Données projet'!$A$88&gt;35,BD77+BC78-BL77,IF(A78&lt;'Données projet'!$A$88,$BA$205^A78,IF(A78='Données projet'!$A$88,'Données projet'!$B$88,BD77+BC78-BL77)))</f>
        <v>234.79985754985776</v>
      </c>
      <c r="BE78" s="13">
        <f>BD78*VLOOKUP('Données projet'!$B$11,Paramètres!$A$1:$I$89,3,0)*VLOOKUP('Données projet'!$B$11,Paramètres!$A$1:$I$89,5,0)</f>
        <v>238.08705555555576</v>
      </c>
      <c r="BF78" s="13">
        <f t="shared" si="91"/>
        <v>58.027759670447097</v>
      </c>
      <c r="BG78" s="20">
        <f t="shared" si="61"/>
        <v>515.73330318528826</v>
      </c>
      <c r="BH78" s="59">
        <f t="shared" si="62"/>
        <v>809.06663651862164</v>
      </c>
      <c r="BI78" s="59">
        <f ca="1">AVERAGE(OFFSET($BH$3,0,0,'Données projet'!$E$11+1,1))-AVERAGE(OFFSET($H$3,0,0,'Données projet'!$E$11+1,1))</f>
        <v>425.47148407510412</v>
      </c>
      <c r="BJ78" s="59">
        <f t="shared" si="92"/>
        <v>308.54448799922471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23.548547734727428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23.548547734727428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-1.3596945791505279E-13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323.20040177531774</v>
      </c>
      <c r="T79" s="59">
        <f t="shared" si="88"/>
        <v>402.87981443974337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109.58852871615186</v>
      </c>
      <c r="AA79" s="21">
        <f>EXP(-LN(2)/25)*AA78+(1-EXP(-LN(2)/25))/(LN(2)/25)*Calculateur!V79*Calculateur!X79*VLOOKUP('Données projet'!$B$9,Paramètres!$A$1:$I$89,3,0)*0.475*44/12</f>
        <v>25.386565385562552</v>
      </c>
      <c r="AB79" s="21">
        <f>EXP(-LN(2)/2)*AB78+(1-EXP(-LN(2)/2))/(LN(2)/2)*V79*Y79*VLOOKUP('Données projet'!$B$9,Paramètres!$A$1:$I$89,3,0)*0.475*44/12</f>
        <v>3.9459346623837432E-2</v>
      </c>
      <c r="AC79" s="22">
        <f t="shared" si="57"/>
        <v>135.01455344833823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>
        <f>VLOOKUP(A79,'Données projet'!$A$61:$I$81,2,0)</f>
        <v>520.22307692307686</v>
      </c>
      <c r="AG79" s="12">
        <f>VLOOKUP(A79,'Données projet'!$A$61:$I$81,9,0)</f>
        <v>9.9715384615384544</v>
      </c>
      <c r="AH79" s="12">
        <f t="array" ref="AH79">INDEX(AG:AG,MIN(IF(ISNUMBER(AG79:AG275),ROW(AG79:AG275),"")))</f>
        <v>9.9715384615384544</v>
      </c>
      <c r="AI79" s="13">
        <f>IF('Données projet'!$A$62&gt;35,AI78+AH79-AQ78,IF(A79&lt;'Données projet'!$A$62,$AF$205^A79,IF(A79='Données projet'!$A$62,'Données projet'!$B$62,AI78+AH79-AQ78)))</f>
        <v>520.22307692307675</v>
      </c>
      <c r="AJ79" s="13">
        <f>AI79*VLOOKUP('Données projet'!$B$10,Paramètres!$A$1:$I$89,3,0)*VLOOKUP('Données projet'!$B$10,Paramètres!$A$1:$I$89,5,0)</f>
        <v>311.09339999999992</v>
      </c>
      <c r="AK79" s="13">
        <f t="shared" si="89"/>
        <v>73.497128797635312</v>
      </c>
      <c r="AL79" s="20">
        <f t="shared" si="58"/>
        <v>669.82850432254793</v>
      </c>
      <c r="AM79" s="59">
        <f t="shared" si="59"/>
        <v>963.1618376558813</v>
      </c>
      <c r="AN79" s="59">
        <f ca="1">AVERAGE(OFFSET($AM$3,0,0,'Données projet'!$E$10+1,1))-AVERAGE(OFFSET($H$3,0,0,'Données projet'!$E$10+1,1))</f>
        <v>355.09162485318728</v>
      </c>
      <c r="AO79" s="59">
        <f t="shared" si="90"/>
        <v>320.06572891923685</v>
      </c>
      <c r="AP79" s="15">
        <f>IF(ISNA(VLOOKUP(A79,'Données projet'!$A$61:$I$81,3,0)),0,VLOOKUP(A79,'Données projet'!$A$61:$I$81,3,0))</f>
        <v>8</v>
      </c>
      <c r="AQ79" s="15">
        <f>IF(ISNA(VLOOKUP(A79,'Données projet'!$A$61:$I$81,4,0)),0,VLOOKUP(A79,'Données projet'!$A$61:$I$81,4,0))</f>
        <v>520.22307692307686</v>
      </c>
      <c r="AR79" s="16">
        <f>IF(ISNA(VLOOKUP(A79,'Données projet'!$A$61:$I$81,5,0)),0%,VLOOKUP(A79,'Données projet'!$A$61:$I$81,5,0)*VLOOKUP('Données projet'!$B$10,Paramètres!$A$1:$I$89,7,0))</f>
        <v>0.315</v>
      </c>
      <c r="AS79" s="16">
        <f>IF(ISNA(VLOOKUP(A79,'Données projet'!$A$61:$I$81,6,0)),0%,VLOOKUP(A79,'Données projet'!$A$61:$I$81,6,0)*VLOOKUP('Données projet'!$B$10,Paramètres!$A$1:$I$89,7,0))</f>
        <v>7.5600000000000001E-2</v>
      </c>
      <c r="AT79" s="16">
        <f>IF(ISNA(VLOOKUP(A79,'Données projet'!$A$61:$I$81,7,0)),0%,VLOOKUP(A79,'Données projet'!$A$61:$I$81,7,0))</f>
        <v>0.13200000000000001</v>
      </c>
      <c r="AU79" s="21">
        <f>EXP(-LN(2)/35)*AU78+(1-EXP(-LN(2)/35))/(LN(2)/35)*AQ79*AR79*VLOOKUP('Données projet'!$B$10,Paramètres!$A$1:$I$89,3,0)*0.475*44/12</f>
        <v>178.3354045436154</v>
      </c>
      <c r="AV79" s="21">
        <f>EXP(-LN(2)/25)*AV78+(1-EXP(-LN(2)/25))/(LN(2)/25)*Calculateur!AQ79*Calculateur!AS79*VLOOKUP('Données projet'!$B$10,Paramètres!$A$1:$I$89,3,0)*0.475*44/12</f>
        <v>42.404740514995794</v>
      </c>
      <c r="AW79" s="21">
        <f>EXP(-LN(2)/2)*AW78+(1-EXP(-LN(2)/2))/(LN(2)/2)*AQ79*AT79*VLOOKUP('Données projet'!$B$10,Paramètres!$A$1:$I$89,3,0)*0.475*44/12</f>
        <v>46.690135716440125</v>
      </c>
      <c r="AX79" s="21">
        <f t="shared" si="60"/>
        <v>267.4302807750513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7.8425925925925934</v>
      </c>
      <c r="BD79" s="12">
        <f>IF('Données projet'!$A$88&gt;35,BD78+BC79-BL78,IF(A79&lt;'Données projet'!$A$88,$BA$205^A79,IF(A79='Données projet'!$A$88,'Données projet'!$B$88,BD78+BC79-BL78)))</f>
        <v>242.64245014245034</v>
      </c>
      <c r="BE79" s="13">
        <f>BD79*VLOOKUP('Données projet'!$B$11,Paramètres!$A$1:$I$89,3,0)*VLOOKUP('Données projet'!$B$11,Paramètres!$A$1:$I$89,5,0)</f>
        <v>246.03944444444465</v>
      </c>
      <c r="BF79" s="13">
        <f t="shared" si="91"/>
        <v>59.737060883292813</v>
      </c>
      <c r="BG79" s="20">
        <f t="shared" si="61"/>
        <v>532.56074677914273</v>
      </c>
      <c r="BH79" s="59">
        <f t="shared" si="62"/>
        <v>825.8940801124761</v>
      </c>
      <c r="BI79" s="59">
        <f ca="1">AVERAGE(OFFSET($BH$3,0,0,'Données projet'!$E$11+1,1))-AVERAGE(OFFSET($H$3,0,0,'Données projet'!$E$11+1,1))</f>
        <v>425.47148407510412</v>
      </c>
      <c r="BJ79" s="59">
        <f t="shared" si="92"/>
        <v>308.54448799922471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23.086775076845292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23.086775076845292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-1.3596945791505279E-13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323.20040177531774</v>
      </c>
      <c r="T80" s="59">
        <f t="shared" si="88"/>
        <v>402.87981443974337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107.4395645104305</v>
      </c>
      <c r="AA80" s="21">
        <f>EXP(-LN(2)/25)*AA79+(1-EXP(-LN(2)/25))/(LN(2)/25)*Calculateur!V80*Calculateur!X80*VLOOKUP('Données projet'!$B$9,Paramètres!$A$1:$I$89,3,0)*0.475*44/12</f>
        <v>24.692368420072892</v>
      </c>
      <c r="AB80" s="21">
        <f>EXP(-LN(2)/2)*AB79+(1-EXP(-LN(2)/2))/(LN(2)/2)*V80*Y80*VLOOKUP('Données projet'!$B$9,Paramètres!$A$1:$I$89,3,0)*0.475*44/12</f>
        <v>2.7901971578905949E-2</v>
      </c>
      <c r="AC80" s="22">
        <f t="shared" si="57"/>
        <v>132.15983490208228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-1.1368683772161603E-13</v>
      </c>
      <c r="AJ80" s="13">
        <f>AI80*VLOOKUP('Données projet'!$B$10,Paramètres!$A$1:$I$89,3,0)*VLOOKUP('Données projet'!$B$10,Paramètres!$A$1:$I$89,5,0)</f>
        <v>-6.7984728957526396E-14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355.09162485318728</v>
      </c>
      <c r="AO80" s="59">
        <f t="shared" si="90"/>
        <v>320.06572891923685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174.83835603437134</v>
      </c>
      <c r="AV80" s="21">
        <f>EXP(-LN(2)/25)*AV79+(1-EXP(-LN(2)/25))/(LN(2)/25)*Calculateur!AQ80*Calculateur!AS80*VLOOKUP('Données projet'!$B$10,Paramètres!$A$1:$I$89,3,0)*0.475*44/12</f>
        <v>41.245180655644845</v>
      </c>
      <c r="AW80" s="21">
        <f>EXP(-LN(2)/2)*AW79+(1-EXP(-LN(2)/2))/(LN(2)/2)*AQ80*AT80*VLOOKUP('Données projet'!$B$10,Paramètres!$A$1:$I$89,3,0)*0.475*44/12</f>
        <v>33.014911579615038</v>
      </c>
      <c r="AX80" s="21">
        <f t="shared" si="60"/>
        <v>249.09844826963123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7.8425925925925934</v>
      </c>
      <c r="BD80" s="12">
        <f>IF('Données projet'!$A$88&gt;35,BD79+BC80-BL79,IF(A80&lt;'Données projet'!$A$88,$BA$205^A80,IF(A80='Données projet'!$A$88,'Données projet'!$B$88,BD79+BC80-BL79)))</f>
        <v>250.48504273504292</v>
      </c>
      <c r="BE80" s="13">
        <f>BD80*VLOOKUP('Données projet'!$B$11,Paramètres!$A$1:$I$89,3,0)*VLOOKUP('Données projet'!$B$11,Paramètres!$A$1:$I$89,5,0)</f>
        <v>253.99183333333355</v>
      </c>
      <c r="BF80" s="13">
        <f t="shared" si="91"/>
        <v>61.439942205271571</v>
      </c>
      <c r="BG80" s="20">
        <f t="shared" si="61"/>
        <v>549.37700906307055</v>
      </c>
      <c r="BH80" s="59">
        <f t="shared" si="62"/>
        <v>842.7103423964038</v>
      </c>
      <c r="BI80" s="59">
        <f ca="1">AVERAGE(OFFSET($BH$3,0,0,'Données projet'!$E$11+1,1))-AVERAGE(OFFSET($H$3,0,0,'Données projet'!$E$11+1,1))</f>
        <v>425.47148407510412</v>
      </c>
      <c r="BJ80" s="59">
        <f t="shared" si="92"/>
        <v>308.54448799922471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22.634057499130716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22.634057499130716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-1.3596945791505279E-13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323.20040177531774</v>
      </c>
      <c r="T81" s="59">
        <f t="shared" si="88"/>
        <v>402.87981443974337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105.33274018204459</v>
      </c>
      <c r="AA81" s="21">
        <f>EXP(-LN(2)/25)*AA80+(1-EXP(-LN(2)/25))/(LN(2)/25)*Calculateur!V81*Calculateur!X81*VLOOKUP('Données projet'!$B$9,Paramètres!$A$1:$I$89,3,0)*0.475*44/12</f>
        <v>24.017154307110779</v>
      </c>
      <c r="AB81" s="21">
        <f>EXP(-LN(2)/2)*AB80+(1-EXP(-LN(2)/2))/(LN(2)/2)*V81*Y81*VLOOKUP('Données projet'!$B$9,Paramètres!$A$1:$I$89,3,0)*0.475*44/12</f>
        <v>1.9729673311918716E-2</v>
      </c>
      <c r="AC81" s="22">
        <f t="shared" si="57"/>
        <v>129.36962416246729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-1.1368683772161603E-13</v>
      </c>
      <c r="AJ81" s="13">
        <f>AI81*VLOOKUP('Données projet'!$B$10,Paramètres!$A$1:$I$89,3,0)*VLOOKUP('Données projet'!$B$10,Paramètres!$A$1:$I$89,5,0)</f>
        <v>-6.7984728957526396E-14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355.09162485318728</v>
      </c>
      <c r="AO81" s="59">
        <f t="shared" si="90"/>
        <v>320.06572891923685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171.4098825134046</v>
      </c>
      <c r="AV81" s="21">
        <f>EXP(-LN(2)/25)*AV80+(1-EXP(-LN(2)/25))/(LN(2)/25)*Calculateur!AQ81*Calculateur!AS81*VLOOKUP('Données projet'!$B$10,Paramètres!$A$1:$I$89,3,0)*0.475*44/12</f>
        <v>40.117329021626453</v>
      </c>
      <c r="AW81" s="21">
        <f>EXP(-LN(2)/2)*AW80+(1-EXP(-LN(2)/2))/(LN(2)/2)*AQ81*AT81*VLOOKUP('Données projet'!$B$10,Paramètres!$A$1:$I$89,3,0)*0.475*44/12</f>
        <v>23.345067858220066</v>
      </c>
      <c r="AX81" s="21">
        <f t="shared" si="60"/>
        <v>234.87227939325112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7.8425925925925934</v>
      </c>
      <c r="BD81" s="12">
        <f>IF('Données projet'!$A$88&gt;35,BD80+BC81-BL80,IF(A81&lt;'Données projet'!$A$88,$BA$205^A81,IF(A81='Données projet'!$A$88,'Données projet'!$B$88,BD80+BC81-BL80)))</f>
        <v>258.32763532763551</v>
      </c>
      <c r="BE81" s="13">
        <f>BD81*VLOOKUP('Données projet'!$B$11,Paramètres!$A$1:$I$89,3,0)*VLOOKUP('Données projet'!$B$11,Paramètres!$A$1:$I$89,5,0)</f>
        <v>261.94422222222244</v>
      </c>
      <c r="BF81" s="13">
        <f t="shared" si="91"/>
        <v>63.136627703535865</v>
      </c>
      <c r="BG81" s="20">
        <f t="shared" si="61"/>
        <v>566.18248028736241</v>
      </c>
      <c r="BH81" s="59">
        <f t="shared" si="62"/>
        <v>859.51581362069578</v>
      </c>
      <c r="BI81" s="59">
        <f ca="1">AVERAGE(OFFSET($BH$3,0,0,'Données projet'!$E$11+1,1))-AVERAGE(OFFSET($H$3,0,0,'Données projet'!$E$11+1,1))</f>
        <v>425.47148407510412</v>
      </c>
      <c r="BJ81" s="59">
        <f t="shared" si="92"/>
        <v>308.54448799922471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22.190217436984664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22.190217436984664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-1.3596945791505279E-13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323.20040177531774</v>
      </c>
      <c r="T82" s="59">
        <f t="shared" si="88"/>
        <v>402.87981443974337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103.26722939370238</v>
      </c>
      <c r="AA82" s="21">
        <f>EXP(-LN(2)/25)*AA81+(1-EXP(-LN(2)/25))/(LN(2)/25)*Calculateur!V82*Calculateur!X82*VLOOKUP('Données projet'!$B$9,Paramètres!$A$1:$I$89,3,0)*0.475*44/12</f>
        <v>23.360403959575581</v>
      </c>
      <c r="AB82" s="21">
        <f>EXP(-LN(2)/2)*AB81+(1-EXP(-LN(2)/2))/(LN(2)/2)*V82*Y82*VLOOKUP('Données projet'!$B$9,Paramètres!$A$1:$I$89,3,0)*0.475*44/12</f>
        <v>1.3950985789452974E-2</v>
      </c>
      <c r="AC82" s="22">
        <f t="shared" si="57"/>
        <v>126.64158433906741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-1.1368683772161603E-13</v>
      </c>
      <c r="AJ82" s="13">
        <f>AI82*VLOOKUP('Données projet'!$B$10,Paramètres!$A$1:$I$89,3,0)*VLOOKUP('Données projet'!$B$10,Paramètres!$A$1:$I$89,5,0)</f>
        <v>-6.7984728957526396E-14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355.09162485318728</v>
      </c>
      <c r="AO82" s="59">
        <f t="shared" si="90"/>
        <v>320.06572891923685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168.04863926702163</v>
      </c>
      <c r="AV82" s="21">
        <f>EXP(-LN(2)/25)*AV81+(1-EXP(-LN(2)/25))/(LN(2)/25)*Calculateur!AQ82*Calculateur!AS82*VLOOKUP('Données projet'!$B$10,Paramètres!$A$1:$I$89,3,0)*0.475*44/12</f>
        <v>39.020318549851432</v>
      </c>
      <c r="AW82" s="21">
        <f>EXP(-LN(2)/2)*AW81+(1-EXP(-LN(2)/2))/(LN(2)/2)*AQ82*AT82*VLOOKUP('Données projet'!$B$10,Paramètres!$A$1:$I$89,3,0)*0.475*44/12</f>
        <v>16.507455789807523</v>
      </c>
      <c r="AX82" s="21">
        <f t="shared" si="60"/>
        <v>223.57641360668057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7.8425925925925934</v>
      </c>
      <c r="BD82" s="12">
        <f>IF('Données projet'!$A$88&gt;35,BD81+BC82-BL81,IF(A82&lt;'Données projet'!$A$88,$BA$205^A82,IF(A82='Données projet'!$A$88,'Données projet'!$B$88,BD81+BC82-BL81)))</f>
        <v>266.17022792022811</v>
      </c>
      <c r="BE82" s="13">
        <f>BD82*VLOOKUP('Données projet'!$B$11,Paramètres!$A$1:$I$89,3,0)*VLOOKUP('Données projet'!$B$11,Paramètres!$A$1:$I$89,5,0)</f>
        <v>269.89661111111133</v>
      </c>
      <c r="BF82" s="13">
        <f t="shared" si="91"/>
        <v>64.82732706719186</v>
      </c>
      <c r="BG82" s="20">
        <f t="shared" si="61"/>
        <v>582.97752566054464</v>
      </c>
      <c r="BH82" s="59">
        <f t="shared" si="62"/>
        <v>876.3108589938779</v>
      </c>
      <c r="BI82" s="59">
        <f ca="1">AVERAGE(OFFSET($BH$3,0,0,'Données projet'!$E$11+1,1))-AVERAGE(OFFSET($H$3,0,0,'Données projet'!$E$11+1,1))</f>
        <v>425.47148407510412</v>
      </c>
      <c r="BJ82" s="59">
        <f t="shared" si="92"/>
        <v>308.54448799922471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21.755080807741592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21.755080807741592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-1.3596945791505279E-13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323.20040177531774</v>
      </c>
      <c r="T83" s="59">
        <f t="shared" si="88"/>
        <v>402.87981443974337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101.24222201208238</v>
      </c>
      <c r="AA83" s="21">
        <f>EXP(-LN(2)/25)*AA82+(1-EXP(-LN(2)/25))/(LN(2)/25)*Calculateur!V83*Calculateur!X83*VLOOKUP('Données projet'!$B$9,Paramètres!$A$1:$I$89,3,0)*0.475*44/12</f>
        <v>22.721612484830732</v>
      </c>
      <c r="AB83" s="21">
        <f>EXP(-LN(2)/2)*AB82+(1-EXP(-LN(2)/2))/(LN(2)/2)*V83*Y83*VLOOKUP('Données projet'!$B$9,Paramètres!$A$1:$I$89,3,0)*0.475*44/12</f>
        <v>9.8648366559593581E-3</v>
      </c>
      <c r="AC83" s="22">
        <f t="shared" si="57"/>
        <v>123.97369933356907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-1.1368683772161603E-13</v>
      </c>
      <c r="AJ83" s="13">
        <f>AI83*VLOOKUP('Données projet'!$B$10,Paramètres!$A$1:$I$89,3,0)*VLOOKUP('Données projet'!$B$10,Paramètres!$A$1:$I$89,5,0)</f>
        <v>-6.7984728957526396E-14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355.09162485318728</v>
      </c>
      <c r="AO83" s="59">
        <f t="shared" si="90"/>
        <v>320.06572891923685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164.7533079505443</v>
      </c>
      <c r="AV83" s="21">
        <f>EXP(-LN(2)/25)*AV82+(1-EXP(-LN(2)/25))/(LN(2)/25)*Calculateur!AQ83*Calculateur!AS83*VLOOKUP('Données projet'!$B$10,Paramètres!$A$1:$I$89,3,0)*0.475*44/12</f>
        <v>37.953305887116372</v>
      </c>
      <c r="AW83" s="21">
        <f>EXP(-LN(2)/2)*AW82+(1-EXP(-LN(2)/2))/(LN(2)/2)*AQ83*AT83*VLOOKUP('Données projet'!$B$10,Paramètres!$A$1:$I$89,3,0)*0.475*44/12</f>
        <v>11.672533929110037</v>
      </c>
      <c r="AX83" s="21">
        <f t="shared" si="60"/>
        <v>214.3791477667707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274.01282051282055</v>
      </c>
      <c r="BB83" s="12">
        <f>VLOOKUP(A83,'Données projet'!$A$87:$I$107,9,0)</f>
        <v>7.8425925925925934</v>
      </c>
      <c r="BC83" s="12">
        <f t="array" ref="BC83">INDEX(BB:BB,MIN(IF(ISNUMBER(BB83:BB279),ROW(BB83:BB279),"")))</f>
        <v>7.8425925925925934</v>
      </c>
      <c r="BD83" s="12">
        <f>IF('Données projet'!$A$88&gt;35,BD82+BC83-BL82,IF(A83&lt;'Données projet'!$A$88,$BA$205^A83,IF(A83='Données projet'!$A$88,'Données projet'!$B$88,BD82+BC83-BL82)))</f>
        <v>274.01282051282072</v>
      </c>
      <c r="BE83" s="13">
        <f>BD83*VLOOKUP('Données projet'!$B$11,Paramètres!$A$1:$I$89,3,0)*VLOOKUP('Données projet'!$B$11,Paramètres!$A$1:$I$89,5,0)</f>
        <v>277.84900000000027</v>
      </c>
      <c r="BF83" s="13">
        <f t="shared" si="91"/>
        <v>66.512236926053845</v>
      </c>
      <c r="BG83" s="20">
        <f t="shared" si="61"/>
        <v>599.76248764621096</v>
      </c>
      <c r="BH83" s="59">
        <f t="shared" si="62"/>
        <v>893.09582097954421</v>
      </c>
      <c r="BI83" s="59">
        <f ca="1">AVERAGE(OFFSET($BH$3,0,0,'Données projet'!$E$11+1,1))-AVERAGE(OFFSET($H$3,0,0,'Données projet'!$E$11+1,1))</f>
        <v>425.47148407510412</v>
      </c>
      <c r="BJ83" s="59">
        <f t="shared" si="92"/>
        <v>308.54448799922471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45.608974358974358</v>
      </c>
      <c r="BM83" s="16">
        <f>IF(ISNA(VLOOKUP(A83,'Données projet'!$A$87:$I$107,5,0)),0%,VLOOKUP(A83,'Données projet'!$A$87:$I$107,5,0)*VLOOKUP('Données projet'!$B$11,Paramètres!$A$1:$I$89,7,0))</f>
        <v>0.30099999999999999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36.717174597003321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36.717174597003321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-1.3596945791505279E-13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323.20040177531774</v>
      </c>
      <c r="T84" s="59">
        <f t="shared" si="88"/>
        <v>402.87981443974337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99.256923790083405</v>
      </c>
      <c r="AA84" s="21">
        <f>EXP(-LN(2)/25)*AA83+(1-EXP(-LN(2)/25))/(LN(2)/25)*Calculateur!V84*Calculateur!X84*VLOOKUP('Données projet'!$B$9,Paramètres!$A$1:$I$89,3,0)*0.475*44/12</f>
        <v>22.100288796555365</v>
      </c>
      <c r="AB84" s="21">
        <f>EXP(-LN(2)/2)*AB83+(1-EXP(-LN(2)/2))/(LN(2)/2)*V84*Y84*VLOOKUP('Données projet'!$B$9,Paramètres!$A$1:$I$89,3,0)*0.475*44/12</f>
        <v>6.9754928947264871E-3</v>
      </c>
      <c r="AC84" s="22">
        <f t="shared" si="57"/>
        <v>121.36418807953349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-1.1368683772161603E-13</v>
      </c>
      <c r="AJ84" s="13">
        <f>AI84*VLOOKUP('Données projet'!$B$10,Paramètres!$A$1:$I$89,3,0)*VLOOKUP('Données projet'!$B$10,Paramètres!$A$1:$I$89,5,0)</f>
        <v>-6.7984728957526396E-14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355.09162485318728</v>
      </c>
      <c r="AO84" s="59">
        <f t="shared" si="90"/>
        <v>320.06572891923685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161.52259607122946</v>
      </c>
      <c r="AV84" s="21">
        <f>EXP(-LN(2)/25)*AV83+(1-EXP(-LN(2)/25))/(LN(2)/25)*Calculateur!AQ84*Calculateur!AS84*VLOOKUP('Données projet'!$B$10,Paramètres!$A$1:$I$89,3,0)*0.475*44/12</f>
        <v>36.915470741755563</v>
      </c>
      <c r="AW84" s="21">
        <f>EXP(-LN(2)/2)*AW83+(1-EXP(-LN(2)/2))/(LN(2)/2)*AQ84*AT84*VLOOKUP('Données projet'!$B$10,Paramètres!$A$1:$I$89,3,0)*0.475*44/12</f>
        <v>8.2537278949037631</v>
      </c>
      <c r="AX84" s="21">
        <f t="shared" si="60"/>
        <v>206.69179470788879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7.4950142450142421</v>
      </c>
      <c r="BD84" s="12">
        <f>IF('Données projet'!$A$88&gt;35,BD83+BC84-BL83,IF(A84&lt;'Données projet'!$A$88,$BA$205^A84,IF(A84='Données projet'!$A$88,'Données projet'!$B$88,BD83+BC84-BL83)))</f>
        <v>235.89886039886062</v>
      </c>
      <c r="BE84" s="13">
        <f>BD84*VLOOKUP('Données projet'!$B$11,Paramètres!$A$1:$I$89,3,0)*VLOOKUP('Données projet'!$B$11,Paramètres!$A$1:$I$89,5,0)</f>
        <v>239.20144444444466</v>
      </c>
      <c r="BF84" s="13">
        <f t="shared" si="91"/>
        <v>58.267684051527382</v>
      </c>
      <c r="BG84" s="20">
        <f t="shared" si="61"/>
        <v>518.0920654638179</v>
      </c>
      <c r="BH84" s="59">
        <f t="shared" si="62"/>
        <v>811.42539879715127</v>
      </c>
      <c r="BI84" s="59">
        <f ca="1">AVERAGE(OFFSET($BH$3,0,0,'Données projet'!$E$11+1,1))-AVERAGE(OFFSET($H$3,0,0,'Données projet'!$E$11+1,1))</f>
        <v>425.47148407510412</v>
      </c>
      <c r="BJ84" s="59">
        <f t="shared" si="92"/>
        <v>308.54448799922471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35.997173198421244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35.997173198421244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-1.3596945791505279E-13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323.20040177531774</v>
      </c>
      <c r="T85" s="59">
        <f t="shared" si="88"/>
        <v>402.87981443974337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97.310556055305483</v>
      </c>
      <c r="AA85" s="21">
        <f>EXP(-LN(2)/25)*AA84+(1-EXP(-LN(2)/25))/(LN(2)/25)*Calculateur!V85*Calculateur!X85*VLOOKUP('Données projet'!$B$9,Paramètres!$A$1:$I$89,3,0)*0.475*44/12</f>
        <v>21.495955237209881</v>
      </c>
      <c r="AB85" s="21">
        <f>EXP(-LN(2)/2)*AB84+(1-EXP(-LN(2)/2))/(LN(2)/2)*V85*Y85*VLOOKUP('Données projet'!$B$9,Paramètres!$A$1:$I$89,3,0)*0.475*44/12</f>
        <v>4.9324183279796791E-3</v>
      </c>
      <c r="AC85" s="22">
        <f t="shared" si="57"/>
        <v>118.81144371084335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-1.1368683772161603E-13</v>
      </c>
      <c r="AJ85" s="13">
        <f>AI85*VLOOKUP('Données projet'!$B$10,Paramètres!$A$1:$I$89,3,0)*VLOOKUP('Données projet'!$B$10,Paramètres!$A$1:$I$89,5,0)</f>
        <v>-6.7984728957526396E-14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355.09162485318728</v>
      </c>
      <c r="AO85" s="59">
        <f t="shared" si="90"/>
        <v>320.06572891923685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158.35523648132829</v>
      </c>
      <c r="AV85" s="21">
        <f>EXP(-LN(2)/25)*AV84+(1-EXP(-LN(2)/25))/(LN(2)/25)*Calculateur!AQ85*Calculateur!AS85*VLOOKUP('Données projet'!$B$10,Paramètres!$A$1:$I$89,3,0)*0.475*44/12</f>
        <v>35.906015253022019</v>
      </c>
      <c r="AW85" s="21">
        <f>EXP(-LN(2)/2)*AW84+(1-EXP(-LN(2)/2))/(LN(2)/2)*AQ85*AT85*VLOOKUP('Données projet'!$B$10,Paramètres!$A$1:$I$89,3,0)*0.475*44/12</f>
        <v>5.8362669645550191</v>
      </c>
      <c r="AX85" s="21">
        <f t="shared" si="60"/>
        <v>200.09751869890533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7.4950142450142421</v>
      </c>
      <c r="BD85" s="12">
        <f>IF('Données projet'!$A$88&gt;35,BD84+BC85-BL84,IF(A85&lt;'Données projet'!$A$88,$BA$205^A85,IF(A85='Données projet'!$A$88,'Données projet'!$B$88,BD84+BC85-BL84)))</f>
        <v>243.39387464387485</v>
      </c>
      <c r="BE85" s="13">
        <f>BD85*VLOOKUP('Données projet'!$B$11,Paramètres!$A$1:$I$89,3,0)*VLOOKUP('Données projet'!$B$11,Paramètres!$A$1:$I$89,5,0)</f>
        <v>246.80138888888911</v>
      </c>
      <c r="BF85" s="13">
        <f t="shared" si="91"/>
        <v>59.900493951858735</v>
      </c>
      <c r="BG85" s="20">
        <f t="shared" si="61"/>
        <v>534.17244594763577</v>
      </c>
      <c r="BH85" s="59">
        <f t="shared" si="62"/>
        <v>827.50577928096914</v>
      </c>
      <c r="BI85" s="59">
        <f ca="1">AVERAGE(OFFSET($BH$3,0,0,'Données projet'!$E$11+1,1))-AVERAGE(OFFSET($H$3,0,0,'Données projet'!$E$11+1,1))</f>
        <v>425.47148407510412</v>
      </c>
      <c r="BJ85" s="59">
        <f t="shared" si="92"/>
        <v>308.54448799922471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35.29129058810787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35.29129058810787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-1.3596945791505279E-13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323.20040177531774</v>
      </c>
      <c r="T86" s="59">
        <f t="shared" si="88"/>
        <v>402.87981443974337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95.402355404639451</v>
      </c>
      <c r="AA86" s="21">
        <f>EXP(-LN(2)/25)*AA85+(1-EXP(-LN(2)/25))/(LN(2)/25)*Calculateur!V86*Calculateur!X86*VLOOKUP('Données projet'!$B$9,Paramètres!$A$1:$I$89,3,0)*0.475*44/12</f>
        <v>20.90814721082522</v>
      </c>
      <c r="AB86" s="21">
        <f>EXP(-LN(2)/2)*AB85+(1-EXP(-LN(2)/2))/(LN(2)/2)*V86*Y86*VLOOKUP('Données projet'!$B$9,Paramètres!$A$1:$I$89,3,0)*0.475*44/12</f>
        <v>3.4877464473632436E-3</v>
      </c>
      <c r="AC86" s="22">
        <f t="shared" si="57"/>
        <v>116.31399036191203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-1.1368683772161603E-13</v>
      </c>
      <c r="AJ86" s="13">
        <f>AI86*VLOOKUP('Données projet'!$B$10,Paramètres!$A$1:$I$89,3,0)*VLOOKUP('Données projet'!$B$10,Paramètres!$A$1:$I$89,5,0)</f>
        <v>-6.7984728957526396E-14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355.09162485318728</v>
      </c>
      <c r="AO86" s="59">
        <f t="shared" si="90"/>
        <v>320.06572891923685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155.2499868810865</v>
      </c>
      <c r="AV86" s="21">
        <f>EXP(-LN(2)/25)*AV85+(1-EXP(-LN(2)/25))/(LN(2)/25)*Calculateur!AQ86*Calculateur!AS86*VLOOKUP('Données projet'!$B$10,Paramètres!$A$1:$I$89,3,0)*0.475*44/12</f>
        <v>34.924163377712851</v>
      </c>
      <c r="AW86" s="21">
        <f>EXP(-LN(2)/2)*AW85+(1-EXP(-LN(2)/2))/(LN(2)/2)*AQ86*AT86*VLOOKUP('Données projet'!$B$10,Paramètres!$A$1:$I$89,3,0)*0.475*44/12</f>
        <v>4.1268639474518825</v>
      </c>
      <c r="AX86" s="21">
        <f t="shared" si="60"/>
        <v>194.30101420625124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7.4950142450142421</v>
      </c>
      <c r="BD86" s="12">
        <f>IF('Données projet'!$A$88&gt;35,BD85+BC86-BL85,IF(A86&lt;'Données projet'!$A$88,$BA$205^A86,IF(A86='Données projet'!$A$88,'Données projet'!$B$88,BD85+BC86-BL85)))</f>
        <v>250.88888888888908</v>
      </c>
      <c r="BE86" s="13">
        <f>BD86*VLOOKUP('Données projet'!$B$11,Paramètres!$A$1:$I$89,3,0)*VLOOKUP('Données projet'!$B$11,Paramètres!$A$1:$I$89,5,0)</f>
        <v>254.40133333333353</v>
      </c>
      <c r="BF86" s="13">
        <f t="shared" si="91"/>
        <v>61.527460718284608</v>
      </c>
      <c r="BG86" s="20">
        <f t="shared" si="61"/>
        <v>550.24264963990152</v>
      </c>
      <c r="BH86" s="59">
        <f t="shared" si="62"/>
        <v>843.57598297323489</v>
      </c>
      <c r="BI86" s="59">
        <f ca="1">AVERAGE(OFFSET($BH$3,0,0,'Données projet'!$E$11+1,1))-AVERAGE(OFFSET($H$3,0,0,'Données projet'!$E$11+1,1))</f>
        <v>425.47148407510412</v>
      </c>
      <c r="BJ86" s="59">
        <f t="shared" si="92"/>
        <v>308.54448799922471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34.59924990523686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34.59924990523686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-1.3596945791505279E-13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323.20040177531774</v>
      </c>
      <c r="T87" s="59">
        <f t="shared" si="88"/>
        <v>402.87981443974337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93.531573404845517</v>
      </c>
      <c r="AA87" s="21">
        <f>EXP(-LN(2)/25)*AA86+(1-EXP(-LN(2)/25))/(LN(2)/25)*Calculateur!V87*Calculateur!X87*VLOOKUP('Données projet'!$B$9,Paramètres!$A$1:$I$89,3,0)*0.475*44/12</f>
        <v>20.336412825833527</v>
      </c>
      <c r="AB87" s="21">
        <f>EXP(-LN(2)/2)*AB86+(1-EXP(-LN(2)/2))/(LN(2)/2)*V87*Y87*VLOOKUP('Données projet'!$B$9,Paramètres!$A$1:$I$89,3,0)*0.475*44/12</f>
        <v>2.4662091639898395E-3</v>
      </c>
      <c r="AC87" s="22">
        <f t="shared" si="57"/>
        <v>113.87045243984302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-1.1368683772161603E-13</v>
      </c>
      <c r="AJ87" s="13">
        <f>AI87*VLOOKUP('Données projet'!$B$10,Paramètres!$A$1:$I$89,3,0)*VLOOKUP('Données projet'!$B$10,Paramètres!$A$1:$I$89,5,0)</f>
        <v>-6.7984728957526396E-14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355.09162485318728</v>
      </c>
      <c r="AO87" s="59">
        <f t="shared" si="90"/>
        <v>320.06572891923685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152.20562933149023</v>
      </c>
      <c r="AV87" s="21">
        <f>EXP(-LN(2)/25)*AV86+(1-EXP(-LN(2)/25))/(LN(2)/25)*Calculateur!AQ87*Calculateur!AS87*VLOOKUP('Données projet'!$B$10,Paramètres!$A$1:$I$89,3,0)*0.475*44/12</f>
        <v>33.969160293567363</v>
      </c>
      <c r="AW87" s="21">
        <f>EXP(-LN(2)/2)*AW86+(1-EXP(-LN(2)/2))/(LN(2)/2)*AQ87*AT87*VLOOKUP('Données projet'!$B$10,Paramètres!$A$1:$I$89,3,0)*0.475*44/12</f>
        <v>2.91813348227751</v>
      </c>
      <c r="AX87" s="21">
        <f t="shared" si="60"/>
        <v>189.09292310733511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7.4950142450142421</v>
      </c>
      <c r="BD87" s="12">
        <f>IF('Données projet'!$A$88&gt;35,BD86+BC87-BL86,IF(A87&lt;'Données projet'!$A$88,$BA$205^A87,IF(A87='Données projet'!$A$88,'Données projet'!$B$88,BD86+BC87-BL86)))</f>
        <v>258.38390313390335</v>
      </c>
      <c r="BE87" s="13">
        <f>BD87*VLOOKUP('Données projet'!$B$11,Paramètres!$A$1:$I$89,3,0)*VLOOKUP('Données projet'!$B$11,Paramètres!$A$1:$I$89,5,0)</f>
        <v>262.001277777778</v>
      </c>
      <c r="BF87" s="13">
        <f t="shared" si="91"/>
        <v>63.148778946325088</v>
      </c>
      <c r="BG87" s="20">
        <f t="shared" si="61"/>
        <v>566.30301546114617</v>
      </c>
      <c r="BH87" s="59">
        <f t="shared" si="62"/>
        <v>859.63634879447955</v>
      </c>
      <c r="BI87" s="59">
        <f ca="1">AVERAGE(OFFSET($BH$3,0,0,'Données projet'!$E$11+1,1))-AVERAGE(OFFSET($H$3,0,0,'Données projet'!$E$11+1,1))</f>
        <v>425.47148407510412</v>
      </c>
      <c r="BJ87" s="59">
        <f t="shared" si="92"/>
        <v>308.54448799922471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33.920779718053815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33.920779718053815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-1.3596945791505279E-13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323.20040177531774</v>
      </c>
      <c r="T88" s="59">
        <f t="shared" si="88"/>
        <v>402.87981443974337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91.697476299003185</v>
      </c>
      <c r="AA88" s="21">
        <f>EXP(-LN(2)/25)*AA87+(1-EXP(-LN(2)/25))/(LN(2)/25)*Calculateur!V88*Calculateur!X88*VLOOKUP('Données projet'!$B$9,Paramètres!$A$1:$I$89,3,0)*0.475*44/12</f>
        <v>19.780312547665638</v>
      </c>
      <c r="AB88" s="21">
        <f>EXP(-LN(2)/2)*AB87+(1-EXP(-LN(2)/2))/(LN(2)/2)*V88*Y88*VLOOKUP('Données projet'!$B$9,Paramètres!$A$1:$I$89,3,0)*0.475*44/12</f>
        <v>1.7438732236816218E-3</v>
      </c>
      <c r="AC88" s="22">
        <f t="shared" si="57"/>
        <v>111.47953271989252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-1.1368683772161603E-13</v>
      </c>
      <c r="AJ88" s="13">
        <f>AI88*VLOOKUP('Données projet'!$B$10,Paramètres!$A$1:$I$89,3,0)*VLOOKUP('Données projet'!$B$10,Paramètres!$A$1:$I$89,5,0)</f>
        <v>-6.7984728957526396E-14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355.09162485318728</v>
      </c>
      <c r="AO88" s="59">
        <f t="shared" si="90"/>
        <v>320.06572891923685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149.22096977656679</v>
      </c>
      <c r="AV88" s="21">
        <f>EXP(-LN(2)/25)*AV87+(1-EXP(-LN(2)/25))/(LN(2)/25)*Calculateur!AQ88*Calculateur!AS88*VLOOKUP('Données projet'!$B$10,Paramètres!$A$1:$I$89,3,0)*0.475*44/12</f>
        <v>33.040271818979264</v>
      </c>
      <c r="AW88" s="21">
        <f>EXP(-LN(2)/2)*AW87+(1-EXP(-LN(2)/2))/(LN(2)/2)*AQ88*AT88*VLOOKUP('Données projet'!$B$10,Paramètres!$A$1:$I$89,3,0)*0.475*44/12</f>
        <v>2.0634319737259412</v>
      </c>
      <c r="AX88" s="21">
        <f t="shared" si="60"/>
        <v>184.32467356927199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7.4950142450142421</v>
      </c>
      <c r="BD88" s="12">
        <f>IF('Données projet'!$A$88&gt;35,BD87+BC88-BL87,IF(A88&lt;'Données projet'!$A$88,$BA$205^A88,IF(A88='Données projet'!$A$88,'Données projet'!$B$88,BD87+BC88-BL87)))</f>
        <v>265.87891737891761</v>
      </c>
      <c r="BE88" s="13">
        <f>BD88*VLOOKUP('Données projet'!$B$11,Paramètres!$A$1:$I$89,3,0)*VLOOKUP('Données projet'!$B$11,Paramètres!$A$1:$I$89,5,0)</f>
        <v>269.60122222222248</v>
      </c>
      <c r="BF88" s="13">
        <f t="shared" si="91"/>
        <v>64.764631300165817</v>
      </c>
      <c r="BG88" s="20">
        <f t="shared" si="61"/>
        <v>582.35386155149297</v>
      </c>
      <c r="BH88" s="59">
        <f t="shared" si="62"/>
        <v>875.68719488482634</v>
      </c>
      <c r="BI88" s="59">
        <f ca="1">AVERAGE(OFFSET($BH$3,0,0,'Données projet'!$E$11+1,1))-AVERAGE(OFFSET($H$3,0,0,'Données projet'!$E$11+1,1))</f>
        <v>425.47148407510412</v>
      </c>
      <c r="BJ88" s="59">
        <f t="shared" si="92"/>
        <v>308.54448799922471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33.255613917415474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33.255613917415474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-1.3596945791505279E-13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323.20040177531774</v>
      </c>
      <c r="T89" s="59">
        <f t="shared" si="88"/>
        <v>402.87981443974337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89.899344718717657</v>
      </c>
      <c r="AA89" s="21">
        <f>EXP(-LN(2)/25)*AA88+(1-EXP(-LN(2)/25))/(LN(2)/25)*Calculateur!V89*Calculateur!X89*VLOOKUP('Données projet'!$B$9,Paramètres!$A$1:$I$89,3,0)*0.475*44/12</f>
        <v>19.239418860848293</v>
      </c>
      <c r="AB89" s="21">
        <f>EXP(-LN(2)/2)*AB88+(1-EXP(-LN(2)/2))/(LN(2)/2)*V89*Y89*VLOOKUP('Données projet'!$B$9,Paramètres!$A$1:$I$89,3,0)*0.475*44/12</f>
        <v>1.2331045819949198E-3</v>
      </c>
      <c r="AC89" s="22">
        <f t="shared" si="57"/>
        <v>109.13999668414795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-1.1368683772161603E-13</v>
      </c>
      <c r="AJ89" s="13">
        <f>AI89*VLOOKUP('Données projet'!$B$10,Paramètres!$A$1:$I$89,3,0)*VLOOKUP('Données projet'!$B$10,Paramètres!$A$1:$I$89,5,0)</f>
        <v>-6.7984728957526396E-14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355.09162485318728</v>
      </c>
      <c r="AO89" s="59">
        <f t="shared" si="90"/>
        <v>320.06572891923685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146.29483757505281</v>
      </c>
      <c r="AV89" s="21">
        <f>EXP(-LN(2)/25)*AV88+(1-EXP(-LN(2)/25))/(LN(2)/25)*Calculateur!AQ89*Calculateur!AS89*VLOOKUP('Données projet'!$B$10,Paramètres!$A$1:$I$89,3,0)*0.475*44/12</f>
        <v>32.136783848576897</v>
      </c>
      <c r="AW89" s="21">
        <f>EXP(-LN(2)/2)*AW88+(1-EXP(-LN(2)/2))/(LN(2)/2)*AQ89*AT89*VLOOKUP('Données projet'!$B$10,Paramètres!$A$1:$I$89,3,0)*0.475*44/12</f>
        <v>1.459066741138755</v>
      </c>
      <c r="AX89" s="21">
        <f t="shared" si="60"/>
        <v>179.89068816476845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7.4950142450142421</v>
      </c>
      <c r="BD89" s="12">
        <f>IF('Données projet'!$A$88&gt;35,BD88+BC89-BL88,IF(A89&lt;'Données projet'!$A$88,$BA$205^A89,IF(A89='Données projet'!$A$88,'Données projet'!$B$88,BD88+BC89-BL88)))</f>
        <v>273.37393162393187</v>
      </c>
      <c r="BE89" s="13">
        <f>BD89*VLOOKUP('Données projet'!$B$11,Paramètres!$A$1:$I$89,3,0)*VLOOKUP('Données projet'!$B$11,Paramètres!$A$1:$I$89,5,0)</f>
        <v>277.20116666666695</v>
      </c>
      <c r="BF89" s="13">
        <f t="shared" si="91"/>
        <v>66.37518955966982</v>
      </c>
      <c r="BG89" s="20">
        <f t="shared" si="61"/>
        <v>598.39548709420319</v>
      </c>
      <c r="BH89" s="59">
        <f t="shared" si="62"/>
        <v>891.72882042753645</v>
      </c>
      <c r="BI89" s="59">
        <f ca="1">AVERAGE(OFFSET($BH$3,0,0,'Données projet'!$E$11+1,1))-AVERAGE(OFFSET($H$3,0,0,'Données projet'!$E$11+1,1))</f>
        <v>425.47148407510412</v>
      </c>
      <c r="BJ89" s="59">
        <f t="shared" si="92"/>
        <v>308.54448799922471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32.603491612416576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32.603491612416576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-1.3596945791505279E-13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323.20040177531774</v>
      </c>
      <c r="T90" s="59">
        <f t="shared" si="88"/>
        <v>402.87981443974337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88.136473401969553</v>
      </c>
      <c r="AA90" s="21">
        <f>EXP(-LN(2)/25)*AA89+(1-EXP(-LN(2)/25))/(LN(2)/25)*Calculateur!V90*Calculateur!X90*VLOOKUP('Données projet'!$B$9,Paramètres!$A$1:$I$89,3,0)*0.475*44/12</f>
        <v>18.713315940341332</v>
      </c>
      <c r="AB90" s="21">
        <f>EXP(-LN(2)/2)*AB89+(1-EXP(-LN(2)/2))/(LN(2)/2)*V90*Y90*VLOOKUP('Données projet'!$B$9,Paramètres!$A$1:$I$89,3,0)*0.475*44/12</f>
        <v>8.7193661184081089E-4</v>
      </c>
      <c r="AC90" s="22">
        <f t="shared" si="57"/>
        <v>106.85066127892273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-1.1368683772161603E-13</v>
      </c>
      <c r="AJ90" s="13">
        <f>AI90*VLOOKUP('Données projet'!$B$10,Paramètres!$A$1:$I$89,3,0)*VLOOKUP('Données projet'!$B$10,Paramètres!$A$1:$I$89,5,0)</f>
        <v>-6.7984728957526396E-14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355.09162485318728</v>
      </c>
      <c r="AO90" s="59">
        <f t="shared" si="90"/>
        <v>320.06572891923685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143.42608504124613</v>
      </c>
      <c r="AV90" s="21">
        <f>EXP(-LN(2)/25)*AV89+(1-EXP(-LN(2)/25))/(LN(2)/25)*Calculateur!AQ90*Calculateur!AS90*VLOOKUP('Données projet'!$B$10,Paramètres!$A$1:$I$89,3,0)*0.475*44/12</f>
        <v>31.258001804237548</v>
      </c>
      <c r="AW90" s="21">
        <f>EXP(-LN(2)/2)*AW89+(1-EXP(-LN(2)/2))/(LN(2)/2)*AQ90*AT90*VLOOKUP('Données projet'!$B$10,Paramètres!$A$1:$I$89,3,0)*0.475*44/12</f>
        <v>1.0317159868629706</v>
      </c>
      <c r="AX90" s="21">
        <f t="shared" si="60"/>
        <v>175.71580283234664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7.4950142450142421</v>
      </c>
      <c r="BD90" s="12">
        <f>IF('Données projet'!$A$88&gt;35,BD89+BC90-BL89,IF(A90&lt;'Données projet'!$A$88,$BA$205^A90,IF(A90='Données projet'!$A$88,'Données projet'!$B$88,BD89+BC90-BL89)))</f>
        <v>280.86894586894613</v>
      </c>
      <c r="BE90" s="13">
        <f>BD90*VLOOKUP('Données projet'!$B$11,Paramètres!$A$1:$I$89,3,0)*VLOOKUP('Données projet'!$B$11,Paramètres!$A$1:$I$89,5,0)</f>
        <v>284.80111111111137</v>
      </c>
      <c r="BF90" s="13">
        <f t="shared" si="91"/>
        <v>67.98061554933885</v>
      </c>
      <c r="BG90" s="20">
        <f t="shared" si="61"/>
        <v>614.42817393361736</v>
      </c>
      <c r="BH90" s="59">
        <f t="shared" si="62"/>
        <v>907.76150726695073</v>
      </c>
      <c r="BI90" s="59">
        <f ca="1">AVERAGE(OFFSET($BH$3,0,0,'Données projet'!$E$11+1,1))-AVERAGE(OFFSET($H$3,0,0,'Données projet'!$E$11+1,1))</f>
        <v>425.47148407510412</v>
      </c>
      <c r="BJ90" s="59">
        <f t="shared" si="92"/>
        <v>308.54448799922471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31.964157028063376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31.964157028063376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-1.3596945791505279E-13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323.20040177531774</v>
      </c>
      <c r="T91" s="59">
        <f t="shared" si="88"/>
        <v>402.87981443974337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86.408170916497554</v>
      </c>
      <c r="AA91" s="21">
        <f>EXP(-LN(2)/25)*AA90+(1-EXP(-LN(2)/25))/(LN(2)/25)*Calculateur!V91*Calculateur!X91*VLOOKUP('Données projet'!$B$9,Paramètres!$A$1:$I$89,3,0)*0.475*44/12</f>
        <v>18.201599331862184</v>
      </c>
      <c r="AB91" s="21">
        <f>EXP(-LN(2)/2)*AB90+(1-EXP(-LN(2)/2))/(LN(2)/2)*V91*Y91*VLOOKUP('Données projet'!$B$9,Paramètres!$A$1:$I$89,3,0)*0.475*44/12</f>
        <v>6.1655229099745988E-4</v>
      </c>
      <c r="AC91" s="22">
        <f t="shared" si="57"/>
        <v>104.61038680065073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-1.1368683772161603E-13</v>
      </c>
      <c r="AJ91" s="13">
        <f>AI91*VLOOKUP('Données projet'!$B$10,Paramètres!$A$1:$I$89,3,0)*VLOOKUP('Données projet'!$B$10,Paramètres!$A$1:$I$89,5,0)</f>
        <v>-6.7984728957526396E-14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355.09162485318728</v>
      </c>
      <c r="AO91" s="59">
        <f t="shared" si="90"/>
        <v>320.06572891923685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140.61358699486109</v>
      </c>
      <c r="AV91" s="21">
        <f>EXP(-LN(2)/25)*AV90+(1-EXP(-LN(2)/25))/(LN(2)/25)*Calculateur!AQ91*Calculateur!AS91*VLOOKUP('Données projet'!$B$10,Paramètres!$A$1:$I$89,3,0)*0.475*44/12</f>
        <v>30.403250101113798</v>
      </c>
      <c r="AW91" s="21">
        <f>EXP(-LN(2)/2)*AW90+(1-EXP(-LN(2)/2))/(LN(2)/2)*AQ91*AT91*VLOOKUP('Données projet'!$B$10,Paramètres!$A$1:$I$89,3,0)*0.475*44/12</f>
        <v>0.7295333705693775</v>
      </c>
      <c r="AX91" s="21">
        <f t="shared" si="60"/>
        <v>171.74637046654428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7.4950142450142421</v>
      </c>
      <c r="BD91" s="12">
        <f>IF('Données projet'!$A$88&gt;35,BD90+BC91-BL90,IF(A91&lt;'Données projet'!$A$88,$BA$205^A91,IF(A91='Données projet'!$A$88,'Données projet'!$B$88,BD90+BC91-BL90)))</f>
        <v>288.36396011396039</v>
      </c>
      <c r="BE91" s="13">
        <f>BD91*VLOOKUP('Données projet'!$B$11,Paramètres!$A$1:$I$89,3,0)*VLOOKUP('Données projet'!$B$11,Paramètres!$A$1:$I$89,5,0)</f>
        <v>292.40105555555584</v>
      </c>
      <c r="BF91" s="13">
        <f t="shared" si="91"/>
        <v>69.581061965327606</v>
      </c>
      <c r="BG91" s="20">
        <f t="shared" si="61"/>
        <v>630.45218801553858</v>
      </c>
      <c r="BH91" s="59">
        <f t="shared" si="62"/>
        <v>923.78552134887195</v>
      </c>
      <c r="BI91" s="59">
        <f ca="1">AVERAGE(OFFSET($BH$3,0,0,'Données projet'!$E$11+1,1))-AVERAGE(OFFSET($H$3,0,0,'Données projet'!$E$11+1,1))</f>
        <v>425.47148407510412</v>
      </c>
      <c r="BJ91" s="59">
        <f t="shared" si="92"/>
        <v>308.54448799922471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31.337359404953748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31.337359404953748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-1.3596945791505279E-13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323.20040177531774</v>
      </c>
      <c r="T92" s="59">
        <f t="shared" si="88"/>
        <v>402.87981443974337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84.713759388605226</v>
      </c>
      <c r="AA92" s="21">
        <f>EXP(-LN(2)/25)*AA91+(1-EXP(-LN(2)/25))/(LN(2)/25)*Calculateur!V92*Calculateur!X92*VLOOKUP('Données projet'!$B$9,Paramètres!$A$1:$I$89,3,0)*0.475*44/12</f>
        <v>17.703875640951903</v>
      </c>
      <c r="AB92" s="21">
        <f>EXP(-LN(2)/2)*AB91+(1-EXP(-LN(2)/2))/(LN(2)/2)*V92*Y92*VLOOKUP('Données projet'!$B$9,Paramètres!$A$1:$I$89,3,0)*0.475*44/12</f>
        <v>4.3596830592040545E-4</v>
      </c>
      <c r="AC92" s="22">
        <f t="shared" si="57"/>
        <v>102.41807099786305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-1.1368683772161603E-13</v>
      </c>
      <c r="AJ92" s="13">
        <f>AI92*VLOOKUP('Données projet'!$B$10,Paramètres!$A$1:$I$89,3,0)*VLOOKUP('Données projet'!$B$10,Paramètres!$A$1:$I$89,5,0)</f>
        <v>-6.7984728957526396E-14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355.09162485318728</v>
      </c>
      <c r="AO92" s="59">
        <f t="shared" si="90"/>
        <v>320.06572891923685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137.85624031971128</v>
      </c>
      <c r="AV92" s="21">
        <f>EXP(-LN(2)/25)*AV91+(1-EXP(-LN(2)/25))/(LN(2)/25)*Calculateur!AQ92*Calculateur!AS92*VLOOKUP('Données projet'!$B$10,Paramètres!$A$1:$I$89,3,0)*0.475*44/12</f>
        <v>29.571871628261405</v>
      </c>
      <c r="AW92" s="21">
        <f>EXP(-LN(2)/2)*AW91+(1-EXP(-LN(2)/2))/(LN(2)/2)*AQ92*AT92*VLOOKUP('Données projet'!$B$10,Paramètres!$A$1:$I$89,3,0)*0.475*44/12</f>
        <v>0.51585799343148531</v>
      </c>
      <c r="AX92" s="21">
        <f t="shared" si="60"/>
        <v>167.94396994140419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>
        <f>VLOOKUP(A92,'Données projet'!$A$87:$I$107,2,0)</f>
        <v>295.85897435897436</v>
      </c>
      <c r="BB92" s="12">
        <f>VLOOKUP(A92,'Données projet'!$A$87:$I$107,9,0)</f>
        <v>7.4950142450142421</v>
      </c>
      <c r="BC92" s="12">
        <f t="array" ref="BC92">INDEX(BB:BB,MIN(IF(ISNUMBER(BB92:BB288),ROW(BB92:BB288),"")))</f>
        <v>7.4950142450142421</v>
      </c>
      <c r="BD92" s="12">
        <f>IF('Données projet'!$A$88&gt;35,BD91+BC92-BL91,IF(A92&lt;'Données projet'!$A$88,$BA$205^A92,IF(A92='Données projet'!$A$88,'Données projet'!$B$88,BD91+BC92-BL91)))</f>
        <v>295.85897435897465</v>
      </c>
      <c r="BE92" s="13">
        <f>BD92*VLOOKUP('Données projet'!$B$11,Paramètres!$A$1:$I$89,3,0)*VLOOKUP('Données projet'!$B$11,Paramètres!$A$1:$I$89,5,0)</f>
        <v>300.00100000000032</v>
      </c>
      <c r="BF92" s="13">
        <f t="shared" si="91"/>
        <v>71.176673114058119</v>
      </c>
      <c r="BG92" s="20">
        <f t="shared" si="61"/>
        <v>646.46778067365187</v>
      </c>
      <c r="BH92" s="59">
        <f t="shared" si="62"/>
        <v>939.80111400698524</v>
      </c>
      <c r="BI92" s="59">
        <f ca="1">AVERAGE(OFFSET($BH$3,0,0,'Données projet'!$E$11+1,1))-AVERAGE(OFFSET($H$3,0,0,'Données projet'!$E$11+1,1))</f>
        <v>425.47148407510412</v>
      </c>
      <c r="BJ92" s="59">
        <f t="shared" si="92"/>
        <v>308.54448799922471</v>
      </c>
      <c r="BK92" s="15">
        <f>IF(ISNA(VLOOKUP(A92,'Données projet'!$A$87:$I$107,3,0)),0,VLOOKUP(A92,'Données projet'!$A$87:$I$107,3,0))</f>
        <v>8</v>
      </c>
      <c r="BL92" s="15">
        <f>IF(ISNA(VLOOKUP(A92,'Données projet'!$A$87:$I$107,4,0)),0,VLOOKUP(A92,'Données projet'!$A$87:$I$107,4,0))</f>
        <v>49.391025641025635</v>
      </c>
      <c r="BM92" s="16">
        <f>IF(ISNA(VLOOKUP(A92,'Données projet'!$A$87:$I$107,5,0)),0%,VLOOKUP(A92,'Données projet'!$A$87:$I$107,5,0)*VLOOKUP('Données projet'!$B$11,Paramètres!$A$1:$I$89,7,0))</f>
        <v>0.30099999999999999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47.387633706095151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47.387633706095151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-1.3596945791505279E-13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323.20040177531774</v>
      </c>
      <c r="T93" s="59">
        <f t="shared" si="88"/>
        <v>402.87981443974337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83.052574237285882</v>
      </c>
      <c r="AA93" s="21">
        <f>EXP(-LN(2)/25)*AA92+(1-EXP(-LN(2)/25))/(LN(2)/25)*Calculateur!V93*Calculateur!X93*VLOOKUP('Données projet'!$B$9,Paramètres!$A$1:$I$89,3,0)*0.475*44/12</f>
        <v>17.219762230543715</v>
      </c>
      <c r="AB93" s="21">
        <f>EXP(-LN(2)/2)*AB92+(1-EXP(-LN(2)/2))/(LN(2)/2)*V93*Y93*VLOOKUP('Données projet'!$B$9,Paramètres!$A$1:$I$89,3,0)*0.475*44/12</f>
        <v>3.0827614549872994E-4</v>
      </c>
      <c r="AC93" s="22">
        <f t="shared" si="57"/>
        <v>100.27264474397511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-1.1368683772161603E-13</v>
      </c>
      <c r="AJ93" s="13">
        <f>AI93*VLOOKUP('Données projet'!$B$10,Paramètres!$A$1:$I$89,3,0)*VLOOKUP('Données projet'!$B$10,Paramètres!$A$1:$I$89,5,0)</f>
        <v>-6.7984728957526396E-14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355.09162485318728</v>
      </c>
      <c r="AO93" s="59">
        <f t="shared" si="90"/>
        <v>320.06572891923685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135.15296353104571</v>
      </c>
      <c r="AV93" s="21">
        <f>EXP(-LN(2)/25)*AV92+(1-EXP(-LN(2)/25))/(LN(2)/25)*Calculateur!AQ93*Calculateur!AS93*VLOOKUP('Données projet'!$B$10,Paramètres!$A$1:$I$89,3,0)*0.475*44/12</f>
        <v>28.763227243469455</v>
      </c>
      <c r="AW93" s="21">
        <f>EXP(-LN(2)/2)*AW92+(1-EXP(-LN(2)/2))/(LN(2)/2)*AQ93*AT93*VLOOKUP('Données projet'!$B$10,Paramètres!$A$1:$I$89,3,0)*0.475*44/12</f>
        <v>0.36476668528468875</v>
      </c>
      <c r="AX93" s="21">
        <f t="shared" si="60"/>
        <v>164.28095745979985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7.1782051282051267</v>
      </c>
      <c r="BD93" s="12">
        <f>IF('Données projet'!$A$88&gt;35,BD92+BC93-BL92,IF(A93&lt;'Données projet'!$A$88,$BA$205^A93,IF(A93='Données projet'!$A$88,'Données projet'!$B$88,BD92+BC93-BL92)))</f>
        <v>253.64615384615416</v>
      </c>
      <c r="BE93" s="13">
        <f>BD93*VLOOKUP('Données projet'!$B$11,Paramètres!$A$1:$I$89,3,0)*VLOOKUP('Données projet'!$B$11,Paramètres!$A$1:$I$89,5,0)</f>
        <v>257.19720000000035</v>
      </c>
      <c r="BF93" s="13">
        <f t="shared" si="91"/>
        <v>62.124557913773614</v>
      </c>
      <c r="BG93" s="20">
        <f t="shared" si="61"/>
        <v>556.15206169982298</v>
      </c>
      <c r="BH93" s="59">
        <f t="shared" si="62"/>
        <v>849.48539503315624</v>
      </c>
      <c r="BI93" s="59">
        <f ca="1">AVERAGE(OFFSET($BH$3,0,0,'Données projet'!$E$11+1,1))-AVERAGE(OFFSET($H$3,0,0,'Données projet'!$E$11+1,1))</f>
        <v>425.47148407510412</v>
      </c>
      <c r="BJ93" s="59">
        <f t="shared" si="92"/>
        <v>308.54448799922471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46.458391112721195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46.458391112721195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-1.3596945791505279E-13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323.20040177531774</v>
      </c>
      <c r="T94" s="59">
        <f t="shared" si="88"/>
        <v>402.87981443974337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81.423963913561025</v>
      </c>
      <c r="AA94" s="21">
        <f>EXP(-LN(2)/25)*AA93+(1-EXP(-LN(2)/25))/(LN(2)/25)*Calculateur!V94*Calculateur!X94*VLOOKUP('Données projet'!$B$9,Paramètres!$A$1:$I$89,3,0)*0.475*44/12</f>
        <v>16.748886926801557</v>
      </c>
      <c r="AB94" s="21">
        <f>EXP(-LN(2)/2)*AB93+(1-EXP(-LN(2)/2))/(LN(2)/2)*V94*Y94*VLOOKUP('Données projet'!$B$9,Paramètres!$A$1:$I$89,3,0)*0.475*44/12</f>
        <v>2.1798415296020272E-4</v>
      </c>
      <c r="AC94" s="22">
        <f t="shared" si="57"/>
        <v>98.173068824515539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-1.1368683772161603E-13</v>
      </c>
      <c r="AJ94" s="13">
        <f>AI94*VLOOKUP('Données projet'!$B$10,Paramètres!$A$1:$I$89,3,0)*VLOOKUP('Données projet'!$B$10,Paramètres!$A$1:$I$89,5,0)</f>
        <v>-6.7984728957526396E-14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355.09162485318728</v>
      </c>
      <c r="AO94" s="59">
        <f t="shared" si="90"/>
        <v>320.06572891923685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132.50269635136988</v>
      </c>
      <c r="AV94" s="21">
        <f>EXP(-LN(2)/25)*AV93+(1-EXP(-LN(2)/25))/(LN(2)/25)*Calculateur!AQ94*Calculateur!AS94*VLOOKUP('Données projet'!$B$10,Paramètres!$A$1:$I$89,3,0)*0.475*44/12</f>
        <v>27.976695281904401</v>
      </c>
      <c r="AW94" s="21">
        <f>EXP(-LN(2)/2)*AW93+(1-EXP(-LN(2)/2))/(LN(2)/2)*AQ94*AT94*VLOOKUP('Données projet'!$B$10,Paramètres!$A$1:$I$89,3,0)*0.475*44/12</f>
        <v>0.25792899671574265</v>
      </c>
      <c r="AX94" s="21">
        <f t="shared" si="60"/>
        <v>160.73732062999002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7.1782051282051267</v>
      </c>
      <c r="BD94" s="12">
        <f>IF('Données projet'!$A$88&gt;35,BD93+BC94-BL93,IF(A94&lt;'Données projet'!$A$88,$BA$205^A94,IF(A94='Données projet'!$A$88,'Données projet'!$B$88,BD93+BC94-BL93)))</f>
        <v>260.82435897435931</v>
      </c>
      <c r="BE94" s="13">
        <f>BD94*VLOOKUP('Données projet'!$B$11,Paramètres!$A$1:$I$89,3,0)*VLOOKUP('Données projet'!$B$11,Paramètres!$A$1:$I$89,5,0)</f>
        <v>264.47590000000037</v>
      </c>
      <c r="BF94" s="13">
        <f t="shared" si="91"/>
        <v>63.675509123397234</v>
      </c>
      <c r="BG94" s="20">
        <f t="shared" si="61"/>
        <v>571.53037088991744</v>
      </c>
      <c r="BH94" s="59">
        <f t="shared" si="62"/>
        <v>864.86370422325081</v>
      </c>
      <c r="BI94" s="59">
        <f ca="1">AVERAGE(OFFSET($BH$3,0,0,'Données projet'!$E$11+1,1))-AVERAGE(OFFSET($H$3,0,0,'Données projet'!$E$11+1,1))</f>
        <v>425.47148407510412</v>
      </c>
      <c r="BJ94" s="59">
        <f t="shared" si="92"/>
        <v>308.54448799922471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45.547370399821283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45.547370399821283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-1.3596945791505279E-13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323.20040177531774</v>
      </c>
      <c r="T95" s="59">
        <f t="shared" si="88"/>
        <v>402.87981443974337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79.82728964493019</v>
      </c>
      <c r="AA95" s="21">
        <f>EXP(-LN(2)/25)*AA94+(1-EXP(-LN(2)/25))/(LN(2)/25)*Calculateur!V95*Calculateur!X95*VLOOKUP('Données projet'!$B$9,Paramètres!$A$1:$I$89,3,0)*0.475*44/12</f>
        <v>16.290887733002485</v>
      </c>
      <c r="AB95" s="21">
        <f>EXP(-LN(2)/2)*AB94+(1-EXP(-LN(2)/2))/(LN(2)/2)*V95*Y95*VLOOKUP('Données projet'!$B$9,Paramètres!$A$1:$I$89,3,0)*0.475*44/12</f>
        <v>1.5413807274936497E-4</v>
      </c>
      <c r="AC95" s="22">
        <f t="shared" si="57"/>
        <v>96.118331516005426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-1.1368683772161603E-13</v>
      </c>
      <c r="AJ95" s="13">
        <f>AI95*VLOOKUP('Données projet'!$B$10,Paramètres!$A$1:$I$89,3,0)*VLOOKUP('Données projet'!$B$10,Paramètres!$A$1:$I$89,5,0)</f>
        <v>-6.7984728957526396E-14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355.09162485318728</v>
      </c>
      <c r="AO95" s="59">
        <f t="shared" si="90"/>
        <v>320.06572891923685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129.9043992945841</v>
      </c>
      <c r="AV95" s="21">
        <f>EXP(-LN(2)/25)*AV94+(1-EXP(-LN(2)/25))/(LN(2)/25)*Calculateur!AQ95*Calculateur!AS95*VLOOKUP('Données projet'!$B$10,Paramètres!$A$1:$I$89,3,0)*0.475*44/12</f>
        <v>27.211671078190264</v>
      </c>
      <c r="AW95" s="21">
        <f>EXP(-LN(2)/2)*AW94+(1-EXP(-LN(2)/2))/(LN(2)/2)*AQ95*AT95*VLOOKUP('Données projet'!$B$10,Paramètres!$A$1:$I$89,3,0)*0.475*44/12</f>
        <v>0.18238334264234438</v>
      </c>
      <c r="AX95" s="21">
        <f t="shared" si="60"/>
        <v>157.29845371541668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7.1782051282051267</v>
      </c>
      <c r="BD95" s="12">
        <f>IF('Données projet'!$A$88&gt;35,BD94+BC95-BL94,IF(A95&lt;'Données projet'!$A$88,$BA$205^A95,IF(A95='Données projet'!$A$88,'Données projet'!$B$88,BD94+BC95-BL94)))</f>
        <v>268.00256410256446</v>
      </c>
      <c r="BE95" s="13">
        <f>BD95*VLOOKUP('Données projet'!$B$11,Paramètres!$A$1:$I$89,3,0)*VLOOKUP('Données projet'!$B$11,Paramètres!$A$1:$I$89,5,0)</f>
        <v>271.75460000000038</v>
      </c>
      <c r="BF95" s="13">
        <f t="shared" si="91"/>
        <v>65.221499194772917</v>
      </c>
      <c r="BG95" s="20">
        <f t="shared" si="61"/>
        <v>586.90003943089675</v>
      </c>
      <c r="BH95" s="59">
        <f t="shared" si="62"/>
        <v>880.23337276423013</v>
      </c>
      <c r="BI95" s="59">
        <f ca="1">AVERAGE(OFFSET($BH$3,0,0,'Données projet'!$E$11+1,1))-AVERAGE(OFFSET($H$3,0,0,'Données projet'!$E$11+1,1))</f>
        <v>425.47148407510412</v>
      </c>
      <c r="BJ95" s="59">
        <f t="shared" si="92"/>
        <v>308.54448799922471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44.654214247433572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44.654214247433572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-1.3596945791505279E-13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323.20040177531774</v>
      </c>
      <c r="T96" s="59">
        <f t="shared" si="88"/>
        <v>402.87981443974337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78.261925184832066</v>
      </c>
      <c r="AA96" s="21">
        <f>EXP(-LN(2)/25)*AA95+(1-EXP(-LN(2)/25))/(LN(2)/25)*Calculateur!V96*Calculateur!X96*VLOOKUP('Données projet'!$B$9,Paramètres!$A$1:$I$89,3,0)*0.475*44/12</f>
        <v>15.84541255124298</v>
      </c>
      <c r="AB96" s="21">
        <f>EXP(-LN(2)/2)*AB95+(1-EXP(-LN(2)/2))/(LN(2)/2)*V96*Y96*VLOOKUP('Données projet'!$B$9,Paramètres!$A$1:$I$89,3,0)*0.475*44/12</f>
        <v>1.0899207648010136E-4</v>
      </c>
      <c r="AC96" s="22">
        <f t="shared" si="57"/>
        <v>94.107446728151515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-1.1368683772161603E-13</v>
      </c>
      <c r="AJ96" s="13">
        <f>AI96*VLOOKUP('Données projet'!$B$10,Paramètres!$A$1:$I$89,3,0)*VLOOKUP('Données projet'!$B$10,Paramètres!$A$1:$I$89,5,0)</f>
        <v>-6.7984728957526396E-14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355.09162485318728</v>
      </c>
      <c r="AO96" s="59">
        <f t="shared" si="90"/>
        <v>320.06572891923685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127.35705325827718</v>
      </c>
      <c r="AV96" s="21">
        <f>EXP(-LN(2)/25)*AV95+(1-EXP(-LN(2)/25))/(LN(2)/25)*Calculateur!AQ96*Calculateur!AS96*VLOOKUP('Données projet'!$B$10,Paramètres!$A$1:$I$89,3,0)*0.475*44/12</f>
        <v>26.467566501557563</v>
      </c>
      <c r="AW96" s="21">
        <f>EXP(-LN(2)/2)*AW95+(1-EXP(-LN(2)/2))/(LN(2)/2)*AQ96*AT96*VLOOKUP('Données projet'!$B$10,Paramètres!$A$1:$I$89,3,0)*0.475*44/12</f>
        <v>0.12896449835787133</v>
      </c>
      <c r="AX96" s="21">
        <f t="shared" si="60"/>
        <v>153.95358425819262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7.1782051282051267</v>
      </c>
      <c r="BD96" s="12">
        <f>IF('Données projet'!$A$88&gt;35,BD95+BC96-BL95,IF(A96&lt;'Données projet'!$A$88,$BA$205^A96,IF(A96='Données projet'!$A$88,'Données projet'!$B$88,BD95+BC96-BL95)))</f>
        <v>275.18076923076961</v>
      </c>
      <c r="BE96" s="13">
        <f>BD96*VLOOKUP('Données projet'!$B$11,Paramètres!$A$1:$I$89,3,0)*VLOOKUP('Données projet'!$B$11,Paramètres!$A$1:$I$89,5,0)</f>
        <v>279.03330000000039</v>
      </c>
      <c r="BF96" s="13">
        <f t="shared" si="91"/>
        <v>66.762676279521131</v>
      </c>
      <c r="BG96" s="20">
        <f t="shared" si="61"/>
        <v>602.26132535349996</v>
      </c>
      <c r="BH96" s="59">
        <f t="shared" si="62"/>
        <v>895.59465868683333</v>
      </c>
      <c r="BI96" s="59">
        <f ca="1">AVERAGE(OFFSET($BH$3,0,0,'Données projet'!$E$11+1,1))-AVERAGE(OFFSET($H$3,0,0,'Données projet'!$E$11+1,1))</f>
        <v>425.47148407510412</v>
      </c>
      <c r="BJ96" s="59">
        <f t="shared" si="92"/>
        <v>308.54448799922471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43.77857234242272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43.77857234242272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-1.3596945791505279E-13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323.20040177531774</v>
      </c>
      <c r="T97" s="59">
        <f t="shared" si="88"/>
        <v>402.87981443974337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76.727256567018429</v>
      </c>
      <c r="AA97" s="21">
        <f>EXP(-LN(2)/25)*AA96+(1-EXP(-LN(2)/25))/(LN(2)/25)*Calculateur!V97*Calculateur!X97*VLOOKUP('Données projet'!$B$9,Paramètres!$A$1:$I$89,3,0)*0.475*44/12</f>
        <v>15.41211891175521</v>
      </c>
      <c r="AB97" s="21">
        <f>EXP(-LN(2)/2)*AB96+(1-EXP(-LN(2)/2))/(LN(2)/2)*V97*Y97*VLOOKUP('Données projet'!$B$9,Paramètres!$A$1:$I$89,3,0)*0.475*44/12</f>
        <v>7.7069036374682485E-5</v>
      </c>
      <c r="AC97" s="22">
        <f t="shared" si="57"/>
        <v>92.139452547810023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-1.1368683772161603E-13</v>
      </c>
      <c r="AJ97" s="13">
        <f>AI97*VLOOKUP('Données projet'!$B$10,Paramètres!$A$1:$I$89,3,0)*VLOOKUP('Données projet'!$B$10,Paramètres!$A$1:$I$89,5,0)</f>
        <v>-6.7984728957526396E-14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355.09162485318728</v>
      </c>
      <c r="AO97" s="59">
        <f t="shared" si="90"/>
        <v>320.06572891923685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124.85965912401457</v>
      </c>
      <c r="AV97" s="21">
        <f>EXP(-LN(2)/25)*AV96+(1-EXP(-LN(2)/25))/(LN(2)/25)*Calculateur!AQ97*Calculateur!AS97*VLOOKUP('Données projet'!$B$10,Paramètres!$A$1:$I$89,3,0)*0.475*44/12</f>
        <v>25.743809503703641</v>
      </c>
      <c r="AW97" s="21">
        <f>EXP(-LN(2)/2)*AW96+(1-EXP(-LN(2)/2))/(LN(2)/2)*AQ97*AT97*VLOOKUP('Données projet'!$B$10,Paramètres!$A$1:$I$89,3,0)*0.475*44/12</f>
        <v>9.1191671321172188E-2</v>
      </c>
      <c r="AX97" s="21">
        <f t="shared" si="60"/>
        <v>150.69466029903938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7.1782051282051267</v>
      </c>
      <c r="BD97" s="12">
        <f>IF('Données projet'!$A$88&gt;35,BD96+BC97-BL96,IF(A97&lt;'Données projet'!$A$88,$BA$205^A97,IF(A97='Données projet'!$A$88,'Données projet'!$B$88,BD96+BC97-BL96)))</f>
        <v>282.35897435897476</v>
      </c>
      <c r="BE97" s="13">
        <f>BD97*VLOOKUP('Données projet'!$B$11,Paramètres!$A$1:$I$89,3,0)*VLOOKUP('Données projet'!$B$11,Paramètres!$A$1:$I$89,5,0)</f>
        <v>286.31200000000047</v>
      </c>
      <c r="BF97" s="13">
        <f t="shared" si="91"/>
        <v>68.299180359837749</v>
      </c>
      <c r="BG97" s="20">
        <f t="shared" si="61"/>
        <v>617.6144724600515</v>
      </c>
      <c r="BH97" s="59">
        <f t="shared" si="62"/>
        <v>910.94780579338476</v>
      </c>
      <c r="BI97" s="59">
        <f ca="1">AVERAGE(OFFSET($BH$3,0,0,'Données projet'!$E$11+1,1))-AVERAGE(OFFSET($H$3,0,0,'Données projet'!$E$11+1,1))</f>
        <v>425.47148407510412</v>
      </c>
      <c r="BJ97" s="59">
        <f t="shared" si="92"/>
        <v>308.54448799922471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42.92010124108031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42.92010124108031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-1.3596945791505279E-13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323.20040177531774</v>
      </c>
      <c r="T98" s="59">
        <f t="shared" si="88"/>
        <v>402.87981443974337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75.222681864744686</v>
      </c>
      <c r="AA98" s="21">
        <f>EXP(-LN(2)/25)*AA97+(1-EXP(-LN(2)/25))/(LN(2)/25)*Calculateur!V98*Calculateur!X98*VLOOKUP('Données projet'!$B$9,Paramètres!$A$1:$I$89,3,0)*0.475*44/12</f>
        <v>14.990673709625154</v>
      </c>
      <c r="AB98" s="21">
        <f>EXP(-LN(2)/2)*AB97+(1-EXP(-LN(2)/2))/(LN(2)/2)*V98*Y98*VLOOKUP('Données projet'!$B$9,Paramètres!$A$1:$I$89,3,0)*0.475*44/12</f>
        <v>5.4496038240050681E-5</v>
      </c>
      <c r="AC98" s="22">
        <f t="shared" si="57"/>
        <v>90.213410070408088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-1.1368683772161603E-13</v>
      </c>
      <c r="AJ98" s="13">
        <f>AI98*VLOOKUP('Données projet'!$B$10,Paramètres!$A$1:$I$89,3,0)*VLOOKUP('Données projet'!$B$10,Paramètres!$A$1:$I$89,5,0)</f>
        <v>-6.7984728957526396E-14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355.09162485318728</v>
      </c>
      <c r="AO98" s="59">
        <f t="shared" si="90"/>
        <v>320.06572891923685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122.41123736546484</v>
      </c>
      <c r="AV98" s="21">
        <f>EXP(-LN(2)/25)*AV97+(1-EXP(-LN(2)/25))/(LN(2)/25)*Calculateur!AQ98*Calculateur!AS98*VLOOKUP('Données projet'!$B$10,Paramètres!$A$1:$I$89,3,0)*0.475*44/12</f>
        <v>25.039843679016762</v>
      </c>
      <c r="AW98" s="21">
        <f>EXP(-LN(2)/2)*AW97+(1-EXP(-LN(2)/2))/(LN(2)/2)*AQ98*AT98*VLOOKUP('Données projet'!$B$10,Paramètres!$A$1:$I$89,3,0)*0.475*44/12</f>
        <v>6.4482249178935663E-2</v>
      </c>
      <c r="AX98" s="21">
        <f t="shared" si="60"/>
        <v>147.51556329366053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7.1782051282051267</v>
      </c>
      <c r="BD98" s="12">
        <f>IF('Données projet'!$A$88&gt;35,BD97+BC98-BL97,IF(A98&lt;'Données projet'!$A$88,$BA$205^A98,IF(A98='Données projet'!$A$88,'Données projet'!$B$88,BD97+BC98-BL97)))</f>
        <v>289.53717948717991</v>
      </c>
      <c r="BE98" s="13">
        <f>BD98*VLOOKUP('Données projet'!$B$11,Paramètres!$A$1:$I$89,3,0)*VLOOKUP('Données projet'!$B$11,Paramètres!$A$1:$I$89,5,0)</f>
        <v>293.59070000000042</v>
      </c>
      <c r="BF98" s="13">
        <f t="shared" si="91"/>
        <v>69.831143895049522</v>
      </c>
      <c r="BG98" s="20">
        <f t="shared" si="61"/>
        <v>632.95971145054534</v>
      </c>
      <c r="BH98" s="59">
        <f t="shared" si="62"/>
        <v>926.29304478387871</v>
      </c>
      <c r="BI98" s="59">
        <f ca="1">AVERAGE(OFFSET($BH$3,0,0,'Données projet'!$E$11+1,1))-AVERAGE(OFFSET($H$3,0,0,'Données projet'!$E$11+1,1))</f>
        <v>425.47148407510412</v>
      </c>
      <c r="BJ98" s="59">
        <f t="shared" si="92"/>
        <v>308.54448799922471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42.078464234419556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42.078464234419556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-1.3596945791505279E-13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323.20040177531774</v>
      </c>
      <c r="T99" s="59">
        <f t="shared" si="88"/>
        <v>402.87981443974337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73.747610954682571</v>
      </c>
      <c r="AA99" s="21">
        <f>EXP(-LN(2)/25)*AA98+(1-EXP(-LN(2)/25))/(LN(2)/25)*Calculateur!V99*Calculateur!X99*VLOOKUP('Données projet'!$B$9,Paramètres!$A$1:$I$89,3,0)*0.475*44/12</f>
        <v>14.580752948710186</v>
      </c>
      <c r="AB99" s="21">
        <f>EXP(-LN(2)/2)*AB98+(1-EXP(-LN(2)/2))/(LN(2)/2)*V99*Y99*VLOOKUP('Données projet'!$B$9,Paramètres!$A$1:$I$89,3,0)*0.475*44/12</f>
        <v>3.8534518187341243E-5</v>
      </c>
      <c r="AC99" s="22">
        <f t="shared" si="57"/>
        <v>88.328402437910938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-1.1368683772161603E-13</v>
      </c>
      <c r="AJ99" s="13">
        <f>AI99*VLOOKUP('Données projet'!$B$10,Paramètres!$A$1:$I$89,3,0)*VLOOKUP('Données projet'!$B$10,Paramètres!$A$1:$I$89,5,0)</f>
        <v>-6.7984728957526396E-14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355.09162485318728</v>
      </c>
      <c r="AO99" s="59">
        <f t="shared" si="90"/>
        <v>320.06572891923685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120.01082766421047</v>
      </c>
      <c r="AV99" s="21">
        <f>EXP(-LN(2)/25)*AV98+(1-EXP(-LN(2)/25))/(LN(2)/25)*Calculateur!AQ99*Calculateur!AS99*VLOOKUP('Données projet'!$B$10,Paramètres!$A$1:$I$89,3,0)*0.475*44/12</f>
        <v>24.355127836825901</v>
      </c>
      <c r="AW99" s="21">
        <f>EXP(-LN(2)/2)*AW98+(1-EXP(-LN(2)/2))/(LN(2)/2)*AQ99*AT99*VLOOKUP('Données projet'!$B$10,Paramètres!$A$1:$I$89,3,0)*0.475*44/12</f>
        <v>4.5595835660586094E-2</v>
      </c>
      <c r="AX99" s="21">
        <f t="shared" si="60"/>
        <v>144.41155133669693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7.1782051282051267</v>
      </c>
      <c r="BD99" s="12">
        <f>IF('Données projet'!$A$88&gt;35,BD98+BC99-BL98,IF(A99&lt;'Données projet'!$A$88,$BA$205^A99,IF(A99='Données projet'!$A$88,'Données projet'!$B$88,BD98+BC99-BL98)))</f>
        <v>296.71538461538506</v>
      </c>
      <c r="BE99" s="13">
        <f>BD99*VLOOKUP('Données projet'!$B$11,Paramètres!$A$1:$I$89,3,0)*VLOOKUP('Données projet'!$B$11,Paramètres!$A$1:$I$89,5,0)</f>
        <v>300.8694000000005</v>
      </c>
      <c r="BF99" s="13">
        <f t="shared" si="91"/>
        <v>71.35869240224595</v>
      </c>
      <c r="BG99" s="20">
        <f t="shared" si="61"/>
        <v>648.29726093391253</v>
      </c>
      <c r="BH99" s="59">
        <f t="shared" si="62"/>
        <v>941.6305942672459</v>
      </c>
      <c r="BI99" s="59">
        <f ca="1">AVERAGE(OFFSET($BH$3,0,0,'Données projet'!$E$11+1,1))-AVERAGE(OFFSET($H$3,0,0,'Données projet'!$E$11+1,1))</f>
        <v>425.47148407510412</v>
      </c>
      <c r="BJ99" s="59">
        <f t="shared" si="92"/>
        <v>308.54448799922471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41.253331216111533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41.253331216111533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-1.3596945791505279E-13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323.20040177531774</v>
      </c>
      <c r="T100" s="59">
        <f t="shared" si="88"/>
        <v>402.87981443974337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72.301465285462371</v>
      </c>
      <c r="AA100" s="21">
        <f>EXP(-LN(2)/25)*AA99+(1-EXP(-LN(2)/25))/(LN(2)/25)*Calculateur!V100*Calculateur!X100*VLOOKUP('Données projet'!$B$9,Paramètres!$A$1:$I$89,3,0)*0.475*44/12</f>
        <v>14.182041492559234</v>
      </c>
      <c r="AB100" s="21">
        <f>EXP(-LN(2)/2)*AB99+(1-EXP(-LN(2)/2))/(LN(2)/2)*V100*Y100*VLOOKUP('Données projet'!$B$9,Paramètres!$A$1:$I$89,3,0)*0.475*44/12</f>
        <v>2.724801912002534E-5</v>
      </c>
      <c r="AC100" s="22">
        <f t="shared" si="57"/>
        <v>86.483534026040729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-1.1368683772161603E-13</v>
      </c>
      <c r="AJ100" s="13">
        <f>AI100*VLOOKUP('Données projet'!$B$10,Paramètres!$A$1:$I$89,3,0)*VLOOKUP('Données projet'!$B$10,Paramètres!$A$1:$I$89,5,0)</f>
        <v>-6.7984728957526396E-14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355.09162485318728</v>
      </c>
      <c r="AO100" s="59">
        <f t="shared" si="90"/>
        <v>320.06572891923685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117.65748853309233</v>
      </c>
      <c r="AV100" s="21">
        <f>EXP(-LN(2)/25)*AV99+(1-EXP(-LN(2)/25))/(LN(2)/25)*Calculateur!AQ100*Calculateur!AS100*VLOOKUP('Données projet'!$B$10,Paramètres!$A$1:$I$89,3,0)*0.475*44/12</f>
        <v>23.689135585347387</v>
      </c>
      <c r="AW100" s="21">
        <f>EXP(-LN(2)/2)*AW99+(1-EXP(-LN(2)/2))/(LN(2)/2)*AQ100*AT100*VLOOKUP('Données projet'!$B$10,Paramètres!$A$1:$I$89,3,0)*0.475*44/12</f>
        <v>3.2241124589467832E-2</v>
      </c>
      <c r="AX100" s="21">
        <f t="shared" si="60"/>
        <v>141.37886524302917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7.1782051282051267</v>
      </c>
      <c r="BD100" s="12">
        <f>IF('Données projet'!$A$88&gt;35,BD99+BC100-BL99,IF(A100&lt;'Données projet'!$A$88,$BA$205^A100,IF(A100='Données projet'!$A$88,'Données projet'!$B$88,BD99+BC100-BL99)))</f>
        <v>303.89358974359021</v>
      </c>
      <c r="BE100" s="13">
        <f>BD100*VLOOKUP('Données projet'!$B$11,Paramètres!$A$1:$I$89,3,0)*VLOOKUP('Données projet'!$B$11,Paramètres!$A$1:$I$89,5,0)</f>
        <v>308.14810000000051</v>
      </c>
      <c r="BF100" s="13">
        <f t="shared" si="91"/>
        <v>72.881944979142219</v>
      </c>
      <c r="BG100" s="20">
        <f t="shared" si="61"/>
        <v>663.62732833867358</v>
      </c>
      <c r="BH100" s="59">
        <f t="shared" si="62"/>
        <v>956.96066167200684</v>
      </c>
      <c r="BI100" s="59">
        <f ca="1">AVERAGE(OFFSET($BH$3,0,0,'Données projet'!$E$11+1,1))-AVERAGE(OFFSET($H$3,0,0,'Données projet'!$E$11+1,1))</f>
        <v>425.47148407510412</v>
      </c>
      <c r="BJ100" s="59">
        <f t="shared" si="92"/>
        <v>308.54448799922471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40.444378553011084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40.444378553011084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-1.3596945791505279E-13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323.20040177531774</v>
      </c>
      <c r="T101" s="59">
        <f t="shared" si="88"/>
        <v>402.87981443974337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70.88367765075381</v>
      </c>
      <c r="AA101" s="21">
        <f>EXP(-LN(2)/25)*AA100+(1-EXP(-LN(2)/25))/(LN(2)/25)*Calculateur!V101*Calculateur!X101*VLOOKUP('Données projet'!$B$9,Paramètres!$A$1:$I$89,3,0)*0.475*44/12</f>
        <v>13.794232822144053</v>
      </c>
      <c r="AB101" s="21">
        <f>EXP(-LN(2)/2)*AB100+(1-EXP(-LN(2)/2))/(LN(2)/2)*V101*Y101*VLOOKUP('Données projet'!$B$9,Paramètres!$A$1:$I$89,3,0)*0.475*44/12</f>
        <v>1.9267259093670621E-5</v>
      </c>
      <c r="AC101" s="22">
        <f t="shared" si="57"/>
        <v>84.677929740156955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-1.1368683772161603E-13</v>
      </c>
      <c r="AJ101" s="13">
        <f>AI101*VLOOKUP('Données projet'!$B$10,Paramètres!$A$1:$I$89,3,0)*VLOOKUP('Données projet'!$B$10,Paramètres!$A$1:$I$89,5,0)</f>
        <v>-6.7984728957526396E-14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355.09162485318728</v>
      </c>
      <c r="AO101" s="59">
        <f t="shared" si="90"/>
        <v>320.06572891923685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115.35029694694029</v>
      </c>
      <c r="AV101" s="21">
        <f>EXP(-LN(2)/25)*AV100+(1-EXP(-LN(2)/25))/(LN(2)/25)*Calculateur!AQ101*Calculateur!AS101*VLOOKUP('Données projet'!$B$10,Paramètres!$A$1:$I$89,3,0)*0.475*44/12</f>
        <v>23.041354927008566</v>
      </c>
      <c r="AW101" s="21">
        <f>EXP(-LN(2)/2)*AW100+(1-EXP(-LN(2)/2))/(LN(2)/2)*AQ101*AT101*VLOOKUP('Données projet'!$B$10,Paramètres!$A$1:$I$89,3,0)*0.475*44/12</f>
        <v>2.2797917830293047E-2</v>
      </c>
      <c r="AX101" s="21">
        <f t="shared" si="60"/>
        <v>138.41444979177916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7.1782051282051267</v>
      </c>
      <c r="BD101" s="12">
        <f>IF('Données projet'!$A$88&gt;35,BD100+BC101-BL100,IF(A101&lt;'Données projet'!$A$88,$BA$205^A101,IF(A101='Données projet'!$A$88,'Données projet'!$B$88,BD100+BC101-BL100)))</f>
        <v>311.07179487179536</v>
      </c>
      <c r="BE101" s="13">
        <f>BD101*VLOOKUP('Données projet'!$B$11,Paramètres!$A$1:$I$89,3,0)*VLOOKUP('Données projet'!$B$11,Paramètres!$A$1:$I$89,5,0)</f>
        <v>315.42680000000053</v>
      </c>
      <c r="BF101" s="13">
        <f t="shared" si="91"/>
        <v>74.401014776148614</v>
      </c>
      <c r="BG101" s="20">
        <f t="shared" si="61"/>
        <v>678.95011073512637</v>
      </c>
      <c r="BH101" s="59">
        <f t="shared" si="62"/>
        <v>972.28344406845963</v>
      </c>
      <c r="BI101" s="59">
        <f ca="1">AVERAGE(OFFSET($BH$3,0,0,'Données projet'!$E$11+1,1))-AVERAGE(OFFSET($H$3,0,0,'Données projet'!$E$11+1,1))</f>
        <v>425.47148407510412</v>
      </c>
      <c r="BJ101" s="59">
        <f t="shared" si="92"/>
        <v>308.54448799922471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39.651288958221627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39.651288958221627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-1.3596945791505279E-13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323.20040177531774</v>
      </c>
      <c r="T102" s="59">
        <f t="shared" si="88"/>
        <v>402.87981443974337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69.493691966796817</v>
      </c>
      <c r="AA102" s="21">
        <f>EXP(-LN(2)/25)*AA101+(1-EXP(-LN(2)/25))/(LN(2)/25)*Calculateur!V102*Calculateur!X102*VLOOKUP('Données projet'!$B$9,Paramètres!$A$1:$I$89,3,0)*0.475*44/12</f>
        <v>13.417028800215347</v>
      </c>
      <c r="AB102" s="21">
        <f>EXP(-LN(2)/2)*AB101+(1-EXP(-LN(2)/2))/(LN(2)/2)*V102*Y102*VLOOKUP('Données projet'!$B$9,Paramètres!$A$1:$I$89,3,0)*0.475*44/12</f>
        <v>1.362400956001267E-5</v>
      </c>
      <c r="AC102" s="22">
        <f t="shared" si="57"/>
        <v>82.91073439102172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-1.1368683772161603E-13</v>
      </c>
      <c r="AJ102" s="13">
        <f>AI102*VLOOKUP('Données projet'!$B$10,Paramètres!$A$1:$I$89,3,0)*VLOOKUP('Données projet'!$B$10,Paramètres!$A$1:$I$89,5,0)</f>
        <v>-6.7984728957526396E-14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355.09162485318728</v>
      </c>
      <c r="AO102" s="59">
        <f t="shared" si="90"/>
        <v>320.06572891923685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113.08834798054478</v>
      </c>
      <c r="AV102" s="21">
        <f>EXP(-LN(2)/25)*AV101+(1-EXP(-LN(2)/25))/(LN(2)/25)*Calculateur!AQ102*Calculateur!AS102*VLOOKUP('Données projet'!$B$10,Paramètres!$A$1:$I$89,3,0)*0.475*44/12</f>
        <v>22.411287864837323</v>
      </c>
      <c r="AW102" s="21">
        <f>EXP(-LN(2)/2)*AW101+(1-EXP(-LN(2)/2))/(LN(2)/2)*AQ102*AT102*VLOOKUP('Données projet'!$B$10,Paramètres!$A$1:$I$89,3,0)*0.475*44/12</f>
        <v>1.6120562294733916E-2</v>
      </c>
      <c r="AX102" s="21">
        <f t="shared" si="60"/>
        <v>135.51575640767683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318.25</v>
      </c>
      <c r="BB102" s="12">
        <f>VLOOKUP(A102,'Données projet'!$A$87:$I$107,9,0)</f>
        <v>7.1782051282051267</v>
      </c>
      <c r="BC102" s="12">
        <f t="array" ref="BC102">INDEX(BB:BB,MIN(IF(ISNUMBER(BB102:BB298),ROW(BB102:BB298),"")))</f>
        <v>7.1782051282051267</v>
      </c>
      <c r="BD102" s="12">
        <f>IF('Données projet'!$A$88&gt;35,BD101+BC102-BL101,IF(A102&lt;'Données projet'!$A$88,$BA$205^A102,IF(A102='Données projet'!$A$88,'Données projet'!$B$88,BD101+BC102-BL101)))</f>
        <v>318.25000000000051</v>
      </c>
      <c r="BE102" s="13">
        <f>BD102*VLOOKUP('Données projet'!$B$11,Paramètres!$A$1:$I$89,3,0)*VLOOKUP('Données projet'!$B$11,Paramètres!$A$1:$I$89,5,0)</f>
        <v>322.70550000000054</v>
      </c>
      <c r="BF102" s="13">
        <f t="shared" si="91"/>
        <v>75.916009423638798</v>
      </c>
      <c r="BG102" s="20">
        <f t="shared" si="61"/>
        <v>694.26579557950515</v>
      </c>
      <c r="BH102" s="59">
        <f t="shared" si="62"/>
        <v>987.59912891283852</v>
      </c>
      <c r="BI102" s="59">
        <f ca="1">AVERAGE(OFFSET($BH$3,0,0,'Données projet'!$E$11+1,1))-AVERAGE(OFFSET($H$3,0,0,'Données projet'!$E$11+1,1))</f>
        <v>425.47148407510412</v>
      </c>
      <c r="BJ102" s="59">
        <f t="shared" si="92"/>
        <v>308.54448799922471</v>
      </c>
      <c r="BK102" s="15">
        <f>IF(ISNA(VLOOKUP(A102,'Données projet'!$A$87:$I$107,3,0)),0,VLOOKUP(A102,'Données projet'!$A$87:$I$107,3,0))</f>
        <v>9</v>
      </c>
      <c r="BL102" s="15">
        <f>IF(ISNA(VLOOKUP(A102,'Données projet'!$A$87:$I$107,4,0)),0,VLOOKUP(A102,'Données projet'!$A$87:$I$107,4,0))</f>
        <v>48.019230769230766</v>
      </c>
      <c r="BM102" s="16">
        <f>IF(ISNA(VLOOKUP(A102,'Données projet'!$A$87:$I$107,5,0)),0%,VLOOKUP(A102,'Données projet'!$A$87:$I$107,5,0)*VLOOKUP('Données projet'!$B$11,Paramètres!$A$1:$I$89,7,0))</f>
        <v>0.30099999999999999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55.075681673142725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55.075681673142725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-1.3596945791505279E-13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323.20040177531774</v>
      </c>
      <c r="T103" s="59">
        <f t="shared" si="88"/>
        <v>402.87981443974337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68.130963054294668</v>
      </c>
      <c r="AA103" s="21">
        <f>EXP(-LN(2)/25)*AA102+(1-EXP(-LN(2)/25))/(LN(2)/25)*Calculateur!V103*Calculateur!X103*VLOOKUP('Données projet'!$B$9,Paramètres!$A$1:$I$89,3,0)*0.475*44/12</f>
        <v>13.050139442102578</v>
      </c>
      <c r="AB103" s="21">
        <f>EXP(-LN(2)/2)*AB102+(1-EXP(-LN(2)/2))/(LN(2)/2)*V103*Y103*VLOOKUP('Données projet'!$B$9,Paramètres!$A$1:$I$89,3,0)*0.475*44/12</f>
        <v>9.6336295468353106E-6</v>
      </c>
      <c r="AC103" s="22">
        <f t="shared" si="57"/>
        <v>81.18111213002679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-1.1368683772161603E-13</v>
      </c>
      <c r="AJ103" s="13">
        <f>AI103*VLOOKUP('Données projet'!$B$10,Paramètres!$A$1:$I$89,3,0)*VLOOKUP('Données projet'!$B$10,Paramètres!$A$1:$I$89,5,0)</f>
        <v>-6.7984728957526396E-14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355.09162485318728</v>
      </c>
      <c r="AO103" s="59">
        <f t="shared" si="90"/>
        <v>320.06572891923685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110.87075445372764</v>
      </c>
      <c r="AV103" s="21">
        <f>EXP(-LN(2)/25)*AV102+(1-EXP(-LN(2)/25))/(LN(2)/25)*Calculateur!AQ103*Calculateur!AS103*VLOOKUP('Données projet'!$B$10,Paramètres!$A$1:$I$89,3,0)*0.475*44/12</f>
        <v>21.79845001961494</v>
      </c>
      <c r="AW103" s="21">
        <f>EXP(-LN(2)/2)*AW102+(1-EXP(-LN(2)/2))/(LN(2)/2)*AQ103*AT103*VLOOKUP('Données projet'!$B$10,Paramètres!$A$1:$I$89,3,0)*0.475*44/12</f>
        <v>1.1398958915146523E-2</v>
      </c>
      <c r="AX103" s="21">
        <f t="shared" si="60"/>
        <v>132.68060343225773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6.9935897435897401</v>
      </c>
      <c r="BD103" s="12">
        <f>IF('Données projet'!$A$88&gt;35,BD102+BC103-BL102,IF(A103&lt;'Données projet'!$A$88,$BA$205^A103,IF(A103='Données projet'!$A$88,'Données projet'!$B$88,BD102+BC103-BL102)))</f>
        <v>277.22435897435946</v>
      </c>
      <c r="BE103" s="13">
        <f>BD103*VLOOKUP('Données projet'!$B$11,Paramètres!$A$1:$I$89,3,0)*VLOOKUP('Données projet'!$B$11,Paramètres!$A$1:$I$89,5,0)</f>
        <v>281.10550000000052</v>
      </c>
      <c r="BF103" s="13">
        <f t="shared" si="91"/>
        <v>67.200579205657675</v>
      </c>
      <c r="BG103" s="20">
        <f t="shared" si="61"/>
        <v>606.63308794985471</v>
      </c>
      <c r="BH103" s="59">
        <f t="shared" si="62"/>
        <v>899.96642128318808</v>
      </c>
      <c r="BI103" s="59">
        <f ca="1">AVERAGE(OFFSET($BH$3,0,0,'Données projet'!$E$11+1,1))-AVERAGE(OFFSET($H$3,0,0,'Données projet'!$E$11+1,1))</f>
        <v>425.47148407510412</v>
      </c>
      <c r="BJ103" s="59">
        <f t="shared" si="92"/>
        <v>308.54448799922471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53.995681148381202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53.995681148381202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-1.3596945791505279E-13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323.20040177531774</v>
      </c>
      <c r="T104" s="59">
        <f t="shared" si="88"/>
        <v>402.87981443974337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66.794956424584115</v>
      </c>
      <c r="AA104" s="21">
        <f>EXP(-LN(2)/25)*AA103+(1-EXP(-LN(2)/25))/(LN(2)/25)*Calculateur!V104*Calculateur!X104*VLOOKUP('Données projet'!$B$9,Paramètres!$A$1:$I$89,3,0)*0.475*44/12</f>
        <v>12.693282692781276</v>
      </c>
      <c r="AB104" s="21">
        <f>EXP(-LN(2)/2)*AB103+(1-EXP(-LN(2)/2))/(LN(2)/2)*V104*Y104*VLOOKUP('Données projet'!$B$9,Paramètres!$A$1:$I$89,3,0)*0.475*44/12</f>
        <v>6.8120047800063351E-6</v>
      </c>
      <c r="AC104" s="22">
        <f t="shared" si="57"/>
        <v>79.48824592937018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-1.1368683772161603E-13</v>
      </c>
      <c r="AJ104" s="13">
        <f>AI104*VLOOKUP('Données projet'!$B$10,Paramètres!$A$1:$I$89,3,0)*VLOOKUP('Données projet'!$B$10,Paramètres!$A$1:$I$89,5,0)</f>
        <v>-6.7984728957526396E-14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355.09162485318728</v>
      </c>
      <c r="AO104" s="59">
        <f t="shared" si="90"/>
        <v>320.06572891923685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108.6966465833729</v>
      </c>
      <c r="AV104" s="21">
        <f>EXP(-LN(2)/25)*AV103+(1-EXP(-LN(2)/25))/(LN(2)/25)*Calculateur!AQ104*Calculateur!AS104*VLOOKUP('Données projet'!$B$10,Paramètres!$A$1:$I$89,3,0)*0.475*44/12</f>
        <v>21.202370257497904</v>
      </c>
      <c r="AW104" s="21">
        <f>EXP(-LN(2)/2)*AW103+(1-EXP(-LN(2)/2))/(LN(2)/2)*AQ104*AT104*VLOOKUP('Données projet'!$B$10,Paramètres!$A$1:$I$89,3,0)*0.475*44/12</f>
        <v>8.0602811473669579E-3</v>
      </c>
      <c r="AX104" s="21">
        <f t="shared" si="60"/>
        <v>129.90707712201817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6.9935897435897401</v>
      </c>
      <c r="BD104" s="12">
        <f>IF('Données projet'!$A$88&gt;35,BD103+BC104-BL103,IF(A104&lt;'Données projet'!$A$88,$BA$205^A104,IF(A104='Données projet'!$A$88,'Données projet'!$B$88,BD103+BC104-BL103)))</f>
        <v>284.21794871794918</v>
      </c>
      <c r="BE104" s="13">
        <f>BD104*VLOOKUP('Données projet'!$B$11,Paramètres!$A$1:$I$89,3,0)*VLOOKUP('Données projet'!$B$11,Paramètres!$A$1:$I$89,5,0)</f>
        <v>288.19700000000051</v>
      </c>
      <c r="BF104" s="13">
        <f t="shared" si="91"/>
        <v>68.696350845178046</v>
      </c>
      <c r="BG104" s="20">
        <f t="shared" si="61"/>
        <v>621.5892527220193</v>
      </c>
      <c r="BH104" s="59">
        <f t="shared" si="62"/>
        <v>914.92258605535267</v>
      </c>
      <c r="BI104" s="59">
        <f ca="1">AVERAGE(OFFSET($BH$3,0,0,'Données projet'!$E$11+1,1))-AVERAGE(OFFSET($H$3,0,0,'Données projet'!$E$11+1,1))</f>
        <v>425.47148407510412</v>
      </c>
      <c r="BJ104" s="59">
        <f t="shared" si="92"/>
        <v>308.54448799922471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52.936858775174976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52.936858775174976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-1.3596945791505279E-13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323.20040177531774</v>
      </c>
      <c r="T105" s="59">
        <f t="shared" si="88"/>
        <v>402.87981443974337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65.485148069998615</v>
      </c>
      <c r="AA105" s="21">
        <f>EXP(-LN(2)/25)*AA104+(1-EXP(-LN(2)/25))/(LN(2)/25)*Calculateur!V105*Calculateur!X105*VLOOKUP('Données projet'!$B$9,Paramètres!$A$1:$I$89,3,0)*0.475*44/12</f>
        <v>12.346184210036446</v>
      </c>
      <c r="AB105" s="21">
        <f>EXP(-LN(2)/2)*AB104+(1-EXP(-LN(2)/2))/(LN(2)/2)*V105*Y105*VLOOKUP('Données projet'!$B$9,Paramètres!$A$1:$I$89,3,0)*0.475*44/12</f>
        <v>4.8168147734176553E-6</v>
      </c>
      <c r="AC105" s="22">
        <f t="shared" si="57"/>
        <v>77.831337096849836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-1.1368683772161603E-13</v>
      </c>
      <c r="AJ105" s="13">
        <f>AI105*VLOOKUP('Données projet'!$B$10,Paramètres!$A$1:$I$89,3,0)*VLOOKUP('Données projet'!$B$10,Paramètres!$A$1:$I$89,5,0)</f>
        <v>-6.7984728957526396E-14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355.09162485318728</v>
      </c>
      <c r="AO105" s="59">
        <f t="shared" si="90"/>
        <v>320.06572891923685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106.56517164228094</v>
      </c>
      <c r="AV105" s="21">
        <f>EXP(-LN(2)/25)*AV104+(1-EXP(-LN(2)/25))/(LN(2)/25)*Calculateur!AQ105*Calculateur!AS105*VLOOKUP('Données projet'!$B$10,Paramètres!$A$1:$I$89,3,0)*0.475*44/12</f>
        <v>20.622590327822429</v>
      </c>
      <c r="AW105" s="21">
        <f>EXP(-LN(2)/2)*AW104+(1-EXP(-LN(2)/2))/(LN(2)/2)*AQ105*AT105*VLOOKUP('Données projet'!$B$10,Paramètres!$A$1:$I$89,3,0)*0.475*44/12</f>
        <v>5.6994794575732617E-3</v>
      </c>
      <c r="AX105" s="21">
        <f t="shared" si="60"/>
        <v>127.19346144956094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6.9935897435897401</v>
      </c>
      <c r="BD105" s="12">
        <f>IF('Données projet'!$A$88&gt;35,BD104+BC105-BL104,IF(A105&lt;'Données projet'!$A$88,$BA$205^A105,IF(A105='Données projet'!$A$88,'Données projet'!$B$88,BD104+BC105-BL104)))</f>
        <v>291.21153846153891</v>
      </c>
      <c r="BE105" s="13">
        <f>BD105*VLOOKUP('Données projet'!$B$11,Paramètres!$A$1:$I$89,3,0)*VLOOKUP('Données projet'!$B$11,Paramètres!$A$1:$I$89,5,0)</f>
        <v>295.28850000000051</v>
      </c>
      <c r="BF105" s="13">
        <f t="shared" si="91"/>
        <v>70.187843985612119</v>
      </c>
      <c r="BG105" s="20">
        <f t="shared" si="61"/>
        <v>636.53796577494199</v>
      </c>
      <c r="BH105" s="59">
        <f t="shared" si="62"/>
        <v>929.87129910827525</v>
      </c>
      <c r="BI105" s="59">
        <f ca="1">AVERAGE(OFFSET($BH$3,0,0,'Données projet'!$E$11+1,1))-AVERAGE(OFFSET($H$3,0,0,'Données projet'!$E$11+1,1))</f>
        <v>425.47148407510412</v>
      </c>
      <c r="BJ105" s="59">
        <f t="shared" si="92"/>
        <v>308.54448799922471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51.89879926288944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51.89879926288944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-1.3596945791505279E-13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323.20040177531774</v>
      </c>
      <c r="T106" s="59">
        <f t="shared" si="88"/>
        <v>402.87981443974337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64.201024258342315</v>
      </c>
      <c r="AA106" s="21">
        <f>EXP(-LN(2)/25)*AA105+(1-EXP(-LN(2)/25))/(LN(2)/25)*Calculateur!V106*Calculateur!X106*VLOOKUP('Données projet'!$B$9,Paramètres!$A$1:$I$89,3,0)*0.475*44/12</f>
        <v>12.00857715355539</v>
      </c>
      <c r="AB106" s="21">
        <f>EXP(-LN(2)/2)*AB105+(1-EXP(-LN(2)/2))/(LN(2)/2)*V106*Y106*VLOOKUP('Données projet'!$B$9,Paramètres!$A$1:$I$89,3,0)*0.475*44/12</f>
        <v>3.4060023900031676E-6</v>
      </c>
      <c r="AC106" s="22">
        <f t="shared" si="57"/>
        <v>76.2096048179001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-1.1368683772161603E-13</v>
      </c>
      <c r="AJ106" s="13">
        <f>AI106*VLOOKUP('Données projet'!$B$10,Paramètres!$A$1:$I$89,3,0)*VLOOKUP('Données projet'!$B$10,Paramètres!$A$1:$I$89,5,0)</f>
        <v>-6.7984728957526396E-14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355.09162485318728</v>
      </c>
      <c r="AO106" s="59">
        <f t="shared" si="90"/>
        <v>320.06572891923685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104.47549362471247</v>
      </c>
      <c r="AV106" s="21">
        <f>EXP(-LN(2)/25)*AV105+(1-EXP(-LN(2)/25))/(LN(2)/25)*Calculateur!AQ106*Calculateur!AS106*VLOOKUP('Données projet'!$B$10,Paramètres!$A$1:$I$89,3,0)*0.475*44/12</f>
        <v>20.058664510813234</v>
      </c>
      <c r="AW106" s="21">
        <f>EXP(-LN(2)/2)*AW105+(1-EXP(-LN(2)/2))/(LN(2)/2)*AQ106*AT106*VLOOKUP('Données projet'!$B$10,Paramètres!$A$1:$I$89,3,0)*0.475*44/12</f>
        <v>4.030140573683479E-3</v>
      </c>
      <c r="AX106" s="21">
        <f t="shared" si="60"/>
        <v>124.53818827609939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6.9935897435897401</v>
      </c>
      <c r="BD106" s="12">
        <f>IF('Données projet'!$A$88&gt;35,BD105+BC106-BL105,IF(A106&lt;'Données projet'!$A$88,$BA$205^A106,IF(A106='Données projet'!$A$88,'Données projet'!$B$88,BD105+BC106-BL105)))</f>
        <v>298.20512820512863</v>
      </c>
      <c r="BE106" s="13">
        <f>BD106*VLOOKUP('Données projet'!$B$11,Paramètres!$A$1:$I$89,3,0)*VLOOKUP('Données projet'!$B$11,Paramètres!$A$1:$I$89,5,0)</f>
        <v>302.38000000000045</v>
      </c>
      <c r="BF106" s="13">
        <f t="shared" si="91"/>
        <v>71.67517319946117</v>
      </c>
      <c r="BG106" s="20">
        <f t="shared" si="61"/>
        <v>651.47942665572896</v>
      </c>
      <c r="BH106" s="59">
        <f t="shared" si="62"/>
        <v>944.81275998906222</v>
      </c>
      <c r="BI106" s="59">
        <f ca="1">AVERAGE(OFFSET($BH$3,0,0,'Données projet'!$E$11+1,1))-AVERAGE(OFFSET($H$3,0,0,'Données projet'!$E$11+1,1))</f>
        <v>425.47148407510412</v>
      </c>
      <c r="BJ106" s="59">
        <f t="shared" si="92"/>
        <v>308.54448799922471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50.881095464486044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50.881095464486044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-1.3596945791505279E-13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323.20040177531774</v>
      </c>
      <c r="T107" s="59">
        <f t="shared" si="88"/>
        <v>402.87981443974337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62.942081331394412</v>
      </c>
      <c r="AA107" s="21">
        <f>EXP(-LN(2)/25)*AA106+(1-EXP(-LN(2)/25))/(LN(2)/25)*Calculateur!V107*Calculateur!X107*VLOOKUP('Données projet'!$B$9,Paramètres!$A$1:$I$89,3,0)*0.475*44/12</f>
        <v>11.680201979787791</v>
      </c>
      <c r="AB107" s="21">
        <f>EXP(-LN(2)/2)*AB106+(1-EXP(-LN(2)/2))/(LN(2)/2)*V107*Y107*VLOOKUP('Données projet'!$B$9,Paramètres!$A$1:$I$89,3,0)*0.475*44/12</f>
        <v>2.4084073867088277E-6</v>
      </c>
      <c r="AC107" s="22">
        <f t="shared" si="57"/>
        <v>74.622285719589584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-1.1368683772161603E-13</v>
      </c>
      <c r="AJ107" s="13">
        <f>AI107*VLOOKUP('Données projet'!$B$10,Paramètres!$A$1:$I$89,3,0)*VLOOKUP('Données projet'!$B$10,Paramètres!$A$1:$I$89,5,0)</f>
        <v>-6.7984728957526396E-14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355.09162485318728</v>
      </c>
      <c r="AO107" s="59">
        <f t="shared" si="90"/>
        <v>320.06572891923685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102.42679291849078</v>
      </c>
      <c r="AV107" s="21">
        <f>EXP(-LN(2)/25)*AV106+(1-EXP(-LN(2)/25))/(LN(2)/25)*Calculateur!AQ107*Calculateur!AS107*VLOOKUP('Données projet'!$B$10,Paramètres!$A$1:$I$89,3,0)*0.475*44/12</f>
        <v>19.510159274925723</v>
      </c>
      <c r="AW107" s="21">
        <f>EXP(-LN(2)/2)*AW106+(1-EXP(-LN(2)/2))/(LN(2)/2)*AQ107*AT107*VLOOKUP('Données projet'!$B$10,Paramètres!$A$1:$I$89,3,0)*0.475*44/12</f>
        <v>2.8497397287866309E-3</v>
      </c>
      <c r="AX107" s="21">
        <f t="shared" si="60"/>
        <v>121.93980193314529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6.9935897435897401</v>
      </c>
      <c r="BD107" s="12">
        <f>IF('Données projet'!$A$88&gt;35,BD106+BC107-BL106,IF(A107&lt;'Données projet'!$A$88,$BA$205^A107,IF(A107='Données projet'!$A$88,'Données projet'!$B$88,BD106+BC107-BL106)))</f>
        <v>305.19871794871835</v>
      </c>
      <c r="BE107" s="13">
        <f>BD107*VLOOKUP('Données projet'!$B$11,Paramètres!$A$1:$I$89,3,0)*VLOOKUP('Données projet'!$B$11,Paramètres!$A$1:$I$89,5,0)</f>
        <v>309.47150000000045</v>
      </c>
      <c r="BF107" s="13">
        <f t="shared" si="91"/>
        <v>73.15844737867603</v>
      </c>
      <c r="BG107" s="20">
        <f t="shared" si="61"/>
        <v>666.41382501786154</v>
      </c>
      <c r="BH107" s="59">
        <f t="shared" si="62"/>
        <v>959.74715835119491</v>
      </c>
      <c r="BI107" s="59">
        <f ca="1">AVERAGE(OFFSET($BH$3,0,0,'Données projet'!$E$11+1,1))-AVERAGE(OFFSET($H$3,0,0,'Données projet'!$E$11+1,1))</f>
        <v>425.47148407510412</v>
      </c>
      <c r="BJ107" s="59">
        <f t="shared" si="92"/>
        <v>308.54448799922471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49.883348216831315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49.883348216831315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-1.3596945791505279E-13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323.20040177531774</v>
      </c>
      <c r="T108" s="59">
        <f t="shared" si="88"/>
        <v>402.87981443974337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61.707825507364596</v>
      </c>
      <c r="AA108" s="21">
        <f>EXP(-LN(2)/25)*AA107+(1-EXP(-LN(2)/25))/(LN(2)/25)*Calculateur!V108*Calculateur!X108*VLOOKUP('Données projet'!$B$9,Paramètres!$A$1:$I$89,3,0)*0.475*44/12</f>
        <v>11.360806242415366</v>
      </c>
      <c r="AB108" s="21">
        <f>EXP(-LN(2)/2)*AB107+(1-EXP(-LN(2)/2))/(LN(2)/2)*V108*Y108*VLOOKUP('Données projet'!$B$9,Paramètres!$A$1:$I$89,3,0)*0.475*44/12</f>
        <v>1.7030011950015838E-6</v>
      </c>
      <c r="AC108" s="22">
        <f t="shared" si="57"/>
        <v>73.068633452781157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-1.1368683772161603E-13</v>
      </c>
      <c r="AJ108" s="13">
        <f>AI108*VLOOKUP('Données projet'!$B$10,Paramètres!$A$1:$I$89,3,0)*VLOOKUP('Données projet'!$B$10,Paramètres!$A$1:$I$89,5,0)</f>
        <v>-6.7984728957526396E-14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355.09162485318728</v>
      </c>
      <c r="AO108" s="59">
        <f t="shared" si="90"/>
        <v>320.06572891923685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100.41826598353404</v>
      </c>
      <c r="AV108" s="21">
        <f>EXP(-LN(2)/25)*AV107+(1-EXP(-LN(2)/25))/(LN(2)/25)*Calculateur!AQ108*Calculateur!AS108*VLOOKUP('Données projet'!$B$10,Paramètres!$A$1:$I$89,3,0)*0.475*44/12</f>
        <v>18.976652943558193</v>
      </c>
      <c r="AW108" s="21">
        <f>EXP(-LN(2)/2)*AW107+(1-EXP(-LN(2)/2))/(LN(2)/2)*AQ108*AT108*VLOOKUP('Données projet'!$B$10,Paramètres!$A$1:$I$89,3,0)*0.475*44/12</f>
        <v>2.0150702868417395E-3</v>
      </c>
      <c r="AX108" s="21">
        <f t="shared" si="60"/>
        <v>119.39693399737908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6.9935897435897401</v>
      </c>
      <c r="BD108" s="12">
        <f>IF('Données projet'!$A$88&gt;35,BD107+BC108-BL107,IF(A108&lt;'Données projet'!$A$88,$BA$205^A108,IF(A108='Données projet'!$A$88,'Données projet'!$B$88,BD107+BC108-BL107)))</f>
        <v>312.19230769230808</v>
      </c>
      <c r="BE108" s="13">
        <f>BD108*VLOOKUP('Données projet'!$B$11,Paramètres!$A$1:$I$89,3,0)*VLOOKUP('Données projet'!$B$11,Paramètres!$A$1:$I$89,5,0)</f>
        <v>316.56300000000044</v>
      </c>
      <c r="BF108" s="13">
        <f t="shared" si="91"/>
        <v>74.637770139918928</v>
      </c>
      <c r="BG108" s="20">
        <f t="shared" si="61"/>
        <v>681.34134132702627</v>
      </c>
      <c r="BH108" s="59">
        <f t="shared" si="62"/>
        <v>974.67467466035964</v>
      </c>
      <c r="BI108" s="59">
        <f ca="1">AVERAGE(OFFSET($BH$3,0,0,'Données projet'!$E$11+1,1))-AVERAGE(OFFSET($H$3,0,0,'Données projet'!$E$11+1,1))</f>
        <v>425.47148407510412</v>
      </c>
      <c r="BJ108" s="59">
        <f t="shared" si="92"/>
        <v>308.54448799922471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48.905166184137364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48.905166184137364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-1.3596945791505279E-13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323.20040177531774</v>
      </c>
      <c r="T109" s="59">
        <f t="shared" si="88"/>
        <v>402.87981443974337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60.497772687222287</v>
      </c>
      <c r="AA109" s="21">
        <f>EXP(-LN(2)/25)*AA108+(1-EXP(-LN(2)/25))/(LN(2)/25)*Calculateur!V109*Calculateur!X109*VLOOKUP('Données projet'!$B$9,Paramètres!$A$1:$I$89,3,0)*0.475*44/12</f>
        <v>11.050144398277682</v>
      </c>
      <c r="AB109" s="21">
        <f>EXP(-LN(2)/2)*AB108+(1-EXP(-LN(2)/2))/(LN(2)/2)*V109*Y109*VLOOKUP('Données projet'!$B$9,Paramètres!$A$1:$I$89,3,0)*0.475*44/12</f>
        <v>1.2042036933544138E-6</v>
      </c>
      <c r="AC109" s="22">
        <f t="shared" si="57"/>
        <v>71.547918289703674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-1.1368683772161603E-13</v>
      </c>
      <c r="AJ109" s="13">
        <f>AI109*VLOOKUP('Données projet'!$B$10,Paramètres!$A$1:$I$89,3,0)*VLOOKUP('Données projet'!$B$10,Paramètres!$A$1:$I$89,5,0)</f>
        <v>-6.7984728957526396E-14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355.09162485318728</v>
      </c>
      <c r="AO109" s="59">
        <f t="shared" si="90"/>
        <v>320.06572891923685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98.449125036691342</v>
      </c>
      <c r="AV109" s="21">
        <f>EXP(-LN(2)/25)*AV108+(1-EXP(-LN(2)/25))/(LN(2)/25)*Calculateur!AQ109*Calculateur!AS109*VLOOKUP('Données projet'!$B$10,Paramètres!$A$1:$I$89,3,0)*0.475*44/12</f>
        <v>18.457735370877788</v>
      </c>
      <c r="AW109" s="21">
        <f>EXP(-LN(2)/2)*AW108+(1-EXP(-LN(2)/2))/(LN(2)/2)*AQ109*AT109*VLOOKUP('Données projet'!$B$10,Paramètres!$A$1:$I$89,3,0)*0.475*44/12</f>
        <v>1.4248698643933154E-3</v>
      </c>
      <c r="AX109" s="21">
        <f t="shared" si="60"/>
        <v>116.90828527743352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6.9935897435897401</v>
      </c>
      <c r="BD109" s="12">
        <f>IF('Données projet'!$A$88&gt;35,BD108+BC109-BL108,IF(A109&lt;'Données projet'!$A$88,$BA$205^A109,IF(A109='Données projet'!$A$88,'Données projet'!$B$88,BD108+BC109-BL108)))</f>
        <v>319.1858974358978</v>
      </c>
      <c r="BE109" s="13">
        <f>BD109*VLOOKUP('Données projet'!$B$11,Paramètres!$A$1:$I$89,3,0)*VLOOKUP('Données projet'!$B$11,Paramètres!$A$1:$I$89,5,0)</f>
        <v>323.65450000000038</v>
      </c>
      <c r="BF109" s="13">
        <f t="shared" si="91"/>
        <v>76.113240192485776</v>
      </c>
      <c r="BG109" s="20">
        <f t="shared" si="61"/>
        <v>696.26214750191332</v>
      </c>
      <c r="BH109" s="59">
        <f t="shared" si="62"/>
        <v>989.59548083524669</v>
      </c>
      <c r="BI109" s="59">
        <f ca="1">AVERAGE(OFFSET($BH$3,0,0,'Données projet'!$E$11+1,1))-AVERAGE(OFFSET($H$3,0,0,'Données projet'!$E$11+1,1))</f>
        <v>425.47148407510412</v>
      </c>
      <c r="BJ109" s="59">
        <f t="shared" si="92"/>
        <v>308.54448799922471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47.946165704472413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47.946165704472413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-1.3596945791505279E-13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323.20040177531774</v>
      </c>
      <c r="T110" s="59">
        <f t="shared" si="88"/>
        <v>402.87981443974337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59.311448264823625</v>
      </c>
      <c r="AA110" s="21">
        <f>EXP(-LN(2)/25)*AA109+(1-EXP(-LN(2)/25))/(LN(2)/25)*Calculateur!V110*Calculateur!X110*VLOOKUP('Données projet'!$B$9,Paramètres!$A$1:$I$89,3,0)*0.475*44/12</f>
        <v>10.74797761860494</v>
      </c>
      <c r="AB110" s="21">
        <f>EXP(-LN(2)/2)*AB109+(1-EXP(-LN(2)/2))/(LN(2)/2)*V110*Y110*VLOOKUP('Données projet'!$B$9,Paramètres!$A$1:$I$89,3,0)*0.475*44/12</f>
        <v>8.5150059750079189E-7</v>
      </c>
      <c r="AC110" s="22">
        <f t="shared" si="57"/>
        <v>70.059426734929161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-1.1368683772161603E-13</v>
      </c>
      <c r="AJ110" s="13">
        <f>AI110*VLOOKUP('Données projet'!$B$10,Paramètres!$A$1:$I$89,3,0)*VLOOKUP('Données projet'!$B$10,Paramètres!$A$1:$I$89,5,0)</f>
        <v>-6.7984728957526396E-14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355.09162485318728</v>
      </c>
      <c r="AO110" s="59">
        <f t="shared" si="90"/>
        <v>320.06572891923685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96.518597742758843</v>
      </c>
      <c r="AV110" s="21">
        <f>EXP(-LN(2)/25)*AV109+(1-EXP(-LN(2)/25))/(LN(2)/25)*Calculateur!AQ110*Calculateur!AS110*VLOOKUP('Données projet'!$B$10,Paramètres!$A$1:$I$89,3,0)*0.475*44/12</f>
        <v>17.953007626511017</v>
      </c>
      <c r="AW110" s="21">
        <f>EXP(-LN(2)/2)*AW109+(1-EXP(-LN(2)/2))/(LN(2)/2)*AQ110*AT110*VLOOKUP('Données projet'!$B$10,Paramètres!$A$1:$I$89,3,0)*0.475*44/12</f>
        <v>1.0075351434208697E-3</v>
      </c>
      <c r="AX110" s="21">
        <f t="shared" si="60"/>
        <v>114.47261290441328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6.9935897435897401</v>
      </c>
      <c r="BD110" s="12">
        <f>IF('Données projet'!$A$88&gt;35,BD109+BC110-BL109,IF(A110&lt;'Données projet'!$A$88,$BA$205^A110,IF(A110='Données projet'!$A$88,'Données projet'!$B$88,BD109+BC110-BL109)))</f>
        <v>326.17948717948752</v>
      </c>
      <c r="BE110" s="13">
        <f>BD110*VLOOKUP('Données projet'!$B$11,Paramètres!$A$1:$I$89,3,0)*VLOOKUP('Données projet'!$B$11,Paramètres!$A$1:$I$89,5,0)</f>
        <v>330.74600000000038</v>
      </c>
      <c r="BF110" s="13">
        <f t="shared" si="91"/>
        <v>77.584951673074755</v>
      </c>
      <c r="BG110" s="20">
        <f t="shared" si="61"/>
        <v>711.17640749727252</v>
      </c>
      <c r="BH110" s="59">
        <f t="shared" si="62"/>
        <v>1004.5097408306058</v>
      </c>
      <c r="BI110" s="59">
        <f ca="1">AVERAGE(OFFSET($BH$3,0,0,'Données projet'!$E$11+1,1))-AVERAGE(OFFSET($H$3,0,0,'Données projet'!$E$11+1,1))</f>
        <v>425.47148407510412</v>
      </c>
      <c r="BJ110" s="59">
        <f t="shared" si="92"/>
        <v>308.54448799922471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47.005970639281159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47.005970639281159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-1.3596945791505279E-13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323.20040177531774</v>
      </c>
      <c r="T111" s="59">
        <f t="shared" si="88"/>
        <v>402.87981443974337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58.148386940761753</v>
      </c>
      <c r="AA111" s="21">
        <f>EXP(-LN(2)/25)*AA110+(1-EXP(-LN(2)/25))/(LN(2)/25)*Calculateur!V111*Calculateur!X111*VLOOKUP('Données projet'!$B$9,Paramètres!$A$1:$I$89,3,0)*0.475*44/12</f>
        <v>10.45407360541261</v>
      </c>
      <c r="AB111" s="21">
        <f>EXP(-LN(2)/2)*AB110+(1-EXP(-LN(2)/2))/(LN(2)/2)*V111*Y111*VLOOKUP('Données projet'!$B$9,Paramètres!$A$1:$I$89,3,0)*0.475*44/12</f>
        <v>6.0210184667720692E-7</v>
      </c>
      <c r="AC111" s="22">
        <f t="shared" si="57"/>
        <v>68.60246114827622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-1.1368683772161603E-13</v>
      </c>
      <c r="AJ111" s="13">
        <f>AI111*VLOOKUP('Données projet'!$B$10,Paramètres!$A$1:$I$89,3,0)*VLOOKUP('Données projet'!$B$10,Paramètres!$A$1:$I$89,5,0)</f>
        <v>-6.7984728957526396E-14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355.09162485318728</v>
      </c>
      <c r="AO111" s="59">
        <f t="shared" si="90"/>
        <v>320.06572891923685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94.625926911554984</v>
      </c>
      <c r="AV111" s="21">
        <f>EXP(-LN(2)/25)*AV110+(1-EXP(-LN(2)/25))/(LN(2)/25)*Calculateur!AQ111*Calculateur!AS111*VLOOKUP('Données projet'!$B$10,Paramètres!$A$1:$I$89,3,0)*0.475*44/12</f>
        <v>17.462081688856433</v>
      </c>
      <c r="AW111" s="21">
        <f>EXP(-LN(2)/2)*AW110+(1-EXP(-LN(2)/2))/(LN(2)/2)*AQ111*AT111*VLOOKUP('Données projet'!$B$10,Paramètres!$A$1:$I$89,3,0)*0.475*44/12</f>
        <v>7.1243493219665772E-4</v>
      </c>
      <c r="AX111" s="21">
        <f t="shared" si="60"/>
        <v>112.08872103534361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6.9935897435897401</v>
      </c>
      <c r="BD111" s="12">
        <f>IF('Données projet'!$A$88&gt;35,BD110+BC111-BL110,IF(A111&lt;'Données projet'!$A$88,$BA$205^A111,IF(A111='Données projet'!$A$88,'Données projet'!$B$88,BD110+BC111-BL110)))</f>
        <v>333.17307692307725</v>
      </c>
      <c r="BE111" s="13">
        <f>BD111*VLOOKUP('Données projet'!$B$11,Paramètres!$A$1:$I$89,3,0)*VLOOKUP('Données projet'!$B$11,Paramètres!$A$1:$I$89,5,0)</f>
        <v>337.83750000000038</v>
      </c>
      <c r="BF111" s="13">
        <f t="shared" si="91"/>
        <v>79.052994451033314</v>
      </c>
      <c r="BG111" s="20">
        <f t="shared" si="61"/>
        <v>726.08427783555044</v>
      </c>
      <c r="BH111" s="59">
        <f t="shared" si="62"/>
        <v>1019.4176111688837</v>
      </c>
      <c r="BI111" s="59">
        <f ca="1">AVERAGE(OFFSET($BH$3,0,0,'Données projet'!$E$11+1,1))-AVERAGE(OFFSET($H$3,0,0,'Données projet'!$E$11+1,1))</f>
        <v>425.47148407510412</v>
      </c>
      <c r="BJ111" s="59">
        <f t="shared" si="92"/>
        <v>308.54448799922471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46.084212225855936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46.084212225855936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-1.3596945791505279E-13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323.20040177531774</v>
      </c>
      <c r="T112" s="59">
        <f t="shared" si="88"/>
        <v>402.87981443974337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57.008132539867375</v>
      </c>
      <c r="AA112" s="21">
        <f>EXP(-LN(2)/25)*AA111+(1-EXP(-LN(2)/25))/(LN(2)/25)*Calculateur!V112*Calculateur!X112*VLOOKUP('Données projet'!$B$9,Paramètres!$A$1:$I$89,3,0)*0.475*44/12</f>
        <v>10.168206412916764</v>
      </c>
      <c r="AB112" s="21">
        <f>EXP(-LN(2)/2)*AB111+(1-EXP(-LN(2)/2))/(LN(2)/2)*V112*Y112*VLOOKUP('Données projet'!$B$9,Paramètres!$A$1:$I$89,3,0)*0.475*44/12</f>
        <v>4.2575029875039594E-7</v>
      </c>
      <c r="AC112" s="22">
        <f t="shared" si="57"/>
        <v>67.176339378534436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-1.1368683772161603E-13</v>
      </c>
      <c r="AJ112" s="13">
        <f>AI112*VLOOKUP('Données projet'!$B$10,Paramètres!$A$1:$I$89,3,0)*VLOOKUP('Données projet'!$B$10,Paramètres!$A$1:$I$89,5,0)</f>
        <v>-6.7984728957526396E-14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355.09162485318728</v>
      </c>
      <c r="AO112" s="59">
        <f t="shared" si="90"/>
        <v>320.06572891923685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92.770370200935815</v>
      </c>
      <c r="AV112" s="21">
        <f>EXP(-LN(2)/25)*AV111+(1-EXP(-LN(2)/25))/(LN(2)/25)*Calculateur!AQ112*Calculateur!AS112*VLOOKUP('Données projet'!$B$10,Paramètres!$A$1:$I$89,3,0)*0.475*44/12</f>
        <v>16.984580146783689</v>
      </c>
      <c r="AW112" s="21">
        <f>EXP(-LN(2)/2)*AW111+(1-EXP(-LN(2)/2))/(LN(2)/2)*AQ112*AT112*VLOOKUP('Données projet'!$B$10,Paramètres!$A$1:$I$89,3,0)*0.475*44/12</f>
        <v>5.0376757171043487E-4</v>
      </c>
      <c r="AX112" s="21">
        <f t="shared" si="60"/>
        <v>109.75545411529122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340.16666666666663</v>
      </c>
      <c r="BB112" s="12">
        <f>VLOOKUP(A112,'Données projet'!$A$87:$I$107,9,0)</f>
        <v>6.9935897435897401</v>
      </c>
      <c r="BC112" s="12">
        <f t="array" ref="BC112">INDEX(BB:BB,MIN(IF(ISNUMBER(BB112:BB308),ROW(BB112:BB308),"")))</f>
        <v>6.9935897435897401</v>
      </c>
      <c r="BD112" s="12">
        <f>IF('Données projet'!$A$88&gt;35,BD111+BC112-BL111,IF(A112&lt;'Données projet'!$A$88,$BA$205^A112,IF(A112='Données projet'!$A$88,'Données projet'!$B$88,BD111+BC112-BL111)))</f>
        <v>340.16666666666697</v>
      </c>
      <c r="BE112" s="13">
        <f>BD112*VLOOKUP('Données projet'!$B$11,Paramètres!$A$1:$I$89,3,0)*VLOOKUP('Données projet'!$B$11,Paramètres!$A$1:$I$89,5,0)</f>
        <v>344.92900000000037</v>
      </c>
      <c r="BF112" s="13">
        <f t="shared" si="91"/>
        <v>80.51745440725162</v>
      </c>
      <c r="BG112" s="20">
        <f t="shared" si="61"/>
        <v>740.98590809263044</v>
      </c>
      <c r="BH112" s="59">
        <f t="shared" si="62"/>
        <v>1034.3192414259638</v>
      </c>
      <c r="BI112" s="59">
        <f ca="1">AVERAGE(OFFSET($BH$3,0,0,'Données projet'!$E$11+1,1))-AVERAGE(OFFSET($H$3,0,0,'Données projet'!$E$11+1,1))</f>
        <v>425.47148407510412</v>
      </c>
      <c r="BJ112" s="59">
        <f t="shared" si="92"/>
        <v>308.54448799922471</v>
      </c>
      <c r="BK112" s="15">
        <f>IF(ISNA(VLOOKUP(A112,'Données projet'!$A$87:$I$107,3,0)),0,VLOOKUP(A112,'Données projet'!$A$87:$I$107,3,0))</f>
        <v>10</v>
      </c>
      <c r="BL112" s="15">
        <f>IF(ISNA(VLOOKUP(A112,'Données projet'!$A$87:$I$107,4,0)),0,VLOOKUP(A112,'Données projet'!$A$87:$I$107,4,0))</f>
        <v>51.28846153846154</v>
      </c>
      <c r="BM112" s="16">
        <f>IF(ISNA(VLOOKUP(A112,'Données projet'!$A$87:$I$107,5,0)),0%,VLOOKUP(A112,'Données projet'!$A$87:$I$107,5,0)*VLOOKUP('Données projet'!$B$11,Paramètres!$A$1:$I$89,7,0))</f>
        <v>0.38700000000000001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67.429795661161677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67.429795661161677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-1.3596945791505279E-13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323.20040177531774</v>
      </c>
      <c r="T113" s="59">
        <f t="shared" si="88"/>
        <v>402.87981443974337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55.890237832288022</v>
      </c>
      <c r="AA113" s="21">
        <f>EXP(-LN(2)/25)*AA112+(1-EXP(-LN(2)/25))/(LN(2)/25)*Calculateur!V113*Calculateur!X113*VLOOKUP('Données projet'!$B$9,Paramètres!$A$1:$I$89,3,0)*0.475*44/12</f>
        <v>9.8901562738328188</v>
      </c>
      <c r="AB113" s="21">
        <f>EXP(-LN(2)/2)*AB112+(1-EXP(-LN(2)/2))/(LN(2)/2)*V113*Y113*VLOOKUP('Données projet'!$B$9,Paramètres!$A$1:$I$89,3,0)*0.475*44/12</f>
        <v>3.0105092333860346E-7</v>
      </c>
      <c r="AC113" s="22">
        <f t="shared" si="57"/>
        <v>65.780394407171755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-1.1368683772161603E-13</v>
      </c>
      <c r="AJ113" s="13">
        <f>AI113*VLOOKUP('Données projet'!$B$10,Paramètres!$A$1:$I$89,3,0)*VLOOKUP('Données projet'!$B$10,Paramètres!$A$1:$I$89,5,0)</f>
        <v>-6.7984728957526396E-14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355.09162485318728</v>
      </c>
      <c r="AO113" s="59">
        <f t="shared" si="90"/>
        <v>320.06572891923685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90.951199825634049</v>
      </c>
      <c r="AV113" s="21">
        <f>EXP(-LN(2)/25)*AV112+(1-EXP(-LN(2)/25))/(LN(2)/25)*Calculateur!AQ113*Calculateur!AS113*VLOOKUP('Données projet'!$B$10,Paramètres!$A$1:$I$89,3,0)*0.475*44/12</f>
        <v>16.520135909489639</v>
      </c>
      <c r="AW113" s="21">
        <f>EXP(-LN(2)/2)*AW112+(1-EXP(-LN(2)/2))/(LN(2)/2)*AQ113*AT113*VLOOKUP('Données projet'!$B$10,Paramètres!$A$1:$I$89,3,0)*0.475*44/12</f>
        <v>3.5621746609832886E-4</v>
      </c>
      <c r="AX113" s="21">
        <f t="shared" si="60"/>
        <v>107.47169195258978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6.8461538461538511</v>
      </c>
      <c r="BD113" s="12">
        <f>IF('Données projet'!$A$88&gt;35,BD112+BC113-BL112,IF(A113&lt;'Données projet'!$A$88,$BA$205^A113,IF(A113='Données projet'!$A$88,'Données projet'!$B$88,BD112+BC113-BL112)))</f>
        <v>295.72435897435929</v>
      </c>
      <c r="BE113" s="13">
        <f>BD113*VLOOKUP('Données projet'!$B$11,Paramètres!$A$1:$I$89,3,0)*VLOOKUP('Données projet'!$B$11,Paramètres!$A$1:$I$89,5,0)</f>
        <v>299.86450000000036</v>
      </c>
      <c r="BF113" s="13">
        <f t="shared" si="91"/>
        <v>71.148056724241755</v>
      </c>
      <c r="BG113" s="20">
        <f t="shared" si="61"/>
        <v>646.18020296138832</v>
      </c>
      <c r="BH113" s="59">
        <f t="shared" si="62"/>
        <v>939.51353629472169</v>
      </c>
      <c r="BI113" s="59">
        <f ca="1">AVERAGE(OFFSET($BH$3,0,0,'Données projet'!$E$11+1,1))-AVERAGE(OFFSET($H$3,0,0,'Données projet'!$E$11+1,1))</f>
        <v>425.47148407510412</v>
      </c>
      <c r="BJ113" s="59">
        <f t="shared" si="92"/>
        <v>308.54448799922471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66.10753849636059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66.10753849636059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-1.3596945791505279E-13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323.20040177531774</v>
      </c>
      <c r="T114" s="59">
        <f t="shared" si="88"/>
        <v>402.87981443974337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54.794264358075857</v>
      </c>
      <c r="AA114" s="21">
        <f>EXP(-LN(2)/25)*AA113+(1-EXP(-LN(2)/25))/(LN(2)/25)*Calculateur!V114*Calculateur!X114*VLOOKUP('Données projet'!$B$9,Paramètres!$A$1:$I$89,3,0)*0.475*44/12</f>
        <v>9.6197094304241464</v>
      </c>
      <c r="AB114" s="21">
        <f>EXP(-LN(2)/2)*AB113+(1-EXP(-LN(2)/2))/(LN(2)/2)*V114*Y114*VLOOKUP('Données projet'!$B$9,Paramètres!$A$1:$I$89,3,0)*0.475*44/12</f>
        <v>2.1287514937519797E-7</v>
      </c>
      <c r="AC114" s="22">
        <f t="shared" si="57"/>
        <v>64.413974001375152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-1.1368683772161603E-13</v>
      </c>
      <c r="AJ114" s="13">
        <f>AI114*VLOOKUP('Données projet'!$B$10,Paramètres!$A$1:$I$89,3,0)*VLOOKUP('Données projet'!$B$10,Paramètres!$A$1:$I$89,5,0)</f>
        <v>-6.7984728957526396E-14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355.09162485318728</v>
      </c>
      <c r="AO114" s="59">
        <f t="shared" si="90"/>
        <v>320.06572891923685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89.167702271807585</v>
      </c>
      <c r="AV114" s="21">
        <f>EXP(-LN(2)/25)*AV113+(1-EXP(-LN(2)/25))/(LN(2)/25)*Calculateur!AQ114*Calculateur!AS114*VLOOKUP('Données projet'!$B$10,Paramètres!$A$1:$I$89,3,0)*0.475*44/12</f>
        <v>16.068391924288456</v>
      </c>
      <c r="AW114" s="21">
        <f>EXP(-LN(2)/2)*AW113+(1-EXP(-LN(2)/2))/(LN(2)/2)*AQ114*AT114*VLOOKUP('Données projet'!$B$10,Paramètres!$A$1:$I$89,3,0)*0.475*44/12</f>
        <v>2.5188378585521743E-4</v>
      </c>
      <c r="AX114" s="21">
        <f t="shared" si="60"/>
        <v>105.2363460798819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6.8461538461538511</v>
      </c>
      <c r="BD114" s="12">
        <f>IF('Données projet'!$A$88&gt;35,BD113+BC114-BL113,IF(A114&lt;'Données projet'!$A$88,$BA$205^A114,IF(A114='Données projet'!$A$88,'Données projet'!$B$88,BD113+BC114-BL113)))</f>
        <v>302.57051282051316</v>
      </c>
      <c r="BE114" s="13">
        <f>BD114*VLOOKUP('Données projet'!$B$11,Paramètres!$A$1:$I$89,3,0)*VLOOKUP('Données projet'!$B$11,Paramètres!$A$1:$I$89,5,0)</f>
        <v>306.80650000000037</v>
      </c>
      <c r="BF114" s="13">
        <f t="shared" si="91"/>
        <v>72.601498865270955</v>
      </c>
      <c r="BG114" s="20">
        <f t="shared" si="61"/>
        <v>660.80226469034744</v>
      </c>
      <c r="BH114" s="59">
        <f t="shared" si="62"/>
        <v>954.13559802368081</v>
      </c>
      <c r="BI114" s="59">
        <f ca="1">AVERAGE(OFFSET($BH$3,0,0,'Données projet'!$E$11+1,1))-AVERAGE(OFFSET($H$3,0,0,'Données projet'!$E$11+1,1))</f>
        <v>425.47148407510412</v>
      </c>
      <c r="BJ114" s="59">
        <f t="shared" si="92"/>
        <v>308.54448799922471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64.811209988064007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64.811209988064007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-1.3596945791505279E-13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323.20040177531774</v>
      </c>
      <c r="T115" s="59">
        <f t="shared" si="88"/>
        <v>402.87981443974337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53.719782255215179</v>
      </c>
      <c r="AA115" s="21">
        <f>EXP(-LN(2)/25)*AA114+(1-EXP(-LN(2)/25))/(LN(2)/25)*Calculateur!V115*Calculateur!X115*VLOOKUP('Données projet'!$B$9,Paramètres!$A$1:$I$89,3,0)*0.475*44/12</f>
        <v>9.3566579701706658</v>
      </c>
      <c r="AB115" s="21">
        <f>EXP(-LN(2)/2)*AB114+(1-EXP(-LN(2)/2))/(LN(2)/2)*V115*Y115*VLOOKUP('Données projet'!$B$9,Paramètres!$A$1:$I$89,3,0)*0.475*44/12</f>
        <v>1.5052546166930173E-7</v>
      </c>
      <c r="AC115" s="22">
        <f t="shared" si="57"/>
        <v>63.076440375911304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-1.1368683772161603E-13</v>
      </c>
      <c r="AJ115" s="13">
        <f>AI115*VLOOKUP('Données projet'!$B$10,Paramètres!$A$1:$I$89,3,0)*VLOOKUP('Données projet'!$B$10,Paramètres!$A$1:$I$89,5,0)</f>
        <v>-6.7984728957526396E-14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355.09162485318728</v>
      </c>
      <c r="AO115" s="59">
        <f t="shared" si="90"/>
        <v>320.06572891923685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87.419178017185558</v>
      </c>
      <c r="AV115" s="21">
        <f>EXP(-LN(2)/25)*AV114+(1-EXP(-LN(2)/25))/(LN(2)/25)*Calculateur!AQ115*Calculateur!AS115*VLOOKUP('Données projet'!$B$10,Paramètres!$A$1:$I$89,3,0)*0.475*44/12</f>
        <v>15.629000902118781</v>
      </c>
      <c r="AW115" s="21">
        <f>EXP(-LN(2)/2)*AW114+(1-EXP(-LN(2)/2))/(LN(2)/2)*AQ115*AT115*VLOOKUP('Données projet'!$B$10,Paramètres!$A$1:$I$89,3,0)*0.475*44/12</f>
        <v>1.7810873304916443E-4</v>
      </c>
      <c r="AX115" s="21">
        <f t="shared" si="60"/>
        <v>103.04835702803739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6.8461538461538511</v>
      </c>
      <c r="BD115" s="12">
        <f>IF('Données projet'!$A$88&gt;35,BD114+BC115-BL114,IF(A115&lt;'Données projet'!$A$88,$BA$205^A115,IF(A115='Données projet'!$A$88,'Données projet'!$B$88,BD114+BC115-BL114)))</f>
        <v>309.41666666666703</v>
      </c>
      <c r="BE115" s="13">
        <f>BD115*VLOOKUP('Données projet'!$B$11,Paramètres!$A$1:$I$89,3,0)*VLOOKUP('Données projet'!$B$11,Paramètres!$A$1:$I$89,5,0)</f>
        <v>313.74850000000038</v>
      </c>
      <c r="BF115" s="13">
        <f t="shared" si="91"/>
        <v>74.051117708153953</v>
      </c>
      <c r="BG115" s="20">
        <f t="shared" si="61"/>
        <v>675.41766750836871</v>
      </c>
      <c r="BH115" s="59">
        <f t="shared" si="62"/>
        <v>968.75100084170208</v>
      </c>
      <c r="BI115" s="59">
        <f ca="1">AVERAGE(OFFSET($BH$3,0,0,'Données projet'!$E$11+1,1))-AVERAGE(OFFSET($H$3,0,0,'Données projet'!$E$11+1,1))</f>
        <v>425.47148407510412</v>
      </c>
      <c r="BJ115" s="59">
        <f t="shared" si="92"/>
        <v>308.54448799922471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63.540301691132811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63.540301691132811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-1.3596945791505279E-13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323.20040177531774</v>
      </c>
      <c r="T116" s="59">
        <f t="shared" si="88"/>
        <v>402.87981443974337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52.66637009102223</v>
      </c>
      <c r="AA116" s="21">
        <f>EXP(-LN(2)/25)*AA115+(1-EXP(-LN(2)/25))/(LN(2)/25)*Calculateur!V116*Calculateur!X116*VLOOKUP('Données projet'!$B$9,Paramètres!$A$1:$I$89,3,0)*0.475*44/12</f>
        <v>9.1007996659310919</v>
      </c>
      <c r="AB116" s="21">
        <f>EXP(-LN(2)/2)*AB115+(1-EXP(-LN(2)/2))/(LN(2)/2)*V116*Y116*VLOOKUP('Données projet'!$B$9,Paramètres!$A$1:$I$89,3,0)*0.475*44/12</f>
        <v>1.0643757468759899E-7</v>
      </c>
      <c r="AC116" s="22">
        <f t="shared" si="57"/>
        <v>61.767169863390897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-1.1368683772161603E-13</v>
      </c>
      <c r="AJ116" s="13">
        <f>AI116*VLOOKUP('Données projet'!$B$10,Paramètres!$A$1:$I$89,3,0)*VLOOKUP('Données projet'!$B$10,Paramètres!$A$1:$I$89,5,0)</f>
        <v>-6.7984728957526396E-14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355.09162485318728</v>
      </c>
      <c r="AO116" s="59">
        <f t="shared" si="90"/>
        <v>320.06572891923685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85.704941256702185</v>
      </c>
      <c r="AV116" s="21">
        <f>EXP(-LN(2)/25)*AV115+(1-EXP(-LN(2)/25))/(LN(2)/25)*Calculateur!AQ116*Calculateur!AS116*VLOOKUP('Données projet'!$B$10,Paramètres!$A$1:$I$89,3,0)*0.475*44/12</f>
        <v>15.201625050556906</v>
      </c>
      <c r="AW116" s="21">
        <f>EXP(-LN(2)/2)*AW115+(1-EXP(-LN(2)/2))/(LN(2)/2)*AQ116*AT116*VLOOKUP('Données projet'!$B$10,Paramètres!$A$1:$I$89,3,0)*0.475*44/12</f>
        <v>1.2594189292760872E-4</v>
      </c>
      <c r="AX116" s="21">
        <f t="shared" si="60"/>
        <v>100.90669224915202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6.8461538461538511</v>
      </c>
      <c r="BD116" s="12">
        <f>IF('Données projet'!$A$88&gt;35,BD115+BC116-BL115,IF(A116&lt;'Données projet'!$A$88,$BA$205^A116,IF(A116='Données projet'!$A$88,'Données projet'!$B$88,BD115+BC116-BL115)))</f>
        <v>316.26282051282089</v>
      </c>
      <c r="BE116" s="13">
        <f>BD116*VLOOKUP('Données projet'!$B$11,Paramètres!$A$1:$I$89,3,0)*VLOOKUP('Données projet'!$B$11,Paramètres!$A$1:$I$89,5,0)</f>
        <v>320.69050000000038</v>
      </c>
      <c r="BF116" s="13">
        <f t="shared" si="91"/>
        <v>75.497007588010661</v>
      </c>
      <c r="BG116" s="20">
        <f t="shared" si="61"/>
        <v>690.02657571578584</v>
      </c>
      <c r="BH116" s="59">
        <f t="shared" si="62"/>
        <v>983.3599090491191</v>
      </c>
      <c r="BI116" s="59">
        <f ca="1">AVERAGE(OFFSET($BH$3,0,0,'Données projet'!$E$11+1,1))-AVERAGE(OFFSET($H$3,0,0,'Données projet'!$E$11+1,1))</f>
        <v>425.47148407510412</v>
      </c>
      <c r="BJ116" s="59">
        <f t="shared" si="92"/>
        <v>308.54448799922471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62.294315130726915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62.294315130726915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-1.3596945791505279E-13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323.20040177531774</v>
      </c>
      <c r="T117" s="59">
        <f t="shared" si="88"/>
        <v>402.87981443974337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51.633614696851126</v>
      </c>
      <c r="AA117" s="21">
        <f>EXP(-LN(2)/25)*AA116+(1-EXP(-LN(2)/25))/(LN(2)/25)*Calculateur!V117*Calculateur!X117*VLOOKUP('Données projet'!$B$9,Paramètres!$A$1:$I$89,3,0)*0.475*44/12</f>
        <v>8.8519378204759516</v>
      </c>
      <c r="AB117" s="21">
        <f>EXP(-LN(2)/2)*AB116+(1-EXP(-LN(2)/2))/(LN(2)/2)*V117*Y117*VLOOKUP('Données projet'!$B$9,Paramètres!$A$1:$I$89,3,0)*0.475*44/12</f>
        <v>7.5262730834650864E-8</v>
      </c>
      <c r="AC117" s="22">
        <f t="shared" si="57"/>
        <v>60.485552592589812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-1.1368683772161603E-13</v>
      </c>
      <c r="AJ117" s="13">
        <f>AI117*VLOOKUP('Données projet'!$B$10,Paramètres!$A$1:$I$89,3,0)*VLOOKUP('Données projet'!$B$10,Paramètres!$A$1:$I$89,5,0)</f>
        <v>-6.7984728957526396E-14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355.09162485318728</v>
      </c>
      <c r="AO117" s="59">
        <f t="shared" si="90"/>
        <v>320.06572891923685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84.024319633510714</v>
      </c>
      <c r="AV117" s="21">
        <f>EXP(-LN(2)/25)*AV116+(1-EXP(-LN(2)/25))/(LN(2)/25)*Calculateur!AQ117*Calculateur!AS117*VLOOKUP('Données projet'!$B$10,Paramètres!$A$1:$I$89,3,0)*0.475*44/12</f>
        <v>14.78593581413071</v>
      </c>
      <c r="AW117" s="21">
        <f>EXP(-LN(2)/2)*AW116+(1-EXP(-LN(2)/2))/(LN(2)/2)*AQ117*AT117*VLOOKUP('Données projet'!$B$10,Paramètres!$A$1:$I$89,3,0)*0.475*44/12</f>
        <v>8.9054366524582215E-5</v>
      </c>
      <c r="AX117" s="21">
        <f t="shared" si="60"/>
        <v>98.81034450200795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6.8461538461538511</v>
      </c>
      <c r="BD117" s="12">
        <f>IF('Données projet'!$A$88&gt;35,BD116+BC117-BL116,IF(A117&lt;'Données projet'!$A$88,$BA$205^A117,IF(A117='Données projet'!$A$88,'Données projet'!$B$88,BD116+BC117-BL116)))</f>
        <v>323.10897435897476</v>
      </c>
      <c r="BE117" s="13">
        <f>BD117*VLOOKUP('Données projet'!$B$11,Paramètres!$A$1:$I$89,3,0)*VLOOKUP('Données projet'!$B$11,Paramètres!$A$1:$I$89,5,0)</f>
        <v>327.63250000000045</v>
      </c>
      <c r="BF117" s="13">
        <f t="shared" si="91"/>
        <v>76.939258522537983</v>
      </c>
      <c r="BG117" s="20">
        <f t="shared" si="61"/>
        <v>704.62914609342113</v>
      </c>
      <c r="BH117" s="59">
        <f t="shared" si="62"/>
        <v>997.9624794267545</v>
      </c>
      <c r="BI117" s="59">
        <f ca="1">AVERAGE(OFFSET($BH$3,0,0,'Données projet'!$E$11+1,1))-AVERAGE(OFFSET($H$3,0,0,'Données projet'!$E$11+1,1))</f>
        <v>425.47148407510412</v>
      </c>
      <c r="BJ117" s="59">
        <f t="shared" si="92"/>
        <v>308.54448799922471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61.072761606793819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61.072761606793819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-1.3596945791505279E-13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323.20040177531774</v>
      </c>
      <c r="T118" s="59">
        <f t="shared" si="88"/>
        <v>402.87981443974337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50.621111006041126</v>
      </c>
      <c r="AA118" s="21">
        <f>EXP(-LN(2)/25)*AA117+(1-EXP(-LN(2)/25))/(LN(2)/25)*Calculateur!V118*Calculateur!X118*VLOOKUP('Données projet'!$B$9,Paramètres!$A$1:$I$89,3,0)*0.475*44/12</f>
        <v>8.6098811152718575</v>
      </c>
      <c r="AB118" s="21">
        <f>EXP(-LN(2)/2)*AB117+(1-EXP(-LN(2)/2))/(LN(2)/2)*V118*Y118*VLOOKUP('Données projet'!$B$9,Paramètres!$A$1:$I$89,3,0)*0.475*44/12</f>
        <v>5.3218787343799493E-8</v>
      </c>
      <c r="AC118" s="22">
        <f t="shared" si="57"/>
        <v>59.230992174531764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-1.1368683772161603E-13</v>
      </c>
      <c r="AJ118" s="13">
        <f>AI118*VLOOKUP('Données projet'!$B$10,Paramètres!$A$1:$I$89,3,0)*VLOOKUP('Données projet'!$B$10,Paramètres!$A$1:$I$89,5,0)</f>
        <v>-6.7984728957526396E-14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355.09162485318728</v>
      </c>
      <c r="AO118" s="59">
        <f t="shared" si="90"/>
        <v>320.06572891923685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82.376653975272049</v>
      </c>
      <c r="AV118" s="21">
        <f>EXP(-LN(2)/25)*AV117+(1-EXP(-LN(2)/25))/(LN(2)/25)*Calculateur!AQ118*Calculateur!AS118*VLOOKUP('Données projet'!$B$10,Paramètres!$A$1:$I$89,3,0)*0.475*44/12</f>
        <v>14.381613621734735</v>
      </c>
      <c r="AW118" s="21">
        <f>EXP(-LN(2)/2)*AW117+(1-EXP(-LN(2)/2))/(LN(2)/2)*AQ118*AT118*VLOOKUP('Données projet'!$B$10,Paramètres!$A$1:$I$89,3,0)*0.475*44/12</f>
        <v>6.2970946463804359E-5</v>
      </c>
      <c r="AX118" s="21">
        <f t="shared" si="60"/>
        <v>96.758330567953237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6.8461538461538511</v>
      </c>
      <c r="BD118" s="12">
        <f>IF('Données projet'!$A$88&gt;35,BD117+BC118-BL117,IF(A118&lt;'Données projet'!$A$88,$BA$205^A118,IF(A118='Données projet'!$A$88,'Données projet'!$B$88,BD117+BC118-BL117)))</f>
        <v>329.95512820512863</v>
      </c>
      <c r="BE118" s="13">
        <f>BD118*VLOOKUP('Données projet'!$B$11,Paramètres!$A$1:$I$89,3,0)*VLOOKUP('Données projet'!$B$11,Paramètres!$A$1:$I$89,5,0)</f>
        <v>334.57450000000046</v>
      </c>
      <c r="BF118" s="13">
        <f t="shared" si="91"/>
        <v>78.377956496830535</v>
      </c>
      <c r="BG118" s="20">
        <f t="shared" si="61"/>
        <v>719.22552839864738</v>
      </c>
      <c r="BH118" s="59">
        <f t="shared" si="62"/>
        <v>1012.5588617319806</v>
      </c>
      <c r="BI118" s="59">
        <f ca="1">AVERAGE(OFFSET($BH$3,0,0,'Données projet'!$E$11+1,1))-AVERAGE(OFFSET($H$3,0,0,'Données projet'!$E$11+1,1))</f>
        <v>425.47148407510412</v>
      </c>
      <c r="BJ118" s="59">
        <f t="shared" si="92"/>
        <v>308.54448799922471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59.875162002390972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59.875162002390972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-1.3596945791505279E-13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323.20040177531774</v>
      </c>
      <c r="T119" s="59">
        <f t="shared" si="88"/>
        <v>402.87981443974337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49.628461895041639</v>
      </c>
      <c r="AA119" s="21">
        <f>EXP(-LN(2)/25)*AA118+(1-EXP(-LN(2)/25))/(LN(2)/25)*Calculateur!V119*Calculateur!X119*VLOOKUP('Données projet'!$B$9,Paramètres!$A$1:$I$89,3,0)*0.475*44/12</f>
        <v>8.3744434634007785</v>
      </c>
      <c r="AB119" s="21">
        <f>EXP(-LN(2)/2)*AB118+(1-EXP(-LN(2)/2))/(LN(2)/2)*V119*Y119*VLOOKUP('Données projet'!$B$9,Paramètres!$A$1:$I$89,3,0)*0.475*44/12</f>
        <v>3.7631365417325432E-8</v>
      </c>
      <c r="AC119" s="22">
        <f t="shared" si="57"/>
        <v>58.002905396073785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-1.1368683772161603E-13</v>
      </c>
      <c r="AJ119" s="13">
        <f>AI119*VLOOKUP('Données projet'!$B$10,Paramètres!$A$1:$I$89,3,0)*VLOOKUP('Données projet'!$B$10,Paramètres!$A$1:$I$89,5,0)</f>
        <v>-6.7984728957526396E-14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355.09162485318728</v>
      </c>
      <c r="AO119" s="59">
        <f t="shared" si="90"/>
        <v>320.06572891923685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80.761298035614629</v>
      </c>
      <c r="AV119" s="21">
        <f>EXP(-LN(2)/25)*AV118+(1-EXP(-LN(2)/25))/(LN(2)/25)*Calculateur!AQ119*Calculateur!AS119*VLOOKUP('Données projet'!$B$10,Paramètres!$A$1:$I$89,3,0)*0.475*44/12</f>
        <v>13.988347640952208</v>
      </c>
      <c r="AW119" s="21">
        <f>EXP(-LN(2)/2)*AW118+(1-EXP(-LN(2)/2))/(LN(2)/2)*AQ119*AT119*VLOOKUP('Données projet'!$B$10,Paramètres!$A$1:$I$89,3,0)*0.475*44/12</f>
        <v>4.4527183262291107E-5</v>
      </c>
      <c r="AX119" s="21">
        <f t="shared" si="60"/>
        <v>94.749690203750106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6.8461538461538511</v>
      </c>
      <c r="BD119" s="12">
        <f>IF('Données projet'!$A$88&gt;35,BD118+BC119-BL118,IF(A119&lt;'Données projet'!$A$88,$BA$205^A119,IF(A119='Données projet'!$A$88,'Données projet'!$B$88,BD118+BC119-BL118)))</f>
        <v>336.8012820512825</v>
      </c>
      <c r="BE119" s="13">
        <f>BD119*VLOOKUP('Données projet'!$B$11,Paramètres!$A$1:$I$89,3,0)*VLOOKUP('Données projet'!$B$11,Paramètres!$A$1:$I$89,5,0)</f>
        <v>341.51650000000046</v>
      </c>
      <c r="BF119" s="13">
        <f t="shared" si="91"/>
        <v>79.813183723893872</v>
      </c>
      <c r="BG119" s="20">
        <f t="shared" si="61"/>
        <v>733.81586581911597</v>
      </c>
      <c r="BH119" s="59">
        <f t="shared" si="62"/>
        <v>1027.1491991524492</v>
      </c>
      <c r="BI119" s="59">
        <f ca="1">AVERAGE(OFFSET($BH$3,0,0,'Données projet'!$E$11+1,1))-AVERAGE(OFFSET($H$3,0,0,'Données projet'!$E$11+1,1))</f>
        <v>425.47148407510412</v>
      </c>
      <c r="BJ119" s="59">
        <f t="shared" si="92"/>
        <v>308.54448799922471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58.701046595766833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58.701046595766833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-1.3596945791505279E-13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323.20040177531774</v>
      </c>
      <c r="T120" s="59">
        <f t="shared" si="88"/>
        <v>402.87981443974337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48.655278027652678</v>
      </c>
      <c r="AA120" s="21">
        <f>EXP(-LN(2)/25)*AA119+(1-EXP(-LN(2)/25))/(LN(2)/25)*Calculateur!V120*Calculateur!X120*VLOOKUP('Données projet'!$B$9,Paramètres!$A$1:$I$89,3,0)*0.475*44/12</f>
        <v>8.1454438665012425</v>
      </c>
      <c r="AB120" s="21">
        <f>EXP(-LN(2)/2)*AB119+(1-EXP(-LN(2)/2))/(LN(2)/2)*V120*Y120*VLOOKUP('Données projet'!$B$9,Paramètres!$A$1:$I$89,3,0)*0.475*44/12</f>
        <v>2.6609393671899747E-8</v>
      </c>
      <c r="AC120" s="22">
        <f t="shared" si="57"/>
        <v>56.800721920763316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-1.1368683772161603E-13</v>
      </c>
      <c r="AJ120" s="13">
        <f>AI120*VLOOKUP('Données projet'!$B$10,Paramètres!$A$1:$I$89,3,0)*VLOOKUP('Données projet'!$B$10,Paramètres!$A$1:$I$89,5,0)</f>
        <v>-6.7984728957526396E-14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355.09162485318728</v>
      </c>
      <c r="AO120" s="59">
        <f t="shared" si="90"/>
        <v>320.06572891923685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79.17761824066406</v>
      </c>
      <c r="AV120" s="21">
        <f>EXP(-LN(2)/25)*AV119+(1-EXP(-LN(2)/25))/(LN(2)/25)*Calculateur!AQ120*Calculateur!AS120*VLOOKUP('Données projet'!$B$10,Paramètres!$A$1:$I$89,3,0)*0.475*44/12</f>
        <v>13.605835539095137</v>
      </c>
      <c r="AW120" s="21">
        <f>EXP(-LN(2)/2)*AW119+(1-EXP(-LN(2)/2))/(LN(2)/2)*AQ120*AT120*VLOOKUP('Données projet'!$B$10,Paramètres!$A$1:$I$89,3,0)*0.475*44/12</f>
        <v>3.1485473231902179E-5</v>
      </c>
      <c r="AX120" s="21">
        <f t="shared" si="60"/>
        <v>92.783485265232429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6.8461538461538511</v>
      </c>
      <c r="BD120" s="12">
        <f>IF('Données projet'!$A$88&gt;35,BD119+BC120-BL119,IF(A120&lt;'Données projet'!$A$88,$BA$205^A120,IF(A120='Données projet'!$A$88,'Données projet'!$B$88,BD119+BC120-BL119)))</f>
        <v>343.64743589743637</v>
      </c>
      <c r="BE120" s="13">
        <f>BD120*VLOOKUP('Données projet'!$B$11,Paramètres!$A$1:$I$89,3,0)*VLOOKUP('Données projet'!$B$11,Paramètres!$A$1:$I$89,5,0)</f>
        <v>348.45850000000053</v>
      </c>
      <c r="BF120" s="13">
        <f t="shared" si="91"/>
        <v>81.245018883378833</v>
      </c>
      <c r="BG120" s="20">
        <f t="shared" si="61"/>
        <v>748.40029538855242</v>
      </c>
      <c r="BH120" s="59">
        <f t="shared" si="62"/>
        <v>1041.7336287218857</v>
      </c>
      <c r="BI120" s="59">
        <f ca="1">AVERAGE(OFFSET($BH$3,0,0,'Données projet'!$E$11+1,1))-AVERAGE(OFFSET($H$3,0,0,'Données projet'!$E$11+1,1))</f>
        <v>425.47148407510412</v>
      </c>
      <c r="BJ120" s="59">
        <f t="shared" si="92"/>
        <v>308.54448799922471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57.549954876126904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57.549954876126904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-1.3596945791505279E-13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323.20040177531774</v>
      </c>
      <c r="T121" s="59">
        <f t="shared" si="88"/>
        <v>402.87981443974337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47.701177702319669</v>
      </c>
      <c r="AA121" s="21">
        <f>EXP(-LN(2)/25)*AA120+(1-EXP(-LN(2)/25))/(LN(2)/25)*Calculateur!V121*Calculateur!X121*VLOOKUP('Données projet'!$B$9,Paramètres!$A$1:$I$89,3,0)*0.475*44/12</f>
        <v>7.9227062756214899</v>
      </c>
      <c r="AB121" s="21">
        <f>EXP(-LN(2)/2)*AB120+(1-EXP(-LN(2)/2))/(LN(2)/2)*V121*Y121*VLOOKUP('Données projet'!$B$9,Paramètres!$A$1:$I$89,3,0)*0.475*44/12</f>
        <v>1.8815682708662716E-8</v>
      </c>
      <c r="AC121" s="22">
        <f t="shared" si="57"/>
        <v>55.623883996756845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-1.1368683772161603E-13</v>
      </c>
      <c r="AJ121" s="13">
        <f>AI121*VLOOKUP('Données projet'!$B$10,Paramètres!$A$1:$I$89,3,0)*VLOOKUP('Données projet'!$B$10,Paramètres!$A$1:$I$89,5,0)</f>
        <v>-6.7984728957526396E-14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355.09162485318728</v>
      </c>
      <c r="AO121" s="59">
        <f t="shared" si="90"/>
        <v>320.06572891923685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77.624993440543165</v>
      </c>
      <c r="AV121" s="21">
        <f>EXP(-LN(2)/25)*AV120+(1-EXP(-LN(2)/25))/(LN(2)/25)*Calculateur!AQ121*Calculateur!AS121*VLOOKUP('Données projet'!$B$10,Paramètres!$A$1:$I$89,3,0)*0.475*44/12</f>
        <v>13.233783250778787</v>
      </c>
      <c r="AW121" s="21">
        <f>EXP(-LN(2)/2)*AW120+(1-EXP(-LN(2)/2))/(LN(2)/2)*AQ121*AT121*VLOOKUP('Données projet'!$B$10,Paramètres!$A$1:$I$89,3,0)*0.475*44/12</f>
        <v>2.2263591631145554E-5</v>
      </c>
      <c r="AX121" s="21">
        <f t="shared" si="60"/>
        <v>90.858798954913581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6.8461538461538511</v>
      </c>
      <c r="BD121" s="12">
        <f>IF('Données projet'!$A$88&gt;35,BD120+BC121-BL120,IF(A121&lt;'Données projet'!$A$88,$BA$205^A121,IF(A121='Données projet'!$A$88,'Données projet'!$B$88,BD120+BC121-BL120)))</f>
        <v>350.49358974359023</v>
      </c>
      <c r="BE121" s="13">
        <f>BD121*VLOOKUP('Données projet'!$B$11,Paramètres!$A$1:$I$89,3,0)*VLOOKUP('Données projet'!$B$11,Paramètres!$A$1:$I$89,5,0)</f>
        <v>355.40050000000053</v>
      </c>
      <c r="BF121" s="13">
        <f t="shared" si="91"/>
        <v>82.673537340753484</v>
      </c>
      <c r="BG121" s="20">
        <f t="shared" si="61"/>
        <v>762.97894836847979</v>
      </c>
      <c r="BH121" s="59">
        <f t="shared" si="62"/>
        <v>1056.3122817018132</v>
      </c>
      <c r="BI121" s="59">
        <f ca="1">AVERAGE(OFFSET($BH$3,0,0,'Données projet'!$E$11+1,1))-AVERAGE(OFFSET($H$3,0,0,'Données projet'!$E$11+1,1))</f>
        <v>425.47148407510412</v>
      </c>
      <c r="BJ121" s="59">
        <f t="shared" si="92"/>
        <v>308.54448799922471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56.421435363012492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56.421435363012492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-1.3596945791505279E-13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323.20040177531774</v>
      </c>
      <c r="T122" s="59">
        <f t="shared" si="88"/>
        <v>402.87981443974337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46.765786702422702</v>
      </c>
      <c r="AA122" s="21">
        <f>EXP(-LN(2)/25)*AA121+(1-EXP(-LN(2)/25))/(LN(2)/25)*Calculateur!V122*Calculateur!X122*VLOOKUP('Données projet'!$B$9,Paramètres!$A$1:$I$89,3,0)*0.475*44/12</f>
        <v>7.7060594558776048</v>
      </c>
      <c r="AB122" s="21">
        <f>EXP(-LN(2)/2)*AB121+(1-EXP(-LN(2)/2))/(LN(2)/2)*V122*Y122*VLOOKUP('Données projet'!$B$9,Paramètres!$A$1:$I$89,3,0)*0.475*44/12</f>
        <v>1.3304696835949873E-8</v>
      </c>
      <c r="AC122" s="22">
        <f t="shared" si="57"/>
        <v>54.471846171605009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-1.1368683772161603E-13</v>
      </c>
      <c r="AJ122" s="13">
        <f>AI122*VLOOKUP('Données projet'!$B$10,Paramètres!$A$1:$I$89,3,0)*VLOOKUP('Données projet'!$B$10,Paramètres!$A$1:$I$89,5,0)</f>
        <v>-6.7984728957526396E-14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355.09162485318728</v>
      </c>
      <c r="AO122" s="59">
        <f t="shared" si="90"/>
        <v>320.06572891923685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76.102814665745029</v>
      </c>
      <c r="AV122" s="21">
        <f>EXP(-LN(2)/25)*AV121+(1-EXP(-LN(2)/25))/(LN(2)/25)*Calculateur!AQ122*Calculateur!AS122*VLOOKUP('Données projet'!$B$10,Paramètres!$A$1:$I$89,3,0)*0.475*44/12</f>
        <v>12.871904751851826</v>
      </c>
      <c r="AW122" s="21">
        <f>EXP(-LN(2)/2)*AW121+(1-EXP(-LN(2)/2))/(LN(2)/2)*AQ122*AT122*VLOOKUP('Données projet'!$B$10,Paramètres!$A$1:$I$89,3,0)*0.475*44/12</f>
        <v>1.574273661595109E-5</v>
      </c>
      <c r="AX122" s="21">
        <f t="shared" si="60"/>
        <v>88.974735160333481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>
        <f>VLOOKUP(A122,'Données projet'!$A$87:$I$107,2,0)</f>
        <v>357.33974358974359</v>
      </c>
      <c r="BB122" s="12">
        <f>VLOOKUP(A122,'Données projet'!$A$87:$I$107,9,0)</f>
        <v>6.8461538461538511</v>
      </c>
      <c r="BC122" s="12">
        <f t="array" ref="BC122">INDEX(BB:BB,MIN(IF(ISNUMBER(BB122:BB318),ROW(BB122:BB318),"")))</f>
        <v>6.8461538461538511</v>
      </c>
      <c r="BD122" s="12">
        <f>IF('Données projet'!$A$88&gt;35,BD121+BC122-BL121,IF(A122&lt;'Données projet'!$A$88,$BA$205^A122,IF(A122='Données projet'!$A$88,'Données projet'!$B$88,BD121+BC122-BL121)))</f>
        <v>357.3397435897441</v>
      </c>
      <c r="BE122" s="13">
        <f>BD122*VLOOKUP('Données projet'!$B$11,Paramètres!$A$1:$I$89,3,0)*VLOOKUP('Données projet'!$B$11,Paramètres!$A$1:$I$89,5,0)</f>
        <v>362.34250000000054</v>
      </c>
      <c r="BF122" s="13">
        <f t="shared" si="91"/>
        <v>84.098811348867258</v>
      </c>
      <c r="BG122" s="20">
        <f t="shared" si="61"/>
        <v>777.55195059927792</v>
      </c>
      <c r="BH122" s="59">
        <f t="shared" si="62"/>
        <v>1070.8852839326112</v>
      </c>
      <c r="BI122" s="59">
        <f ca="1">AVERAGE(OFFSET($BH$3,0,0,'Données projet'!$E$11+1,1))-AVERAGE(OFFSET($H$3,0,0,'Données projet'!$E$11+1,1))</f>
        <v>425.47148407510412</v>
      </c>
      <c r="BJ122" s="59">
        <f t="shared" si="92"/>
        <v>308.54448799922471</v>
      </c>
      <c r="BK122" s="15">
        <f>IF(ISNA(VLOOKUP(A122,'Données projet'!$A$87:$I$107,3,0)),0,VLOOKUP(A122,'Données projet'!$A$87:$I$107,3,0))</f>
        <v>11</v>
      </c>
      <c r="BL122" s="15">
        <f>IF(ISNA(VLOOKUP(A122,'Données projet'!$A$87:$I$107,4,0)),0,VLOOKUP(A122,'Données projet'!$A$87:$I$107,4,0))</f>
        <v>150.02564102564102</v>
      </c>
      <c r="BM122" s="16">
        <f>IF(ISNA(VLOOKUP(A122,'Données projet'!$A$87:$I$107,5,0)),0%,VLOOKUP(A122,'Données projet'!$A$87:$I$107,5,0)*VLOOKUP('Données projet'!$B$11,Paramètres!$A$1:$I$89,7,0))</f>
        <v>0.38700000000000001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120.39713998151436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120.39713998151436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-1.3596945791505279E-13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323.20040177531774</v>
      </c>
      <c r="T123" s="59">
        <f t="shared" si="88"/>
        <v>402.87981443974337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45.848738149501536</v>
      </c>
      <c r="AA123" s="21">
        <f>EXP(-LN(2)/25)*AA122+(1-EXP(-LN(2)/25))/(LN(2)/25)*Calculateur!V123*Calculateur!X123*VLOOKUP('Données projet'!$B$9,Paramètres!$A$1:$I$89,3,0)*0.475*44/12</f>
        <v>7.4953368548125772</v>
      </c>
      <c r="AB123" s="21">
        <f>EXP(-LN(2)/2)*AB122+(1-EXP(-LN(2)/2))/(LN(2)/2)*V123*Y123*VLOOKUP('Données projet'!$B$9,Paramètres!$A$1:$I$89,3,0)*0.475*44/12</f>
        <v>9.4078413543313581E-9</v>
      </c>
      <c r="AC123" s="22">
        <f t="shared" si="57"/>
        <v>53.344075013721955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-1.1368683772161603E-13</v>
      </c>
      <c r="AJ123" s="13">
        <f>AI123*VLOOKUP('Données projet'!$B$10,Paramètres!$A$1:$I$89,3,0)*VLOOKUP('Données projet'!$B$10,Paramètres!$A$1:$I$89,5,0)</f>
        <v>-6.7984728957526396E-14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355.09162485318728</v>
      </c>
      <c r="AO123" s="59">
        <f t="shared" si="90"/>
        <v>320.06572891923685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74.61048488828331</v>
      </c>
      <c r="AV123" s="21">
        <f>EXP(-LN(2)/25)*AV122+(1-EXP(-LN(2)/25))/(LN(2)/25)*Calculateur!AQ123*Calculateur!AS123*VLOOKUP('Données projet'!$B$10,Paramètres!$A$1:$I$89,3,0)*0.475*44/12</f>
        <v>12.519921839508386</v>
      </c>
      <c r="AW123" s="21">
        <f>EXP(-LN(2)/2)*AW122+(1-EXP(-LN(2)/2))/(LN(2)/2)*AQ123*AT123*VLOOKUP('Données projet'!$B$10,Paramètres!$A$1:$I$89,3,0)*0.475*44/12</f>
        <v>1.1131795815572777E-5</v>
      </c>
      <c r="AX123" s="21">
        <f t="shared" si="60"/>
        <v>87.13041785958751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3.8301282051282044</v>
      </c>
      <c r="BD123" s="12">
        <f>IF('Données projet'!$A$88&gt;35,BD122+BC123-BL122,IF(A123&lt;'Données projet'!$A$88,$BA$205^A123,IF(A123='Données projet'!$A$88,'Données projet'!$B$88,BD122+BC123-BL122)))</f>
        <v>211.14423076923126</v>
      </c>
      <c r="BE123" s="13">
        <f>BD123*VLOOKUP('Données projet'!$B$11,Paramètres!$A$1:$I$89,3,0)*VLOOKUP('Données projet'!$B$11,Paramètres!$A$1:$I$89,5,0)</f>
        <v>214.1002500000005</v>
      </c>
      <c r="BF123" s="13">
        <f t="shared" si="91"/>
        <v>52.83058262367053</v>
      </c>
      <c r="BG123" s="20">
        <f t="shared" si="61"/>
        <v>464.90453348622708</v>
      </c>
      <c r="BH123" s="59">
        <f t="shared" si="62"/>
        <v>758.2378668195604</v>
      </c>
      <c r="BI123" s="59">
        <f ca="1">AVERAGE(OFFSET($BH$3,0,0,'Données projet'!$E$11+1,1))-AVERAGE(OFFSET($H$3,0,0,'Données projet'!$E$11+1,1))</f>
        <v>425.47148407510412</v>
      </c>
      <c r="BJ123" s="59">
        <f t="shared" si="92"/>
        <v>308.54448799922471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118.03622550148114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118.03622550148114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-1.3596945791505279E-13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323.20040177531774</v>
      </c>
      <c r="T124" s="59">
        <f t="shared" si="88"/>
        <v>402.87981443974337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44.949672359358772</v>
      </c>
      <c r="AA124" s="21">
        <f>EXP(-LN(2)/25)*AA123+(1-EXP(-LN(2)/25))/(LN(2)/25)*Calculateur!V124*Calculateur!X124*VLOOKUP('Données projet'!$B$9,Paramètres!$A$1:$I$89,3,0)*0.475*44/12</f>
        <v>7.2903764743550932</v>
      </c>
      <c r="AB124" s="21">
        <f>EXP(-LN(2)/2)*AB123+(1-EXP(-LN(2)/2))/(LN(2)/2)*V124*Y124*VLOOKUP('Données projet'!$B$9,Paramètres!$A$1:$I$89,3,0)*0.475*44/12</f>
        <v>6.6523484179749366E-9</v>
      </c>
      <c r="AC124" s="22">
        <f t="shared" si="57"/>
        <v>52.240048840366214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-6.7984728957526396E-14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355.09162485318728</v>
      </c>
      <c r="AO124" s="59">
        <f t="shared" si="90"/>
        <v>320.06572891923685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73.14741878752632</v>
      </c>
      <c r="AV124" s="21">
        <f>EXP(-LN(2)/25)*AV123+(1-EXP(-LN(2)/25))/(LN(2)/25)*Calculateur!AQ124*Calculateur!AS124*VLOOKUP('Données projet'!$B$10,Paramètres!$A$1:$I$89,3,0)*0.475*44/12</f>
        <v>12.177563918412956</v>
      </c>
      <c r="AW124" s="21">
        <f>EXP(-LN(2)/2)*AW123+(1-EXP(-LN(2)/2))/(LN(2)/2)*AQ124*AT124*VLOOKUP('Données projet'!$B$10,Paramètres!$A$1:$I$89,3,0)*0.475*44/12</f>
        <v>7.8713683079755448E-6</v>
      </c>
      <c r="AX124" s="21">
        <f t="shared" si="60"/>
        <v>85.324990577307588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3.8301282051282044</v>
      </c>
      <c r="BD124" s="12">
        <f>IF('Données projet'!$A$88&gt;35,BD123+BC124-BL123,IF(A124&lt;'Données projet'!$A$88,$BA$205^A124,IF(A124='Données projet'!$A$88,'Données projet'!$B$88,BD123+BC124-BL123)))</f>
        <v>214.97435897435946</v>
      </c>
      <c r="BE124" s="13">
        <f>BD124*VLOOKUP('Données projet'!$B$11,Paramètres!$A$1:$I$89,3,0)*VLOOKUP('Données projet'!$B$11,Paramètres!$A$1:$I$89,5,0)</f>
        <v>217.98400000000052</v>
      </c>
      <c r="BF124" s="13">
        <f t="shared" si="91"/>
        <v>53.676483595327532</v>
      </c>
      <c r="BG124" s="20">
        <f t="shared" si="61"/>
        <v>473.14200892852961</v>
      </c>
      <c r="BH124" s="59">
        <f t="shared" si="62"/>
        <v>766.47534226186292</v>
      </c>
      <c r="BI124" s="59">
        <f ca="1">AVERAGE(OFFSET($BH$3,0,0,'Données projet'!$E$11+1,1))-AVERAGE(OFFSET($H$3,0,0,'Données projet'!$E$11+1,1))</f>
        <v>425.47148407510412</v>
      </c>
      <c r="BJ124" s="59">
        <f t="shared" si="92"/>
        <v>308.54448799922471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115.72160711438573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115.72160711438573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-1.3596945791505279E-13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323.20040177531774</v>
      </c>
      <c r="T125" s="59">
        <f t="shared" si="88"/>
        <v>402.87981443974337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44.06823670098472</v>
      </c>
      <c r="AA125" s="21">
        <f>EXP(-LN(2)/25)*AA124+(1-EXP(-LN(2)/25))/(LN(2)/25)*Calculateur!V125*Calculateur!X125*VLOOKUP('Données projet'!$B$9,Paramètres!$A$1:$I$89,3,0)*0.475*44/12</f>
        <v>7.0910207462796171</v>
      </c>
      <c r="AB125" s="21">
        <f>EXP(-LN(2)/2)*AB124+(1-EXP(-LN(2)/2))/(LN(2)/2)*V125*Y125*VLOOKUP('Données projet'!$B$9,Paramètres!$A$1:$I$89,3,0)*0.475*44/12</f>
        <v>4.703920677165679E-9</v>
      </c>
      <c r="AC125" s="22">
        <f t="shared" si="57"/>
        <v>51.159257451968259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-6.7984728957526396E-14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355.09162485318728</v>
      </c>
      <c r="AO125" s="59">
        <f t="shared" si="90"/>
        <v>320.06572891923685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71.713042520622977</v>
      </c>
      <c r="AV125" s="21">
        <f>EXP(-LN(2)/25)*AV124+(1-EXP(-LN(2)/25))/(LN(2)/25)*Calculateur!AQ125*Calculateur!AS125*VLOOKUP('Données projet'!$B$10,Paramètres!$A$1:$I$89,3,0)*0.475*44/12</f>
        <v>11.844567792673699</v>
      </c>
      <c r="AW125" s="21">
        <f>EXP(-LN(2)/2)*AW124+(1-EXP(-LN(2)/2))/(LN(2)/2)*AQ125*AT125*VLOOKUP('Données projet'!$B$10,Paramètres!$A$1:$I$89,3,0)*0.475*44/12</f>
        <v>5.5658979077863884E-6</v>
      </c>
      <c r="AX125" s="21">
        <f t="shared" si="60"/>
        <v>83.557615879194586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3.8301282051282044</v>
      </c>
      <c r="BD125" s="12">
        <f>IF('Données projet'!$A$88&gt;35,BD124+BC125-BL124,IF(A125&lt;'Données projet'!$A$88,$BA$205^A125,IF(A125='Données projet'!$A$88,'Données projet'!$B$88,BD124+BC125-BL124)))</f>
        <v>218.80448717948767</v>
      </c>
      <c r="BE125" s="13">
        <f>BD125*VLOOKUP('Données projet'!$B$11,Paramètres!$A$1:$I$89,3,0)*VLOOKUP('Données projet'!$B$11,Paramètres!$A$1:$I$89,5,0)</f>
        <v>221.86775000000048</v>
      </c>
      <c r="BF125" s="13">
        <f t="shared" si="91"/>
        <v>54.520632005800415</v>
      </c>
      <c r="BG125" s="20">
        <f t="shared" si="61"/>
        <v>481.37643199343648</v>
      </c>
      <c r="BH125" s="59">
        <f t="shared" si="62"/>
        <v>774.7097653267698</v>
      </c>
      <c r="BI125" s="59">
        <f ca="1">AVERAGE(OFFSET($BH$3,0,0,'Données projet'!$E$11+1,1))-AVERAGE(OFFSET($H$3,0,0,'Données projet'!$E$11+1,1))</f>
        <v>425.47148407510412</v>
      </c>
      <c r="BJ125" s="59">
        <f t="shared" si="92"/>
        <v>308.54448799922471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113.45237698208345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113.45237698208345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-1.3596945791505279E-13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323.20040177531774</v>
      </c>
      <c r="T126" s="59">
        <f t="shared" si="88"/>
        <v>402.87981443974337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43.20408545824872</v>
      </c>
      <c r="AA126" s="21">
        <f>EXP(-LN(2)/25)*AA125+(1-EXP(-LN(2)/25))/(LN(2)/25)*Calculateur!V126*Calculateur!X126*VLOOKUP('Données projet'!$B$9,Paramètres!$A$1:$I$89,3,0)*0.475*44/12</f>
        <v>6.8971164110720267</v>
      </c>
      <c r="AB126" s="21">
        <f>EXP(-LN(2)/2)*AB125+(1-EXP(-LN(2)/2))/(LN(2)/2)*V126*Y126*VLOOKUP('Données projet'!$B$9,Paramètres!$A$1:$I$89,3,0)*0.475*44/12</f>
        <v>3.3261742089874683E-9</v>
      </c>
      <c r="AC126" s="22">
        <f t="shared" si="57"/>
        <v>50.101201872646918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-6.7984728957526396E-14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355.09162485318728</v>
      </c>
      <c r="AO126" s="59">
        <f t="shared" si="90"/>
        <v>320.06572891923685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70.306793497430476</v>
      </c>
      <c r="AV126" s="21">
        <f>EXP(-LN(2)/25)*AV125+(1-EXP(-LN(2)/25))/(LN(2)/25)*Calculateur!AQ126*Calculateur!AS126*VLOOKUP('Données projet'!$B$10,Paramètres!$A$1:$I$89,3,0)*0.475*44/12</f>
        <v>11.520677463504287</v>
      </c>
      <c r="AW126" s="21">
        <f>EXP(-LN(2)/2)*AW125+(1-EXP(-LN(2)/2))/(LN(2)/2)*AQ126*AT126*VLOOKUP('Données projet'!$B$10,Paramètres!$A$1:$I$89,3,0)*0.475*44/12</f>
        <v>3.9356841539877724E-6</v>
      </c>
      <c r="AX126" s="21">
        <f t="shared" si="60"/>
        <v>81.827474896618909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222.63461538461539</v>
      </c>
      <c r="BB126" s="12">
        <f>VLOOKUP(A126,'Données projet'!$A$87:$I$107,9,0)</f>
        <v>3.8301282051282044</v>
      </c>
      <c r="BC126" s="12">
        <f t="array" ref="BC126">INDEX(BB:BB,MIN(IF(ISNUMBER(BB126:BB322),ROW(BB126:BB322),"")))</f>
        <v>3.8301282051282044</v>
      </c>
      <c r="BD126" s="12">
        <f>IF('Données projet'!$A$88&gt;35,BD125+BC126-BL125,IF(A126&lt;'Données projet'!$A$88,$BA$205^A126,IF(A126='Données projet'!$A$88,'Données projet'!$B$88,BD125+BC126-BL125)))</f>
        <v>222.63461538461587</v>
      </c>
      <c r="BE126" s="13">
        <f>BD126*VLOOKUP('Données projet'!$B$11,Paramètres!$A$1:$I$89,3,0)*VLOOKUP('Données projet'!$B$11,Paramètres!$A$1:$I$89,5,0)</f>
        <v>225.7515000000005</v>
      </c>
      <c r="BF126" s="13">
        <f t="shared" si="91"/>
        <v>55.363062072917565</v>
      </c>
      <c r="BG126" s="20">
        <f t="shared" si="61"/>
        <v>489.60786227699901</v>
      </c>
      <c r="BH126" s="59">
        <f t="shared" si="62"/>
        <v>782.94119561033233</v>
      </c>
      <c r="BI126" s="59">
        <f ca="1">AVERAGE(OFFSET($BH$3,0,0,'Données projet'!$E$11+1,1))-AVERAGE(OFFSET($H$3,0,0,'Données projet'!$E$11+1,1))</f>
        <v>425.47148407510412</v>
      </c>
      <c r="BJ126" s="59">
        <f t="shared" si="92"/>
        <v>308.54448799922471</v>
      </c>
      <c r="BK126" s="15">
        <f>IF(ISNA(VLOOKUP(A126,'Données projet'!$A$87:$I$107,3,0)),0,VLOOKUP(A126,'Données projet'!$A$87:$I$107,3,0))</f>
        <v>12</v>
      </c>
      <c r="BL126" s="15">
        <f>IF(ISNA(VLOOKUP(A126,'Données projet'!$A$87:$I$107,4,0)),0,VLOOKUP(A126,'Données projet'!$A$87:$I$107,4,0))</f>
        <v>77.17307692307692</v>
      </c>
      <c r="BM126" s="16">
        <f>IF(ISNA(VLOOKUP(A126,'Données projet'!$A$87:$I$107,5,0)),0%,VLOOKUP(A126,'Données projet'!$A$87:$I$107,5,0)*VLOOKUP('Données projet'!$B$11,Paramètres!$A$1:$I$89,7,0))</f>
        <v>0.38700000000000001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144.70582556401243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144.70582556401243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-1.3596945791505279E-13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323.20040177531774</v>
      </c>
      <c r="T127" s="59">
        <f t="shared" si="88"/>
        <v>402.87981443974337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42.356879694302556</v>
      </c>
      <c r="AA127" s="21">
        <f>EXP(-LN(2)/25)*AA126+(1-EXP(-LN(2)/25))/(LN(2)/25)*Calculateur!V127*Calculateur!X127*VLOOKUP('Données projet'!$B$9,Paramètres!$A$1:$I$89,3,0)*0.475*44/12</f>
        <v>6.7085144001076733</v>
      </c>
      <c r="AB127" s="21">
        <f>EXP(-LN(2)/2)*AB126+(1-EXP(-LN(2)/2))/(LN(2)/2)*V127*Y127*VLOOKUP('Données projet'!$B$9,Paramètres!$A$1:$I$89,3,0)*0.475*44/12</f>
        <v>2.3519603385828395E-9</v>
      </c>
      <c r="AC127" s="22">
        <f t="shared" si="57"/>
        <v>49.065394096762191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-6.7984728957526396E-14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355.09162485318728</v>
      </c>
      <c r="AO127" s="59">
        <f t="shared" si="90"/>
        <v>320.06572891923685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68.928120159855567</v>
      </c>
      <c r="AV127" s="21">
        <f>EXP(-LN(2)/25)*AV126+(1-EXP(-LN(2)/25))/(LN(2)/25)*Calculateur!AQ127*Calculateur!AS127*VLOOKUP('Données projet'!$B$10,Paramètres!$A$1:$I$89,3,0)*0.475*44/12</f>
        <v>11.205643932418665</v>
      </c>
      <c r="AW127" s="21">
        <f>EXP(-LN(2)/2)*AW126+(1-EXP(-LN(2)/2))/(LN(2)/2)*AQ127*AT127*VLOOKUP('Données projet'!$B$10,Paramètres!$A$1:$I$89,3,0)*0.475*44/12</f>
        <v>2.7829489538931942E-6</v>
      </c>
      <c r="AX127" s="21">
        <f t="shared" si="60"/>
        <v>80.133766875223188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2.3349358974358978</v>
      </c>
      <c r="BD127" s="12">
        <f>IF('Données projet'!$A$88&gt;35,BD126+BC127-BL126,IF(A127&lt;'Données projet'!$A$88,$BA$205^A127,IF(A127='Données projet'!$A$88,'Données projet'!$B$88,BD126+BC127-BL126)))</f>
        <v>147.79647435897488</v>
      </c>
      <c r="BE127" s="13">
        <f>BD127*VLOOKUP('Données projet'!$B$11,Paramètres!$A$1:$I$89,3,0)*VLOOKUP('Données projet'!$B$11,Paramètres!$A$1:$I$89,5,0)</f>
        <v>149.86562500000053</v>
      </c>
      <c r="BF127" s="13">
        <f t="shared" si="91"/>
        <v>38.54804682725306</v>
      </c>
      <c r="BG127" s="20">
        <f t="shared" si="61"/>
        <v>328.15381176580001</v>
      </c>
      <c r="BH127" s="59">
        <f t="shared" si="62"/>
        <v>621.48714509913339</v>
      </c>
      <c r="BI127" s="59">
        <f ca="1">AVERAGE(OFFSET($BH$3,0,0,'Données projet'!$E$11+1,1))-AVERAGE(OFFSET($H$3,0,0,'Données projet'!$E$11+1,1))</f>
        <v>425.47148407510412</v>
      </c>
      <c r="BJ127" s="59">
        <f t="shared" si="92"/>
        <v>308.54448799922471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141.86823258654061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141.86823258654061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-1.3596945791505279E-13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323.20040177531774</v>
      </c>
      <c r="T128" s="59">
        <f t="shared" si="88"/>
        <v>402.87981443974337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41.526287118642891</v>
      </c>
      <c r="AA128" s="21">
        <f>EXP(-LN(2)/25)*AA127+(1-EXP(-LN(2)/25))/(LN(2)/25)*Calculateur!V128*Calculateur!X128*VLOOKUP('Données projet'!$B$9,Paramètres!$A$1:$I$89,3,0)*0.475*44/12</f>
        <v>6.5250697210512891</v>
      </c>
      <c r="AB128" s="21">
        <f>EXP(-LN(2)/2)*AB127+(1-EXP(-LN(2)/2))/(LN(2)/2)*V128*Y128*VLOOKUP('Données projet'!$B$9,Paramètres!$A$1:$I$89,3,0)*0.475*44/12</f>
        <v>1.6630871044937342E-9</v>
      </c>
      <c r="AC128" s="22">
        <f t="shared" si="57"/>
        <v>48.051356841357268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-6.7984728957526396E-14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355.09162485318728</v>
      </c>
      <c r="AO128" s="59">
        <f t="shared" si="90"/>
        <v>320.06572891923685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67.5764817655228</v>
      </c>
      <c r="AV128" s="21">
        <f>EXP(-LN(2)/25)*AV127+(1-EXP(-LN(2)/25))/(LN(2)/25)*Calculateur!AQ128*Calculateur!AS128*VLOOKUP('Données projet'!$B$10,Paramètres!$A$1:$I$89,3,0)*0.475*44/12</f>
        <v>10.899225009807473</v>
      </c>
      <c r="AW128" s="21">
        <f>EXP(-LN(2)/2)*AW127+(1-EXP(-LN(2)/2))/(LN(2)/2)*AQ128*AT128*VLOOKUP('Données projet'!$B$10,Paramètres!$A$1:$I$89,3,0)*0.475*44/12</f>
        <v>1.9678420769938862E-6</v>
      </c>
      <c r="AX128" s="21">
        <f t="shared" si="60"/>
        <v>78.475708743172362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2.3349358974358978</v>
      </c>
      <c r="BD128" s="12">
        <f>IF('Données projet'!$A$88&gt;35,BD127+BC128-BL127,IF(A128&lt;'Données projet'!$A$88,$BA$205^A128,IF(A128='Données projet'!$A$88,'Données projet'!$B$88,BD127+BC128-BL127)))</f>
        <v>150.13141025641079</v>
      </c>
      <c r="BE128" s="13">
        <f>BD128*VLOOKUP('Données projet'!$B$11,Paramètres!$A$1:$I$89,3,0)*VLOOKUP('Données projet'!$B$11,Paramètres!$A$1:$I$89,5,0)</f>
        <v>152.23325000000054</v>
      </c>
      <c r="BF128" s="13">
        <f t="shared" si="91"/>
        <v>39.08566235307034</v>
      </c>
      <c r="BG128" s="20">
        <f t="shared" si="61"/>
        <v>333.21377234826514</v>
      </c>
      <c r="BH128" s="59">
        <f t="shared" si="62"/>
        <v>626.5471056815984</v>
      </c>
      <c r="BI128" s="59">
        <f ca="1">AVERAGE(OFFSET($BH$3,0,0,'Données projet'!$E$11+1,1))-AVERAGE(OFFSET($H$3,0,0,'Données projet'!$E$11+1,1))</f>
        <v>425.47148407510412</v>
      </c>
      <c r="BJ128" s="59">
        <f t="shared" si="92"/>
        <v>308.54448799922471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139.0862830765962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139.0862830765962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-1.3596945791505279E-13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323.20040177531774</v>
      </c>
      <c r="T129" s="59">
        <f t="shared" si="88"/>
        <v>402.87981443974337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40.711981956780463</v>
      </c>
      <c r="AA129" s="21">
        <f>EXP(-LN(2)/25)*AA128+(1-EXP(-LN(2)/25))/(LN(2)/25)*Calculateur!V129*Calculateur!X129*VLOOKUP('Données projet'!$B$9,Paramètres!$A$1:$I$89,3,0)*0.475*44/12</f>
        <v>6.3466413463906379</v>
      </c>
      <c r="AB129" s="21">
        <f>EXP(-LN(2)/2)*AB128+(1-EXP(-LN(2)/2))/(LN(2)/2)*V129*Y129*VLOOKUP('Données projet'!$B$9,Paramètres!$A$1:$I$89,3,0)*0.475*44/12</f>
        <v>1.1759801692914198E-9</v>
      </c>
      <c r="AC129" s="22">
        <f t="shared" si="57"/>
        <v>47.05862330434708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-6.7984728957526396E-14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355.09162485318728</v>
      </c>
      <c r="AO129" s="59">
        <f t="shared" si="90"/>
        <v>320.06572891923685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66.251348175684882</v>
      </c>
      <c r="AV129" s="21">
        <f>EXP(-LN(2)/25)*AV128+(1-EXP(-LN(2)/25))/(LN(2)/25)*Calculateur!AQ129*Calculateur!AS129*VLOOKUP('Données projet'!$B$10,Paramètres!$A$1:$I$89,3,0)*0.475*44/12</f>
        <v>10.601185128748956</v>
      </c>
      <c r="AW129" s="21">
        <f>EXP(-LN(2)/2)*AW128+(1-EXP(-LN(2)/2))/(LN(2)/2)*AQ129*AT129*VLOOKUP('Données projet'!$B$10,Paramètres!$A$1:$I$89,3,0)*0.475*44/12</f>
        <v>1.3914744769465971E-6</v>
      </c>
      <c r="AX129" s="21">
        <f t="shared" si="60"/>
        <v>76.852534695908304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2.3349358974358978</v>
      </c>
      <c r="BD129" s="12">
        <f>IF('Données projet'!$A$88&gt;35,BD128+BC129-BL128,IF(A129&lt;'Données projet'!$A$88,$BA$205^A129,IF(A129='Données projet'!$A$88,'Données projet'!$B$88,BD128+BC129-BL128)))</f>
        <v>152.4663461538467</v>
      </c>
      <c r="BE129" s="13">
        <f>BD129*VLOOKUP('Données projet'!$B$11,Paramètres!$A$1:$I$89,3,0)*VLOOKUP('Données projet'!$B$11,Paramètres!$A$1:$I$89,5,0)</f>
        <v>154.60087500000057</v>
      </c>
      <c r="BF129" s="13">
        <f t="shared" si="91"/>
        <v>39.622305459420097</v>
      </c>
      <c r="BG129" s="20">
        <f t="shared" si="61"/>
        <v>338.27203930015764</v>
      </c>
      <c r="BH129" s="59">
        <f t="shared" si="62"/>
        <v>631.60537263349102</v>
      </c>
      <c r="BI129" s="59">
        <f ca="1">AVERAGE(OFFSET($BH$3,0,0,'Données projet'!$E$11+1,1))-AVERAGE(OFFSET($H$3,0,0,'Données projet'!$E$11+1,1))</f>
        <v>425.47148407510412</v>
      </c>
      <c r="BJ129" s="59">
        <f t="shared" si="92"/>
        <v>308.54448799922471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136.35888589972015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136.35888589972015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-1.3596945791505279E-13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323.20040177531774</v>
      </c>
      <c r="T130" s="59">
        <f t="shared" si="88"/>
        <v>402.87981443974337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39.913644822465052</v>
      </c>
      <c r="AA130" s="21">
        <f>EXP(-LN(2)/25)*AA129+(1-EXP(-LN(2)/25))/(LN(2)/25)*Calculateur!V130*Calculateur!X130*VLOOKUP('Données projet'!$B$9,Paramètres!$A$1:$I$89,3,0)*0.475*44/12</f>
        <v>6.173092105018223</v>
      </c>
      <c r="AB130" s="21">
        <f>EXP(-LN(2)/2)*AB129+(1-EXP(-LN(2)/2))/(LN(2)/2)*V130*Y130*VLOOKUP('Données projet'!$B$9,Paramètres!$A$1:$I$89,3,0)*0.475*44/12</f>
        <v>8.3154355224686708E-10</v>
      </c>
      <c r="AC130" s="22">
        <f t="shared" si="57"/>
        <v>46.086736928314814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-6.7984728957526396E-14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355.09162485318728</v>
      </c>
      <c r="AO130" s="59">
        <f t="shared" si="90"/>
        <v>320.06572891923685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64.952199647292005</v>
      </c>
      <c r="AV130" s="21">
        <f>EXP(-LN(2)/25)*AV129+(1-EXP(-LN(2)/25))/(LN(2)/25)*Calculateur!AQ130*Calculateur!AS130*VLOOKUP('Données projet'!$B$10,Paramètres!$A$1:$I$89,3,0)*0.475*44/12</f>
        <v>10.311295163911218</v>
      </c>
      <c r="AW130" s="21">
        <f>EXP(-LN(2)/2)*AW129+(1-EXP(-LN(2)/2))/(LN(2)/2)*AQ130*AT130*VLOOKUP('Données projet'!$B$10,Paramètres!$A$1:$I$89,3,0)*0.475*44/12</f>
        <v>9.839210384969431E-7</v>
      </c>
      <c r="AX130" s="21">
        <f t="shared" si="60"/>
        <v>75.263495795124271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154.80128205128204</v>
      </c>
      <c r="BB130" s="12">
        <f>VLOOKUP(A130,'Données projet'!$A$87:$I$107,9,0)</f>
        <v>2.3349358974358978</v>
      </c>
      <c r="BC130" s="12">
        <f t="array" ref="BC130">INDEX(BB:BB,MIN(IF(ISNUMBER(BB130:BB326),ROW(BB130:BB326),"")))</f>
        <v>2.3349358974358978</v>
      </c>
      <c r="BD130" s="12">
        <f>IF('Données projet'!$A$88&gt;35,BD129+BC130-BL129,IF(A130&lt;'Données projet'!$A$88,$BA$205^A130,IF(A130='Données projet'!$A$88,'Données projet'!$B$88,BD129+BC130-BL129)))</f>
        <v>154.80128205128261</v>
      </c>
      <c r="BE130" s="13">
        <f>BD130*VLOOKUP('Données projet'!$B$11,Paramètres!$A$1:$I$89,3,0)*VLOOKUP('Données projet'!$B$11,Paramètres!$A$1:$I$89,5,0)</f>
        <v>156.96850000000057</v>
      </c>
      <c r="BF130" s="13">
        <f t="shared" si="91"/>
        <v>40.157992758290085</v>
      </c>
      <c r="BG130" s="20">
        <f t="shared" si="61"/>
        <v>343.32864155402285</v>
      </c>
      <c r="BH130" s="59">
        <f t="shared" si="62"/>
        <v>636.66197488735611</v>
      </c>
      <c r="BI130" s="59">
        <f ca="1">AVERAGE(OFFSET($BH$3,0,0,'Données projet'!$E$11+1,1))-AVERAGE(OFFSET($H$3,0,0,'Données projet'!$E$11+1,1))</f>
        <v>425.47148407510412</v>
      </c>
      <c r="BJ130" s="59">
        <f t="shared" si="92"/>
        <v>308.54448799922471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49.916666666666671</v>
      </c>
      <c r="BM130" s="16">
        <f>IF(ISNA(VLOOKUP(A130,'Données projet'!$A$87:$I$107,5,0)),0%,VLOOKUP(A130,'Données projet'!$A$87:$I$107,5,0)*VLOOKUP('Données projet'!$B$11,Paramètres!$A$1:$I$89,7,0))</f>
        <v>0.38700000000000001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155.33914454809639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155.33914454809639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-1.3596945791505279E-13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323.20040177531774</v>
      </c>
      <c r="T131" s="59">
        <f t="shared" si="88"/>
        <v>402.87981443974337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39.13096259241599</v>
      </c>
      <c r="AA131" s="21">
        <f>EXP(-LN(2)/25)*AA130+(1-EXP(-LN(2)/25))/(LN(2)/25)*Calculateur!V131*Calculateur!X131*VLOOKUP('Données projet'!$B$9,Paramètres!$A$1:$I$89,3,0)*0.475*44/12</f>
        <v>6.0042885767776948</v>
      </c>
      <c r="AB131" s="21">
        <f>EXP(-LN(2)/2)*AB130+(1-EXP(-LN(2)/2))/(LN(2)/2)*V131*Y131*VLOOKUP('Données projet'!$B$9,Paramètres!$A$1:$I$89,3,0)*0.475*44/12</f>
        <v>5.8799008464570988E-10</v>
      </c>
      <c r="AC131" s="22">
        <f t="shared" si="57"/>
        <v>45.135251169781675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-6.7984728957526396E-14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355.09162485318728</v>
      </c>
      <c r="AO131" s="59">
        <f t="shared" si="90"/>
        <v>320.06572891923685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63.678526629138545</v>
      </c>
      <c r="AV131" s="21">
        <f>EXP(-LN(2)/25)*AV130+(1-EXP(-LN(2)/25))/(LN(2)/25)*Calculateur!AQ131*Calculateur!AS131*VLOOKUP('Données projet'!$B$10,Paramètres!$A$1:$I$89,3,0)*0.475*44/12</f>
        <v>10.02933225540662</v>
      </c>
      <c r="AW131" s="21">
        <f>EXP(-LN(2)/2)*AW130+(1-EXP(-LN(2)/2))/(LN(2)/2)*AQ131*AT131*VLOOKUP('Données projet'!$B$10,Paramètres!$A$1:$I$89,3,0)*0.475*44/12</f>
        <v>6.9573723847329855E-7</v>
      </c>
      <c r="AX131" s="21">
        <f t="shared" si="60"/>
        <v>73.707859580282403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1.5064102564102591</v>
      </c>
      <c r="BD131" s="12">
        <f>IF('Données projet'!$A$88&gt;35,BD130+BC131-BL130,IF(A131&lt;'Données projet'!$A$88,$BA$205^A131,IF(A131='Données projet'!$A$88,'Données projet'!$B$88,BD130+BC131-BL130)))</f>
        <v>106.39102564102619</v>
      </c>
      <c r="BE131" s="13">
        <f>BD131*VLOOKUP('Données projet'!$B$11,Paramètres!$A$1:$I$89,3,0)*VLOOKUP('Données projet'!$B$11,Paramètres!$A$1:$I$89,5,0)</f>
        <v>107.88050000000057</v>
      </c>
      <c r="BF131" s="13">
        <f t="shared" si="91"/>
        <v>28.83104978583652</v>
      </c>
      <c r="BG131" s="20">
        <f t="shared" si="61"/>
        <v>238.10594921033294</v>
      </c>
      <c r="BH131" s="59">
        <f t="shared" si="62"/>
        <v>531.4392825436662</v>
      </c>
      <c r="BI131" s="59">
        <f ca="1">AVERAGE(OFFSET($BH$3,0,0,'Données projet'!$E$11+1,1))-AVERAGE(OFFSET($H$3,0,0,'Données projet'!$E$11+1,1))</f>
        <v>425.47148407510412</v>
      </c>
      <c r="BJ131" s="59">
        <f t="shared" si="92"/>
        <v>308.54448799922471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152.29303867103084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152.29303867103084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-1.3596945791505279E-13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323.20040177531774</v>
      </c>
      <c r="T132" s="59">
        <f t="shared" si="88"/>
        <v>402.87981443974337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38.363628283509172</v>
      </c>
      <c r="AA132" s="21">
        <f>EXP(-LN(2)/25)*AA131+(1-EXP(-LN(2)/25))/(LN(2)/25)*Calculateur!V132*Calculateur!X132*VLOOKUP('Données projet'!$B$9,Paramètres!$A$1:$I$89,3,0)*0.475*44/12</f>
        <v>5.8401009898938954</v>
      </c>
      <c r="AB132" s="21">
        <f>EXP(-LN(2)/2)*AB131+(1-EXP(-LN(2)/2))/(LN(2)/2)*V132*Y132*VLOOKUP('Données projet'!$B$9,Paramètres!$A$1:$I$89,3,0)*0.475*44/12</f>
        <v>4.1577177612343354E-10</v>
      </c>
      <c r="AC132" s="22">
        <f t="shared" ref="AC132:AC153" si="111">SUM(Z132:AB132)</f>
        <v>44.203729273818844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-6.7984728957526396E-14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355.09162485318728</v>
      </c>
      <c r="AO132" s="59">
        <f t="shared" si="90"/>
        <v>320.06572891923685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62.429829562007242</v>
      </c>
      <c r="AV132" s="21">
        <f>EXP(-LN(2)/25)*AV131+(1-EXP(-LN(2)/25))/(LN(2)/25)*Calculateur!AQ132*Calculateur!AS132*VLOOKUP('Données projet'!$B$10,Paramètres!$A$1:$I$89,3,0)*0.475*44/12</f>
        <v>9.755079637462865</v>
      </c>
      <c r="AW132" s="21">
        <f>EXP(-LN(2)/2)*AW131+(1-EXP(-LN(2)/2))/(LN(2)/2)*AQ132*AT132*VLOOKUP('Données projet'!$B$10,Paramètres!$A$1:$I$89,3,0)*0.475*44/12</f>
        <v>4.9196051924847155E-7</v>
      </c>
      <c r="AX132" s="21">
        <f t="shared" ref="AX132:AX153" si="114">SUM(AU132:AW132)</f>
        <v>72.184909691430633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1.5064102564102591</v>
      </c>
      <c r="BD132" s="12">
        <f>IF('Données projet'!$A$88&gt;35,BD131+BC132-BL131,IF(A132&lt;'Données projet'!$A$88,$BA$205^A132,IF(A132='Données projet'!$A$88,'Données projet'!$B$88,BD131+BC132-BL131)))</f>
        <v>107.89743589743645</v>
      </c>
      <c r="BE132" s="13">
        <f>BD132*VLOOKUP('Données projet'!$B$11,Paramètres!$A$1:$I$89,3,0)*VLOOKUP('Données projet'!$B$11,Paramètres!$A$1:$I$89,5,0)</f>
        <v>109.40800000000057</v>
      </c>
      <c r="BF132" s="13">
        <f t="shared" si="91"/>
        <v>29.191460979261141</v>
      </c>
      <c r="BG132" s="20">
        <f t="shared" ref="BG132:BG153" si="115">(BE132+BF132)*0.475*44/12</f>
        <v>241.39406120554747</v>
      </c>
      <c r="BH132" s="59">
        <f t="shared" ref="BH132:BH195" si="116">BG132+(AY132+AZ132)*44/12</f>
        <v>534.72739453888084</v>
      </c>
      <c r="BI132" s="59">
        <f ca="1">AVERAGE(OFFSET($BH$3,0,0,'Données projet'!$E$11+1,1))-AVERAGE(OFFSET($H$3,0,0,'Données projet'!$E$11+1,1))</f>
        <v>425.47148407510412</v>
      </c>
      <c r="BJ132" s="59">
        <f t="shared" si="92"/>
        <v>308.54448799922471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149.30666507227343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149.30666507227343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-1.3596945791505279E-13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323.20040177531774</v>
      </c>
      <c r="T133" s="59">
        <f t="shared" ref="T133:T196" si="142">$T$3</f>
        <v>402.87981443974337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37.6113409323723</v>
      </c>
      <c r="AA133" s="21">
        <f>EXP(-LN(2)/25)*AA132+(1-EXP(-LN(2)/25))/(LN(2)/25)*Calculateur!V133*Calculateur!X133*VLOOKUP('Données projet'!$B$9,Paramètres!$A$1:$I$89,3,0)*0.475*44/12</f>
        <v>5.6804031212076831</v>
      </c>
      <c r="AB133" s="21">
        <f>EXP(-LN(2)/2)*AB132+(1-EXP(-LN(2)/2))/(LN(2)/2)*V133*Y133*VLOOKUP('Données projet'!$B$9,Paramètres!$A$1:$I$89,3,0)*0.475*44/12</f>
        <v>2.9399504232285494E-10</v>
      </c>
      <c r="AC133" s="22">
        <f t="shared" si="111"/>
        <v>43.291744053873977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-6.7984728957526396E-14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355.09162485318728</v>
      </c>
      <c r="AO133" s="59">
        <f t="shared" ref="AO133:AO196" si="144">$AO$3</f>
        <v>320.06572891923685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61.205618682732378</v>
      </c>
      <c r="AV133" s="21">
        <f>EXP(-LN(2)/25)*AV132+(1-EXP(-LN(2)/25))/(LN(2)/25)*Calculateur!AQ133*Calculateur!AS133*VLOOKUP('Données projet'!$B$10,Paramètres!$A$1:$I$89,3,0)*0.475*44/12</f>
        <v>9.4883264717791</v>
      </c>
      <c r="AW133" s="21">
        <f>EXP(-LN(2)/2)*AW132+(1-EXP(-LN(2)/2))/(LN(2)/2)*AQ133*AT133*VLOOKUP('Données projet'!$B$10,Paramètres!$A$1:$I$89,3,0)*0.475*44/12</f>
        <v>3.4786861923664928E-7</v>
      </c>
      <c r="AX133" s="21">
        <f t="shared" si="114"/>
        <v>70.693945502380103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1.5064102564102591</v>
      </c>
      <c r="BD133" s="12">
        <f>IF('Données projet'!$A$88&gt;35,BD132+BC133-BL132,IF(A133&lt;'Données projet'!$A$88,$BA$205^A133,IF(A133='Données projet'!$A$88,'Données projet'!$B$88,BD132+BC133-BL132)))</f>
        <v>109.40384615384671</v>
      </c>
      <c r="BE133" s="13">
        <f>BD133*VLOOKUP('Données projet'!$B$11,Paramètres!$A$1:$I$89,3,0)*VLOOKUP('Données projet'!$B$11,Paramètres!$A$1:$I$89,5,0)</f>
        <v>110.93550000000057</v>
      </c>
      <c r="BF133" s="13">
        <f t="shared" ref="BF133:BF153" si="145">EXP(-1.0587+0.8836*LN(BE133)+0.284)</f>
        <v>29.551286917234709</v>
      </c>
      <c r="BG133" s="20">
        <f t="shared" si="115"/>
        <v>244.6811538808515</v>
      </c>
      <c r="BH133" s="59">
        <f t="shared" si="116"/>
        <v>538.01448721418478</v>
      </c>
      <c r="BI133" s="59">
        <f ca="1">AVERAGE(OFFSET($BH$3,0,0,'Données projet'!$E$11+1,1))-AVERAGE(OFFSET($H$3,0,0,'Données projet'!$E$11+1,1))</f>
        <v>425.47148407510412</v>
      </c>
      <c r="BJ133" s="59">
        <f t="shared" ref="BJ133:BJ196" si="146">$BJ$3</f>
        <v>308.54448799922471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146.37885243827961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146.37885243827961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-1.3596945791505279E-13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323.20040177531774</v>
      </c>
      <c r="T134" s="59">
        <f t="shared" si="142"/>
        <v>402.87981443974337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36.87380547734125</v>
      </c>
      <c r="AA134" s="21">
        <f>EXP(-LN(2)/25)*AA133+(1-EXP(-LN(2)/25))/(LN(2)/25)*Calculateur!V134*Calculateur!X134*VLOOKUP('Données projet'!$B$9,Paramètres!$A$1:$I$89,3,0)*0.475*44/12</f>
        <v>5.5250721991388412</v>
      </c>
      <c r="AB134" s="21">
        <f>EXP(-LN(2)/2)*AB133+(1-EXP(-LN(2)/2))/(LN(2)/2)*V134*Y134*VLOOKUP('Données projet'!$B$9,Paramètres!$A$1:$I$89,3,0)*0.475*44/12</f>
        <v>2.0788588806171677E-10</v>
      </c>
      <c r="AC134" s="22">
        <f t="shared" si="111"/>
        <v>42.398877676687974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-6.7984728957526396E-14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355.09162485318728</v>
      </c>
      <c r="AO134" s="59">
        <f t="shared" si="144"/>
        <v>320.06572891923685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60.005413832105191</v>
      </c>
      <c r="AV134" s="21">
        <f>EXP(-LN(2)/25)*AV133+(1-EXP(-LN(2)/25))/(LN(2)/25)*Calculateur!AQ134*Calculateur!AS134*VLOOKUP('Données projet'!$B$10,Paramètres!$A$1:$I$89,3,0)*0.475*44/12</f>
        <v>9.2288676854388978</v>
      </c>
      <c r="AW134" s="21">
        <f>EXP(-LN(2)/2)*AW133+(1-EXP(-LN(2)/2))/(LN(2)/2)*AQ134*AT134*VLOOKUP('Données projet'!$B$10,Paramètres!$A$1:$I$89,3,0)*0.475*44/12</f>
        <v>2.4598025962423578E-7</v>
      </c>
      <c r="AX134" s="21">
        <f t="shared" si="114"/>
        <v>69.234281763524351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110.91025641025641</v>
      </c>
      <c r="BB134" s="12">
        <f>VLOOKUP(A134,'Données projet'!$A$87:$I$107,9,0)</f>
        <v>1.5064102564102591</v>
      </c>
      <c r="BC134" s="12">
        <f t="array" ref="BC134">INDEX(BB:BB,MIN(IF(ISNUMBER(BB134:BB330),ROW(BB134:BB330),"")))</f>
        <v>1.5064102564102591</v>
      </c>
      <c r="BD134" s="12">
        <f>IF('Données projet'!$A$88&gt;35,BD133+BC134-BL133,IF(A134&lt;'Données projet'!$A$88,$BA$205^A134,IF(A134='Données projet'!$A$88,'Données projet'!$B$88,BD133+BC134-BL133)))</f>
        <v>110.91025641025698</v>
      </c>
      <c r="BE134" s="13">
        <f>BD134*VLOOKUP('Données projet'!$B$11,Paramètres!$A$1:$I$89,3,0)*VLOOKUP('Données projet'!$B$11,Paramètres!$A$1:$I$89,5,0)</f>
        <v>112.46300000000058</v>
      </c>
      <c r="BF134" s="13">
        <f t="shared" si="145"/>
        <v>29.910536589672557</v>
      </c>
      <c r="BG134" s="20">
        <f t="shared" si="115"/>
        <v>247.96724289368069</v>
      </c>
      <c r="BH134" s="59">
        <f t="shared" si="116"/>
        <v>541.30057622701406</v>
      </c>
      <c r="BI134" s="59">
        <f ca="1">AVERAGE(OFFSET($BH$3,0,0,'Données projet'!$E$11+1,1))-AVERAGE(OFFSET($H$3,0,0,'Données projet'!$E$11+1,1))</f>
        <v>425.47148407510412</v>
      </c>
      <c r="BJ134" s="59">
        <f t="shared" si="146"/>
        <v>308.54448799922471</v>
      </c>
      <c r="BK134" s="15">
        <f>IF(ISNA(VLOOKUP(A134,'Données projet'!$A$87:$I$107,3,0)),0,VLOOKUP(A134,'Données projet'!$A$87:$I$107,3,0))</f>
        <v>14</v>
      </c>
      <c r="BL134" s="15">
        <f>IF(ISNA(VLOOKUP(A134,'Données projet'!$A$87:$I$107,4,0)),0,VLOOKUP(A134,'Données projet'!$A$87:$I$107,4,0))</f>
        <v>110.91025641025641</v>
      </c>
      <c r="BM134" s="16">
        <f>IF(ISNA(VLOOKUP(A134,'Données projet'!$A$87:$I$107,5,0)),0%,VLOOKUP(A134,'Données projet'!$A$87:$I$107,5,0)*VLOOKUP('Données projet'!$B$11,Paramètres!$A$1:$I$89,7,0))</f>
        <v>0.38700000000000001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191.62203984280035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191.62203984280035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-1.3596945791505279E-13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323.20040177531774</v>
      </c>
      <c r="T135" s="59">
        <f t="shared" si="142"/>
        <v>402.87981443974337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36.15073264273115</v>
      </c>
      <c r="AA135" s="21">
        <f>EXP(-LN(2)/25)*AA134+(1-EXP(-LN(2)/25))/(LN(2)/25)*Calculateur!V135*Calculateur!X135*VLOOKUP('Données projet'!$B$9,Paramètres!$A$1:$I$89,3,0)*0.475*44/12</f>
        <v>5.3739888093024701</v>
      </c>
      <c r="AB135" s="21">
        <f>EXP(-LN(2)/2)*AB134+(1-EXP(-LN(2)/2))/(LN(2)/2)*V135*Y135*VLOOKUP('Données projet'!$B$9,Paramètres!$A$1:$I$89,3,0)*0.475*44/12</f>
        <v>1.4699752116142747E-10</v>
      </c>
      <c r="AC135" s="22">
        <f t="shared" si="111"/>
        <v>41.524721452180614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-6.7984728957526396E-14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355.09162485318728</v>
      </c>
      <c r="AO135" s="59">
        <f t="shared" si="144"/>
        <v>320.06572891923685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58.828744266546124</v>
      </c>
      <c r="AV135" s="21">
        <f>EXP(-LN(2)/25)*AV134+(1-EXP(-LN(2)/25))/(LN(2)/25)*Calculateur!AQ135*Calculateur!AS135*VLOOKUP('Données projet'!$B$10,Paramètres!$A$1:$I$89,3,0)*0.475*44/12</f>
        <v>8.9765038132555119</v>
      </c>
      <c r="AW135" s="21">
        <f>EXP(-LN(2)/2)*AW134+(1-EXP(-LN(2)/2))/(LN(2)/2)*AQ135*AT135*VLOOKUP('Données projet'!$B$10,Paramètres!$A$1:$I$89,3,0)*0.475*44/12</f>
        <v>1.7393430961832464E-7</v>
      </c>
      <c r="AX135" s="21">
        <f t="shared" si="114"/>
        <v>67.80524825373594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5.6843418860808015E-13</v>
      </c>
      <c r="BE135" s="13">
        <f>BD135*VLOOKUP('Données projet'!$B$11,Paramètres!$A$1:$I$89,3,0)*VLOOKUP('Données projet'!$B$11,Paramètres!$A$1:$I$89,5,0)</f>
        <v>5.763922672485933E-13</v>
      </c>
      <c r="BF135" s="13">
        <f t="shared" si="145"/>
        <v>7.0619171555808457E-12</v>
      </c>
      <c r="BG135" s="20">
        <f t="shared" si="115"/>
        <v>1.3303388911427938E-11</v>
      </c>
      <c r="BH135" s="59">
        <f t="shared" si="116"/>
        <v>293.33333333334662</v>
      </c>
      <c r="BI135" s="59">
        <f ca="1">AVERAGE(OFFSET($BH$3,0,0,'Données projet'!$E$11+1,1))-AVERAGE(OFFSET($H$3,0,0,'Données projet'!$E$11+1,1))</f>
        <v>425.47148407510412</v>
      </c>
      <c r="BJ135" s="59">
        <f t="shared" si="146"/>
        <v>308.54448799922471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187.8644485193866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187.8644485193866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-1.3596945791505279E-13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323.20040177531774</v>
      </c>
      <c r="T136" s="59">
        <f t="shared" si="142"/>
        <v>402.87981443974337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35.44183882537687</v>
      </c>
      <c r="AA136" s="21">
        <f>EXP(-LN(2)/25)*AA135+(1-EXP(-LN(2)/25))/(LN(2)/25)*Calculateur!V136*Calculateur!X136*VLOOKUP('Données projet'!$B$9,Paramètres!$A$1:$I$89,3,0)*0.475*44/12</f>
        <v>5.227036802706305</v>
      </c>
      <c r="AB136" s="21">
        <f>EXP(-LN(2)/2)*AB135+(1-EXP(-LN(2)/2))/(LN(2)/2)*V136*Y136*VLOOKUP('Données projet'!$B$9,Paramètres!$A$1:$I$89,3,0)*0.475*44/12</f>
        <v>1.0394294403085838E-10</v>
      </c>
      <c r="AC136" s="22">
        <f t="shared" si="111"/>
        <v>40.668875628187116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-6.7984728957526396E-14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355.09162485318728</v>
      </c>
      <c r="AO136" s="59">
        <f t="shared" si="144"/>
        <v>320.06572891923685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57.675148473470102</v>
      </c>
      <c r="AV136" s="21">
        <f>EXP(-LN(2)/25)*AV135+(1-EXP(-LN(2)/25))/(LN(2)/25)*Calculateur!AQ136*Calculateur!AS136*VLOOKUP('Données projet'!$B$10,Paramètres!$A$1:$I$89,3,0)*0.475*44/12</f>
        <v>8.7310408444282199</v>
      </c>
      <c r="AW136" s="21">
        <f>EXP(-LN(2)/2)*AW135+(1-EXP(-LN(2)/2))/(LN(2)/2)*AQ136*AT136*VLOOKUP('Données projet'!$B$10,Paramètres!$A$1:$I$89,3,0)*0.475*44/12</f>
        <v>1.2299012981211789E-7</v>
      </c>
      <c r="AX136" s="21">
        <f t="shared" si="114"/>
        <v>66.406189440888454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5.6843418860808015E-13</v>
      </c>
      <c r="BE136" s="13">
        <f>BD136*VLOOKUP('Données projet'!$B$11,Paramètres!$A$1:$I$89,3,0)*VLOOKUP('Données projet'!$B$11,Paramètres!$A$1:$I$89,5,0)</f>
        <v>5.763922672485933E-13</v>
      </c>
      <c r="BF136" s="13">
        <f t="shared" si="145"/>
        <v>7.0619171555808457E-12</v>
      </c>
      <c r="BG136" s="20">
        <f t="shared" si="115"/>
        <v>1.3303388911427938E-11</v>
      </c>
      <c r="BH136" s="59">
        <f t="shared" si="116"/>
        <v>293.33333333334662</v>
      </c>
      <c r="BI136" s="59">
        <f ca="1">AVERAGE(OFFSET($BH$3,0,0,'Données projet'!$E$11+1,1))-AVERAGE(OFFSET($H$3,0,0,'Données projet'!$E$11+1,1))</f>
        <v>425.47148407510412</v>
      </c>
      <c r="BJ136" s="59">
        <f t="shared" si="146"/>
        <v>308.54448799922471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184.18054126992061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184.18054126992061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-1.3596945791505279E-13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323.20040177531774</v>
      </c>
      <c r="T137" s="59">
        <f t="shared" si="142"/>
        <v>402.87981443974337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34.746845983398373</v>
      </c>
      <c r="AA137" s="21">
        <f>EXP(-LN(2)/25)*AA136+(1-EXP(-LN(2)/25))/(LN(2)/25)*Calculateur!V137*Calculateur!X137*VLOOKUP('Données projet'!$B$9,Paramètres!$A$1:$I$89,3,0)*0.475*44/12</f>
        <v>5.0841032064583818</v>
      </c>
      <c r="AB137" s="21">
        <f>EXP(-LN(2)/2)*AB136+(1-EXP(-LN(2)/2))/(LN(2)/2)*V137*Y137*VLOOKUP('Données projet'!$B$9,Paramètres!$A$1:$I$89,3,0)*0.475*44/12</f>
        <v>7.3498760580713735E-11</v>
      </c>
      <c r="AC137" s="22">
        <f t="shared" si="111"/>
        <v>39.830949189930251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-6.7984728957526396E-14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355.09162485318728</v>
      </c>
      <c r="AO137" s="59">
        <f t="shared" si="144"/>
        <v>320.06572891923685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56.544173990272348</v>
      </c>
      <c r="AV137" s="21">
        <f>EXP(-LN(2)/25)*AV136+(1-EXP(-LN(2)/25))/(LN(2)/25)*Calculateur!AQ137*Calculateur!AS137*VLOOKUP('Données projet'!$B$10,Paramètres!$A$1:$I$89,3,0)*0.475*44/12</f>
        <v>8.4922900733918478</v>
      </c>
      <c r="AW137" s="21">
        <f>EXP(-LN(2)/2)*AW136+(1-EXP(-LN(2)/2))/(LN(2)/2)*AQ137*AT137*VLOOKUP('Données projet'!$B$10,Paramètres!$A$1:$I$89,3,0)*0.475*44/12</f>
        <v>8.6967154809162319E-8</v>
      </c>
      <c r="AX137" s="21">
        <f t="shared" si="114"/>
        <v>65.036464150631346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5.6843418860808015E-13</v>
      </c>
      <c r="BE137" s="13">
        <f>BD137*VLOOKUP('Données projet'!$B$11,Paramètres!$A$1:$I$89,3,0)*VLOOKUP('Données projet'!$B$11,Paramètres!$A$1:$I$89,5,0)</f>
        <v>5.763922672485933E-13</v>
      </c>
      <c r="BF137" s="13">
        <f t="shared" si="145"/>
        <v>7.0619171555808457E-12</v>
      </c>
      <c r="BG137" s="20">
        <f t="shared" si="115"/>
        <v>1.3303388911427938E-11</v>
      </c>
      <c r="BH137" s="59">
        <f t="shared" si="116"/>
        <v>293.33333333334662</v>
      </c>
      <c r="BI137" s="59">
        <f ca="1">AVERAGE(OFFSET($BH$3,0,0,'Données projet'!$E$11+1,1))-AVERAGE(OFFSET($H$3,0,0,'Données projet'!$E$11+1,1))</f>
        <v>425.47148407510412</v>
      </c>
      <c r="BJ137" s="59">
        <f t="shared" si="146"/>
        <v>308.54448799922471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180.56887319465508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180.56887319465508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-1.3596945791505279E-13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323.20040177531774</v>
      </c>
      <c r="T138" s="59">
        <f t="shared" si="142"/>
        <v>402.87981443974337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34.065481527147298</v>
      </c>
      <c r="AA138" s="21">
        <f>EXP(-LN(2)/25)*AA137+(1-EXP(-LN(2)/25))/(LN(2)/25)*Calculateur!V138*Calculateur!X138*VLOOKUP('Données projet'!$B$9,Paramètres!$A$1:$I$89,3,0)*0.475*44/12</f>
        <v>4.9450781369164094</v>
      </c>
      <c r="AB138" s="21">
        <f>EXP(-LN(2)/2)*AB137+(1-EXP(-LN(2)/2))/(LN(2)/2)*V138*Y138*VLOOKUP('Données projet'!$B$9,Paramètres!$A$1:$I$89,3,0)*0.475*44/12</f>
        <v>5.1971472015429192E-11</v>
      </c>
      <c r="AC138" s="22">
        <f t="shared" si="111"/>
        <v>39.010559664115675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-6.7984728957526396E-14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355.09162485318728</v>
      </c>
      <c r="AO138" s="59">
        <f t="shared" si="144"/>
        <v>320.06572891923685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55.435377226863778</v>
      </c>
      <c r="AV138" s="21">
        <f>EXP(-LN(2)/25)*AV137+(1-EXP(-LN(2)/25))/(LN(2)/25)*Calculateur!AQ138*Calculateur!AS138*VLOOKUP('Données projet'!$B$10,Paramètres!$A$1:$I$89,3,0)*0.475*44/12</f>
        <v>8.260067954744823</v>
      </c>
      <c r="AW138" s="21">
        <f>EXP(-LN(2)/2)*AW137+(1-EXP(-LN(2)/2))/(LN(2)/2)*AQ138*AT138*VLOOKUP('Données projet'!$B$10,Paramètres!$A$1:$I$89,3,0)*0.475*44/12</f>
        <v>6.1495064906058944E-8</v>
      </c>
      <c r="AX138" s="21">
        <f t="shared" si="114"/>
        <v>63.69544524310367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5.6843418860808015E-13</v>
      </c>
      <c r="BE138" s="13">
        <f>BD138*VLOOKUP('Données projet'!$B$11,Paramètres!$A$1:$I$89,3,0)*VLOOKUP('Données projet'!$B$11,Paramètres!$A$1:$I$89,5,0)</f>
        <v>5.763922672485933E-13</v>
      </c>
      <c r="BF138" s="13">
        <f t="shared" si="145"/>
        <v>7.0619171555808457E-12</v>
      </c>
      <c r="BG138" s="20">
        <f t="shared" si="115"/>
        <v>1.3303388911427938E-11</v>
      </c>
      <c r="BH138" s="59">
        <f t="shared" si="116"/>
        <v>293.33333333334662</v>
      </c>
      <c r="BI138" s="59">
        <f ca="1">AVERAGE(OFFSET($BH$3,0,0,'Données projet'!$E$11+1,1))-AVERAGE(OFFSET($H$3,0,0,'Données projet'!$E$11+1,1))</f>
        <v>425.47148407510412</v>
      </c>
      <c r="BJ138" s="59">
        <f t="shared" si="146"/>
        <v>308.54448799922471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177.0280277274455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177.0280277274455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-1.3596945791505279E-13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323.20040177531774</v>
      </c>
      <c r="T139" s="59">
        <f t="shared" si="142"/>
        <v>402.87981443974337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33.397478212292022</v>
      </c>
      <c r="AA139" s="21">
        <f>EXP(-LN(2)/25)*AA138+(1-EXP(-LN(2)/25))/(LN(2)/25)*Calculateur!V139*Calculateur!X139*VLOOKUP('Données projet'!$B$9,Paramètres!$A$1:$I$89,3,0)*0.475*44/12</f>
        <v>4.8098547152120732</v>
      </c>
      <c r="AB139" s="21">
        <f>EXP(-LN(2)/2)*AB138+(1-EXP(-LN(2)/2))/(LN(2)/2)*V139*Y139*VLOOKUP('Données projet'!$B$9,Paramètres!$A$1:$I$89,3,0)*0.475*44/12</f>
        <v>3.6749380290356867E-11</v>
      </c>
      <c r="AC139" s="22">
        <f t="shared" si="111"/>
        <v>38.207332927540847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-6.7984728957526396E-14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355.09162485318728</v>
      </c>
      <c r="AO139" s="59">
        <f t="shared" si="144"/>
        <v>320.06572891923685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54.348323291686405</v>
      </c>
      <c r="AV139" s="21">
        <f>EXP(-LN(2)/25)*AV138+(1-EXP(-LN(2)/25))/(LN(2)/25)*Calculateur!AQ139*Calculateur!AS139*VLOOKUP('Données projet'!$B$10,Paramètres!$A$1:$I$89,3,0)*0.475*44/12</f>
        <v>8.0341959621442314</v>
      </c>
      <c r="AW139" s="21">
        <f>EXP(-LN(2)/2)*AW138+(1-EXP(-LN(2)/2))/(LN(2)/2)*AQ139*AT139*VLOOKUP('Données projet'!$B$10,Paramètres!$A$1:$I$89,3,0)*0.475*44/12</f>
        <v>4.348357740458116E-8</v>
      </c>
      <c r="AX139" s="21">
        <f t="shared" si="114"/>
        <v>62.382519297314211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5.6843418860808015E-13</v>
      </c>
      <c r="BE139" s="13">
        <f>BD139*VLOOKUP('Données projet'!$B$11,Paramètres!$A$1:$I$89,3,0)*VLOOKUP('Données projet'!$B$11,Paramètres!$A$1:$I$89,5,0)</f>
        <v>5.763922672485933E-13</v>
      </c>
      <c r="BF139" s="13">
        <f t="shared" si="145"/>
        <v>7.0619171555808457E-12</v>
      </c>
      <c r="BG139" s="20">
        <f t="shared" si="115"/>
        <v>1.3303388911427938E-11</v>
      </c>
      <c r="BH139" s="59">
        <f t="shared" si="116"/>
        <v>293.33333333334662</v>
      </c>
      <c r="BI139" s="59">
        <f ca="1">AVERAGE(OFFSET($BH$3,0,0,'Données projet'!$E$11+1,1))-AVERAGE(OFFSET($H$3,0,0,'Données projet'!$E$11+1,1))</f>
        <v>425.47148407510412</v>
      </c>
      <c r="BJ139" s="59">
        <f t="shared" si="146"/>
        <v>308.54448799922471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173.55661608014543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173.55661608014543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-1.3596945791505279E-13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323.20040177531774</v>
      </c>
      <c r="T140" s="59">
        <f t="shared" si="142"/>
        <v>402.87981443974337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32.742574034999272</v>
      </c>
      <c r="AA140" s="21">
        <f>EXP(-LN(2)/25)*AA139+(1-EXP(-LN(2)/25))/(LN(2)/25)*Calculateur!V140*Calculateur!X140*VLOOKUP('Données projet'!$B$9,Paramètres!$A$1:$I$89,3,0)*0.475*44/12</f>
        <v>4.6783289850853329</v>
      </c>
      <c r="AB140" s="21">
        <f>EXP(-LN(2)/2)*AB139+(1-EXP(-LN(2)/2))/(LN(2)/2)*V140*Y140*VLOOKUP('Données projet'!$B$9,Paramètres!$A$1:$I$89,3,0)*0.475*44/12</f>
        <v>2.5985736007714596E-11</v>
      </c>
      <c r="AC140" s="22">
        <f t="shared" si="111"/>
        <v>37.420903020110593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-6.7984728957526396E-14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355.09162485318728</v>
      </c>
      <c r="AO140" s="59">
        <f t="shared" si="144"/>
        <v>320.06572891923685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53.28258582114043</v>
      </c>
      <c r="AV140" s="21">
        <f>EXP(-LN(2)/25)*AV139+(1-EXP(-LN(2)/25))/(LN(2)/25)*Calculateur!AQ140*Calculateur!AS140*VLOOKUP('Données projet'!$B$10,Paramètres!$A$1:$I$89,3,0)*0.475*44/12</f>
        <v>7.8145004510593941</v>
      </c>
      <c r="AW140" s="21">
        <f>EXP(-LN(2)/2)*AW139+(1-EXP(-LN(2)/2))/(LN(2)/2)*AQ140*AT140*VLOOKUP('Données projet'!$B$10,Paramètres!$A$1:$I$89,3,0)*0.475*44/12</f>
        <v>3.0747532453029472E-8</v>
      </c>
      <c r="AX140" s="21">
        <f t="shared" si="114"/>
        <v>61.097086302947353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5.6843418860808015E-13</v>
      </c>
      <c r="BE140" s="13">
        <f>BD140*VLOOKUP('Données projet'!$B$11,Paramètres!$A$1:$I$89,3,0)*VLOOKUP('Données projet'!$B$11,Paramètres!$A$1:$I$89,5,0)</f>
        <v>5.763922672485933E-13</v>
      </c>
      <c r="BF140" s="13">
        <f t="shared" si="145"/>
        <v>7.0619171555808457E-12</v>
      </c>
      <c r="BG140" s="20">
        <f t="shared" si="115"/>
        <v>1.3303388911427938E-11</v>
      </c>
      <c r="BH140" s="59">
        <f t="shared" si="116"/>
        <v>293.33333333334662</v>
      </c>
      <c r="BI140" s="59">
        <f ca="1">AVERAGE(OFFSET($BH$3,0,0,'Données projet'!$E$11+1,1))-AVERAGE(OFFSET($H$3,0,0,'Données projet'!$E$11+1,1))</f>
        <v>425.47148407510412</v>
      </c>
      <c r="BJ140" s="59">
        <f t="shared" si="146"/>
        <v>308.54448799922471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170.15327669789687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170.15327669789687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-1.3596945791505279E-13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323.20040177531774</v>
      </c>
      <c r="T141" s="59">
        <f t="shared" si="142"/>
        <v>402.87981443974337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32.100512129171129</v>
      </c>
      <c r="AA141" s="21">
        <f>EXP(-LN(2)/25)*AA140+(1-EXP(-LN(2)/25))/(LN(2)/25)*Calculateur!V141*Calculateur!X141*VLOOKUP('Données projet'!$B$9,Paramètres!$A$1:$I$89,3,0)*0.475*44/12</f>
        <v>4.550399832965546</v>
      </c>
      <c r="AB141" s="21">
        <f>EXP(-LN(2)/2)*AB140+(1-EXP(-LN(2)/2))/(LN(2)/2)*V141*Y141*VLOOKUP('Données projet'!$B$9,Paramètres!$A$1:$I$89,3,0)*0.475*44/12</f>
        <v>1.8374690145178434E-11</v>
      </c>
      <c r="AC141" s="22">
        <f t="shared" si="111"/>
        <v>36.65091196215505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-6.7984728957526396E-14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355.09162485318728</v>
      </c>
      <c r="AO141" s="59">
        <f t="shared" si="144"/>
        <v>320.06572891923685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52.237746812356193</v>
      </c>
      <c r="AV141" s="21">
        <f>EXP(-LN(2)/25)*AV140+(1-EXP(-LN(2)/25))/(LN(2)/25)*Calculateur!AQ141*Calculateur!AS141*VLOOKUP('Données projet'!$B$10,Paramètres!$A$1:$I$89,3,0)*0.475*44/12</f>
        <v>7.6008125252784566</v>
      </c>
      <c r="AW141" s="21">
        <f>EXP(-LN(2)/2)*AW140+(1-EXP(-LN(2)/2))/(LN(2)/2)*AQ141*AT141*VLOOKUP('Données projet'!$B$10,Paramètres!$A$1:$I$89,3,0)*0.475*44/12</f>
        <v>2.174178870229058E-8</v>
      </c>
      <c r="AX141" s="21">
        <f t="shared" si="114"/>
        <v>59.83855935937644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5.6843418860808015E-13</v>
      </c>
      <c r="BE141" s="13">
        <f>BD141*VLOOKUP('Données projet'!$B$11,Paramètres!$A$1:$I$89,3,0)*VLOOKUP('Données projet'!$B$11,Paramètres!$A$1:$I$89,5,0)</f>
        <v>5.763922672485933E-13</v>
      </c>
      <c r="BF141" s="13">
        <f t="shared" si="145"/>
        <v>7.0619171555808457E-12</v>
      </c>
      <c r="BG141" s="20">
        <f t="shared" si="115"/>
        <v>1.3303388911427938E-11</v>
      </c>
      <c r="BH141" s="59">
        <f t="shared" si="116"/>
        <v>293.33333333334662</v>
      </c>
      <c r="BI141" s="59">
        <f ca="1">AVERAGE(OFFSET($BH$3,0,0,'Données projet'!$E$11+1,1))-AVERAGE(OFFSET($H$3,0,0,'Données projet'!$E$11+1,1))</f>
        <v>425.47148407510412</v>
      </c>
      <c r="BJ141" s="59">
        <f t="shared" si="146"/>
        <v>308.54448799922471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166.81667472510216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166.81667472510216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-1.3596945791505279E-13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323.20040177531774</v>
      </c>
      <c r="T142" s="59">
        <f t="shared" si="142"/>
        <v>402.87981443974337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31.471040665697178</v>
      </c>
      <c r="AA142" s="21">
        <f>EXP(-LN(2)/25)*AA141+(1-EXP(-LN(2)/25))/(LN(2)/25)*Calculateur!V142*Calculateur!X142*VLOOKUP('Données projet'!$B$9,Paramètres!$A$1:$I$89,3,0)*0.475*44/12</f>
        <v>4.4259689102379758</v>
      </c>
      <c r="AB142" s="21">
        <f>EXP(-LN(2)/2)*AB141+(1-EXP(-LN(2)/2))/(LN(2)/2)*V142*Y142*VLOOKUP('Données projet'!$B$9,Paramètres!$A$1:$I$89,3,0)*0.475*44/12</f>
        <v>1.2992868003857298E-11</v>
      </c>
      <c r="AC142" s="22">
        <f t="shared" si="111"/>
        <v>35.897009575948147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-6.7984728957526396E-14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355.09162485318728</v>
      </c>
      <c r="AO142" s="59">
        <f t="shared" si="144"/>
        <v>320.06572891923685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51.213396459245345</v>
      </c>
      <c r="AV142" s="21">
        <f>EXP(-LN(2)/25)*AV141+(1-EXP(-LN(2)/25))/(LN(2)/25)*Calculateur!AQ142*Calculateur!AS142*VLOOKUP('Données projet'!$B$10,Paramètres!$A$1:$I$89,3,0)*0.475*44/12</f>
        <v>7.3929679070653584</v>
      </c>
      <c r="AW142" s="21">
        <f>EXP(-LN(2)/2)*AW141+(1-EXP(-LN(2)/2))/(LN(2)/2)*AQ142*AT142*VLOOKUP('Données projet'!$B$10,Paramètres!$A$1:$I$89,3,0)*0.475*44/12</f>
        <v>1.5373766226514736E-8</v>
      </c>
      <c r="AX142" s="21">
        <f t="shared" si="114"/>
        <v>58.606364381684465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5.6843418860808015E-13</v>
      </c>
      <c r="BE142" s="13">
        <f>BD142*VLOOKUP('Données projet'!$B$11,Paramètres!$A$1:$I$89,3,0)*VLOOKUP('Données projet'!$B$11,Paramètres!$A$1:$I$89,5,0)</f>
        <v>5.763922672485933E-13</v>
      </c>
      <c r="BF142" s="13">
        <f t="shared" si="145"/>
        <v>7.0619171555808457E-12</v>
      </c>
      <c r="BG142" s="20">
        <f t="shared" si="115"/>
        <v>1.3303388911427938E-11</v>
      </c>
      <c r="BH142" s="59">
        <f t="shared" si="116"/>
        <v>293.33333333334662</v>
      </c>
      <c r="BI142" s="59">
        <f ca="1">AVERAGE(OFFSET($BH$3,0,0,'Données projet'!$E$11+1,1))-AVERAGE(OFFSET($H$3,0,0,'Données projet'!$E$11+1,1))</f>
        <v>425.47148407510412</v>
      </c>
      <c r="BJ142" s="59">
        <f t="shared" si="146"/>
        <v>308.54448799922471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163.54550148186769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163.54550148186769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-1.3596945791505279E-13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323.20040177531774</v>
      </c>
      <c r="T143" s="59">
        <f t="shared" si="142"/>
        <v>402.87981443974337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30.85391275368227</v>
      </c>
      <c r="AA143" s="21">
        <f>EXP(-LN(2)/25)*AA142+(1-EXP(-LN(2)/25))/(LN(2)/25)*Calculateur!V143*Calculateur!X143*VLOOKUP('Données projet'!$B$9,Paramètres!$A$1:$I$89,3,0)*0.475*44/12</f>
        <v>4.3049405576359288</v>
      </c>
      <c r="AB143" s="21">
        <f>EXP(-LN(2)/2)*AB142+(1-EXP(-LN(2)/2))/(LN(2)/2)*V143*Y143*VLOOKUP('Données projet'!$B$9,Paramètres!$A$1:$I$89,3,0)*0.475*44/12</f>
        <v>9.1873450725892168E-12</v>
      </c>
      <c r="AC143" s="22">
        <f t="shared" si="111"/>
        <v>35.158853311327384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-6.7984728957526396E-14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355.09162485318728</v>
      </c>
      <c r="AO143" s="59">
        <f t="shared" si="144"/>
        <v>320.06572891923685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50.209132991766978</v>
      </c>
      <c r="AV143" s="21">
        <f>EXP(-LN(2)/25)*AV142+(1-EXP(-LN(2)/25))/(LN(2)/25)*Calculateur!AQ143*Calculateur!AS143*VLOOKUP('Données projet'!$B$10,Paramètres!$A$1:$I$89,3,0)*0.475*44/12</f>
        <v>7.1908068108673708</v>
      </c>
      <c r="AW143" s="21">
        <f>EXP(-LN(2)/2)*AW142+(1-EXP(-LN(2)/2))/(LN(2)/2)*AQ143*AT143*VLOOKUP('Données projet'!$B$10,Paramètres!$A$1:$I$89,3,0)*0.475*44/12</f>
        <v>1.087089435114529E-8</v>
      </c>
      <c r="AX143" s="21">
        <f t="shared" si="114"/>
        <v>57.399939813505242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5.6843418860808015E-13</v>
      </c>
      <c r="BE143" s="13">
        <f>BD143*VLOOKUP('Données projet'!$B$11,Paramètres!$A$1:$I$89,3,0)*VLOOKUP('Données projet'!$B$11,Paramètres!$A$1:$I$89,5,0)</f>
        <v>5.763922672485933E-13</v>
      </c>
      <c r="BF143" s="13">
        <f t="shared" si="145"/>
        <v>7.0619171555808457E-12</v>
      </c>
      <c r="BG143" s="20">
        <f t="shared" si="115"/>
        <v>1.3303388911427938E-11</v>
      </c>
      <c r="BH143" s="59">
        <f t="shared" si="116"/>
        <v>293.33333333334662</v>
      </c>
      <c r="BI143" s="59">
        <f ca="1">AVERAGE(OFFSET($BH$3,0,0,'Données projet'!$E$11+1,1))-AVERAGE(OFFSET($H$3,0,0,'Données projet'!$E$11+1,1))</f>
        <v>425.47148407510412</v>
      </c>
      <c r="BJ143" s="59">
        <f t="shared" si="146"/>
        <v>308.54448799922471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160.33847395071439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160.33847395071439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-1.3596945791505279E-13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323.20040177531774</v>
      </c>
      <c r="T144" s="59">
        <f t="shared" si="142"/>
        <v>402.87981443974337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30.248886343611115</v>
      </c>
      <c r="AA144" s="21">
        <f>EXP(-LN(2)/25)*AA143+(1-EXP(-LN(2)/25))/(LN(2)/25)*Calculateur!V144*Calculateur!X144*VLOOKUP('Données projet'!$B$9,Paramètres!$A$1:$I$89,3,0)*0.475*44/12</f>
        <v>4.1872217317003892</v>
      </c>
      <c r="AB144" s="21">
        <f>EXP(-LN(2)/2)*AB143+(1-EXP(-LN(2)/2))/(LN(2)/2)*V144*Y144*VLOOKUP('Données projet'!$B$9,Paramètres!$A$1:$I$89,3,0)*0.475*44/12</f>
        <v>6.496434001928649E-12</v>
      </c>
      <c r="AC144" s="22">
        <f t="shared" si="111"/>
        <v>34.436108075317996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-6.7984728957526396E-14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355.09162485318728</v>
      </c>
      <c r="AO144" s="59">
        <f t="shared" si="144"/>
        <v>320.06572891923685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49.224562518345628</v>
      </c>
      <c r="AV144" s="21">
        <f>EXP(-LN(2)/25)*AV143+(1-EXP(-LN(2)/25))/(LN(2)/25)*Calculateur!AQ144*Calculateur!AS144*VLOOKUP('Données projet'!$B$10,Paramètres!$A$1:$I$89,3,0)*0.475*44/12</f>
        <v>6.9941738204761075</v>
      </c>
      <c r="AW144" s="21">
        <f>EXP(-LN(2)/2)*AW143+(1-EXP(-LN(2)/2))/(LN(2)/2)*AQ144*AT144*VLOOKUP('Données projet'!$B$10,Paramètres!$A$1:$I$89,3,0)*0.475*44/12</f>
        <v>7.686883113257368E-9</v>
      </c>
      <c r="AX144" s="21">
        <f t="shared" si="114"/>
        <v>56.218736346508621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5.6843418860808015E-13</v>
      </c>
      <c r="BE144" s="13">
        <f>BD144*VLOOKUP('Données projet'!$B$11,Paramètres!$A$1:$I$89,3,0)*VLOOKUP('Données projet'!$B$11,Paramètres!$A$1:$I$89,5,0)</f>
        <v>5.763922672485933E-13</v>
      </c>
      <c r="BF144" s="13">
        <f t="shared" si="145"/>
        <v>7.0619171555808457E-12</v>
      </c>
      <c r="BG144" s="20">
        <f t="shared" si="115"/>
        <v>1.3303388911427938E-11</v>
      </c>
      <c r="BH144" s="59">
        <f t="shared" si="116"/>
        <v>293.33333333334662</v>
      </c>
      <c r="BI144" s="59">
        <f ca="1">AVERAGE(OFFSET($BH$3,0,0,'Données projet'!$E$11+1,1))-AVERAGE(OFFSET($H$3,0,0,'Données projet'!$E$11+1,1))</f>
        <v>425.47148407510412</v>
      </c>
      <c r="BJ144" s="59">
        <f t="shared" si="146"/>
        <v>308.54448799922471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157.19433427335335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157.19433427335335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-1.3596945791505279E-13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323.20040177531774</v>
      </c>
      <c r="T145" s="59">
        <f t="shared" si="142"/>
        <v>402.87981443974337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29.655724132411784</v>
      </c>
      <c r="AA145" s="21">
        <f>EXP(-LN(2)/25)*AA144+(1-EXP(-LN(2)/25))/(LN(2)/25)*Calculateur!V145*Calculateur!X145*VLOOKUP('Données projet'!$B$9,Paramètres!$A$1:$I$89,3,0)*0.475*44/12</f>
        <v>4.0727219332506213</v>
      </c>
      <c r="AB145" s="21">
        <f>EXP(-LN(2)/2)*AB144+(1-EXP(-LN(2)/2))/(LN(2)/2)*V145*Y145*VLOOKUP('Données projet'!$B$9,Paramètres!$A$1:$I$89,3,0)*0.475*44/12</f>
        <v>4.5936725362946084E-12</v>
      </c>
      <c r="AC145" s="22">
        <f t="shared" si="111"/>
        <v>33.728446065667001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-6.7984728957526396E-14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355.09162485318728</v>
      </c>
      <c r="AO145" s="59">
        <f t="shared" si="144"/>
        <v>320.06572891923685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48.259298871379379</v>
      </c>
      <c r="AV145" s="21">
        <f>EXP(-LN(2)/25)*AV144+(1-EXP(-LN(2)/25))/(LN(2)/25)*Calculateur!AQ145*Calculateur!AS145*VLOOKUP('Données projet'!$B$10,Paramètres!$A$1:$I$89,3,0)*0.475*44/12</f>
        <v>6.8029177695475722</v>
      </c>
      <c r="AW145" s="21">
        <f>EXP(-LN(2)/2)*AW144+(1-EXP(-LN(2)/2))/(LN(2)/2)*AQ145*AT145*VLOOKUP('Données projet'!$B$10,Paramètres!$A$1:$I$89,3,0)*0.475*44/12</f>
        <v>5.4354471755726449E-9</v>
      </c>
      <c r="AX145" s="21">
        <f t="shared" si="114"/>
        <v>55.062216646362394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5.6843418860808015E-13</v>
      </c>
      <c r="BE145" s="13">
        <f>BD145*VLOOKUP('Données projet'!$B$11,Paramètres!$A$1:$I$89,3,0)*VLOOKUP('Données projet'!$B$11,Paramètres!$A$1:$I$89,5,0)</f>
        <v>5.763922672485933E-13</v>
      </c>
      <c r="BF145" s="13">
        <f t="shared" si="145"/>
        <v>7.0619171555808457E-12</v>
      </c>
      <c r="BG145" s="20">
        <f t="shared" si="115"/>
        <v>1.3303388911427938E-11</v>
      </c>
      <c r="BH145" s="59">
        <f t="shared" si="116"/>
        <v>293.33333333334662</v>
      </c>
      <c r="BI145" s="59">
        <f ca="1">AVERAGE(OFFSET($BH$3,0,0,'Données projet'!$E$11+1,1))-AVERAGE(OFFSET($H$3,0,0,'Données projet'!$E$11+1,1))</f>
        <v>425.47148407510412</v>
      </c>
      <c r="BJ145" s="59">
        <f t="shared" si="146"/>
        <v>308.54448799922471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154.11184925732951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154.11184925732951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-1.3596945791505279E-13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323.20040177531774</v>
      </c>
      <c r="T146" s="59">
        <f t="shared" si="142"/>
        <v>402.87981443974337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29.074193470380848</v>
      </c>
      <c r="AA146" s="21">
        <f>EXP(-LN(2)/25)*AA145+(1-EXP(-LN(2)/25))/(LN(2)/25)*Calculateur!V146*Calculateur!X146*VLOOKUP('Données projet'!$B$9,Paramètres!$A$1:$I$89,3,0)*0.475*44/12</f>
        <v>3.9613531378107449</v>
      </c>
      <c r="AB146" s="21">
        <f>EXP(-LN(2)/2)*AB145+(1-EXP(-LN(2)/2))/(LN(2)/2)*V146*Y146*VLOOKUP('Données projet'!$B$9,Paramètres!$A$1:$I$89,3,0)*0.475*44/12</f>
        <v>3.2482170009643245E-12</v>
      </c>
      <c r="AC146" s="22">
        <f t="shared" si="111"/>
        <v>33.035546608194842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-6.7984728957526396E-14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355.09162485318728</v>
      </c>
      <c r="AO146" s="59">
        <f t="shared" si="144"/>
        <v>320.06572891923685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47.312963455777449</v>
      </c>
      <c r="AV146" s="21">
        <f>EXP(-LN(2)/25)*AV145+(1-EXP(-LN(2)/25))/(LN(2)/25)*Calculateur!AQ146*Calculateur!AS146*VLOOKUP('Données projet'!$B$10,Paramètres!$A$1:$I$89,3,0)*0.475*44/12</f>
        <v>6.616891625389397</v>
      </c>
      <c r="AW146" s="21">
        <f>EXP(-LN(2)/2)*AW145+(1-EXP(-LN(2)/2))/(LN(2)/2)*AQ146*AT146*VLOOKUP('Données projet'!$B$10,Paramètres!$A$1:$I$89,3,0)*0.475*44/12</f>
        <v>3.843441556628684E-9</v>
      </c>
      <c r="AX146" s="21">
        <f t="shared" si="114"/>
        <v>53.929855085010288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5.6843418860808015E-13</v>
      </c>
      <c r="BE146" s="13">
        <f>BD146*VLOOKUP('Données projet'!$B$11,Paramètres!$A$1:$I$89,3,0)*VLOOKUP('Données projet'!$B$11,Paramètres!$A$1:$I$89,5,0)</f>
        <v>5.763922672485933E-13</v>
      </c>
      <c r="BF146" s="13">
        <f t="shared" si="145"/>
        <v>7.0619171555808457E-12</v>
      </c>
      <c r="BG146" s="20">
        <f t="shared" si="115"/>
        <v>1.3303388911427938E-11</v>
      </c>
      <c r="BH146" s="59">
        <f t="shared" si="116"/>
        <v>293.33333333334662</v>
      </c>
      <c r="BI146" s="59">
        <f ca="1">AVERAGE(OFFSET($BH$3,0,0,'Données projet'!$E$11+1,1))-AVERAGE(OFFSET($H$3,0,0,'Données projet'!$E$11+1,1))</f>
        <v>425.47148407510412</v>
      </c>
      <c r="BJ146" s="59">
        <f t="shared" si="146"/>
        <v>308.54448799922471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151.0898098923397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151.0898098923397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-1.3596945791505279E-13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323.20040177531774</v>
      </c>
      <c r="T147" s="59">
        <f t="shared" si="142"/>
        <v>402.87981443974337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28.504066269933659</v>
      </c>
      <c r="AA147" s="21">
        <f>EXP(-LN(2)/25)*AA146+(1-EXP(-LN(2)/25))/(LN(2)/25)*Calculateur!V147*Calculateur!X147*VLOOKUP('Données projet'!$B$9,Paramètres!$A$1:$I$89,3,0)*0.475*44/12</f>
        <v>3.8530297279388024</v>
      </c>
      <c r="AB147" s="21">
        <f>EXP(-LN(2)/2)*AB146+(1-EXP(-LN(2)/2))/(LN(2)/2)*V147*Y147*VLOOKUP('Données projet'!$B$9,Paramètres!$A$1:$I$89,3,0)*0.475*44/12</f>
        <v>2.2968362681473042E-12</v>
      </c>
      <c r="AC147" s="22">
        <f t="shared" si="111"/>
        <v>32.357095997874758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-6.7984728957526396E-14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355.09162485318728</v>
      </c>
      <c r="AO147" s="59">
        <f t="shared" si="144"/>
        <v>320.06572891923685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46.385185100467865</v>
      </c>
      <c r="AV147" s="21">
        <f>EXP(-LN(2)/25)*AV146+(1-EXP(-LN(2)/25))/(LN(2)/25)*Calculateur!AQ147*Calculateur!AS147*VLOOKUP('Données projet'!$B$10,Paramètres!$A$1:$I$89,3,0)*0.475*44/12</f>
        <v>6.4359523759259165</v>
      </c>
      <c r="AW147" s="21">
        <f>EXP(-LN(2)/2)*AW146+(1-EXP(-LN(2)/2))/(LN(2)/2)*AQ147*AT147*VLOOKUP('Données projet'!$B$10,Paramètres!$A$1:$I$89,3,0)*0.475*44/12</f>
        <v>2.7177235877863225E-9</v>
      </c>
      <c r="AX147" s="21">
        <f t="shared" si="114"/>
        <v>52.821137479111506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5.6843418860808015E-13</v>
      </c>
      <c r="BE147" s="13">
        <f>BD147*VLOOKUP('Données projet'!$B$11,Paramètres!$A$1:$I$89,3,0)*VLOOKUP('Données projet'!$B$11,Paramètres!$A$1:$I$89,5,0)</f>
        <v>5.763922672485933E-13</v>
      </c>
      <c r="BF147" s="13">
        <f t="shared" si="145"/>
        <v>7.0619171555808457E-12</v>
      </c>
      <c r="BG147" s="20">
        <f t="shared" si="115"/>
        <v>1.3303388911427938E-11</v>
      </c>
      <c r="BH147" s="59">
        <f t="shared" si="116"/>
        <v>293.33333333334662</v>
      </c>
      <c r="BI147" s="59">
        <f ca="1">AVERAGE(OFFSET($BH$3,0,0,'Données projet'!$E$11+1,1))-AVERAGE(OFFSET($H$3,0,0,'Données projet'!$E$11+1,1))</f>
        <v>425.47148407510412</v>
      </c>
      <c r="BJ147" s="59">
        <f t="shared" si="146"/>
        <v>308.54448799922471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148.12703087603535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148.12703087603535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-1.3596945791505279E-13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323.20040177531774</v>
      </c>
      <c r="T148" s="59">
        <f t="shared" si="142"/>
        <v>402.87981443974337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27.945118916143983</v>
      </c>
      <c r="AA148" s="21">
        <f>EXP(-LN(2)/25)*AA147+(1-EXP(-LN(2)/25))/(LN(2)/25)*Calculateur!V148*Calculateur!X148*VLOOKUP('Données projet'!$B$9,Paramètres!$A$1:$I$89,3,0)*0.475*44/12</f>
        <v>3.7476684274062886</v>
      </c>
      <c r="AB148" s="21">
        <f>EXP(-LN(2)/2)*AB147+(1-EXP(-LN(2)/2))/(LN(2)/2)*V148*Y148*VLOOKUP('Données projet'!$B$9,Paramètres!$A$1:$I$89,3,0)*0.475*44/12</f>
        <v>1.6241085004821623E-12</v>
      </c>
      <c r="AC148" s="22">
        <f t="shared" si="111"/>
        <v>31.692787343551895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-6.7984728957526396E-14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355.09162485318728</v>
      </c>
      <c r="AO148" s="59">
        <f t="shared" si="144"/>
        <v>320.06572891923685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45.475599912816982</v>
      </c>
      <c r="AV148" s="21">
        <f>EXP(-LN(2)/25)*AV147+(1-EXP(-LN(2)/25))/(LN(2)/25)*Calculateur!AQ148*Calculateur!AS148*VLOOKUP('Données projet'!$B$10,Paramètres!$A$1:$I$89,3,0)*0.475*44/12</f>
        <v>6.2599609197541968</v>
      </c>
      <c r="AW148" s="21">
        <f>EXP(-LN(2)/2)*AW147+(1-EXP(-LN(2)/2))/(LN(2)/2)*AQ148*AT148*VLOOKUP('Données projet'!$B$10,Paramètres!$A$1:$I$89,3,0)*0.475*44/12</f>
        <v>1.921720778314342E-9</v>
      </c>
      <c r="AX148" s="21">
        <f t="shared" si="114"/>
        <v>51.735560834492901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5.6843418860808015E-13</v>
      </c>
      <c r="BE148" s="13">
        <f>BD148*VLOOKUP('Données projet'!$B$11,Paramètres!$A$1:$I$89,3,0)*VLOOKUP('Données projet'!$B$11,Paramètres!$A$1:$I$89,5,0)</f>
        <v>5.763922672485933E-13</v>
      </c>
      <c r="BF148" s="13">
        <f t="shared" si="145"/>
        <v>7.0619171555808457E-12</v>
      </c>
      <c r="BG148" s="20">
        <f t="shared" si="115"/>
        <v>1.3303388911427938E-11</v>
      </c>
      <c r="BH148" s="59">
        <f t="shared" si="116"/>
        <v>293.33333333334662</v>
      </c>
      <c r="BI148" s="59">
        <f ca="1">AVERAGE(OFFSET($BH$3,0,0,'Données projet'!$E$11+1,1))-AVERAGE(OFFSET($H$3,0,0,'Données projet'!$E$11+1,1))</f>
        <v>425.47148407510412</v>
      </c>
      <c r="BJ148" s="59">
        <f t="shared" si="146"/>
        <v>308.54448799922471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145.22235014912394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145.22235014912394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-1.3596945791505279E-13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323.20040177531774</v>
      </c>
      <c r="T149" s="59">
        <f t="shared" si="142"/>
        <v>402.87981443974337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27.3971321790379</v>
      </c>
      <c r="AA149" s="21">
        <f>EXP(-LN(2)/25)*AA148+(1-EXP(-LN(2)/25))/(LN(2)/25)*Calculateur!V149*Calculateur!X149*VLOOKUP('Données projet'!$B$9,Paramètres!$A$1:$I$89,3,0)*0.475*44/12</f>
        <v>3.6451882371775466</v>
      </c>
      <c r="AB149" s="21">
        <f>EXP(-LN(2)/2)*AB148+(1-EXP(-LN(2)/2))/(LN(2)/2)*V149*Y149*VLOOKUP('Données projet'!$B$9,Paramètres!$A$1:$I$89,3,0)*0.475*44/12</f>
        <v>1.1484181340736521E-12</v>
      </c>
      <c r="AC149" s="22">
        <f t="shared" si="111"/>
        <v>31.042320416216594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-6.7984728957526396E-14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355.09162485318728</v>
      </c>
      <c r="AO149" s="59">
        <f t="shared" si="144"/>
        <v>320.06572891923685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44.58385113590375</v>
      </c>
      <c r="AV149" s="21">
        <f>EXP(-LN(2)/25)*AV148+(1-EXP(-LN(2)/25))/(LN(2)/25)*Calculateur!AQ149*Calculateur!AS149*VLOOKUP('Données projet'!$B$10,Paramètres!$A$1:$I$89,3,0)*0.475*44/12</f>
        <v>6.0887819592064805</v>
      </c>
      <c r="AW149" s="21">
        <f>EXP(-LN(2)/2)*AW148+(1-EXP(-LN(2)/2))/(LN(2)/2)*AQ149*AT149*VLOOKUP('Données projet'!$B$10,Paramètres!$A$1:$I$89,3,0)*0.475*44/12</f>
        <v>1.3588617938931612E-9</v>
      </c>
      <c r="AX149" s="21">
        <f t="shared" si="114"/>
        <v>50.672633096469092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5.6843418860808015E-13</v>
      </c>
      <c r="BE149" s="13">
        <f>BD149*VLOOKUP('Données projet'!$B$11,Paramètres!$A$1:$I$89,3,0)*VLOOKUP('Données projet'!$B$11,Paramètres!$A$1:$I$89,5,0)</f>
        <v>5.763922672485933E-13</v>
      </c>
      <c r="BF149" s="13">
        <f t="shared" si="145"/>
        <v>7.0619171555808457E-12</v>
      </c>
      <c r="BG149" s="20">
        <f t="shared" si="115"/>
        <v>1.3303388911427938E-11</v>
      </c>
      <c r="BH149" s="59">
        <f t="shared" si="116"/>
        <v>293.33333333334662</v>
      </c>
      <c r="BI149" s="59">
        <f ca="1">AVERAGE(OFFSET($BH$3,0,0,'Données projet'!$E$11+1,1))-AVERAGE(OFFSET($H$3,0,0,'Données projet'!$E$11+1,1))</f>
        <v>425.47148407510412</v>
      </c>
      <c r="BJ149" s="59">
        <f t="shared" si="146"/>
        <v>308.54448799922471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142.37462843958696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142.37462843958696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-1.3596945791505279E-13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323.20040177531774</v>
      </c>
      <c r="T150" s="59">
        <f t="shared" si="142"/>
        <v>402.87981443974337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26.859891127607561</v>
      </c>
      <c r="AA150" s="21">
        <f>EXP(-LN(2)/25)*AA149+(1-EXP(-LN(2)/25))/(LN(2)/25)*Calculateur!V150*Calculateur!X150*VLOOKUP('Données projet'!$B$9,Paramètres!$A$1:$I$89,3,0)*0.475*44/12</f>
        <v>3.5455103731398085</v>
      </c>
      <c r="AB150" s="21">
        <f>EXP(-LN(2)/2)*AB149+(1-EXP(-LN(2)/2))/(LN(2)/2)*V150*Y150*VLOOKUP('Données projet'!$B$9,Paramètres!$A$1:$I$89,3,0)*0.475*44/12</f>
        <v>8.1205425024108113E-13</v>
      </c>
      <c r="AC150" s="22">
        <f t="shared" si="111"/>
        <v>30.405401500748184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-6.7984728957526396E-14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355.09162485318728</v>
      </c>
      <c r="AO150" s="59">
        <f t="shared" si="144"/>
        <v>320.06572891923685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43.709589008592737</v>
      </c>
      <c r="AV150" s="21">
        <f>EXP(-LN(2)/25)*AV149+(1-EXP(-LN(2)/25))/(LN(2)/25)*Calculateur!AQ150*Calculateur!AS150*VLOOKUP('Données projet'!$B$10,Paramètres!$A$1:$I$89,3,0)*0.475*44/12</f>
        <v>5.922283896336852</v>
      </c>
      <c r="AW150" s="21">
        <f>EXP(-LN(2)/2)*AW149+(1-EXP(-LN(2)/2))/(LN(2)/2)*AQ150*AT150*VLOOKUP('Données projet'!$B$10,Paramètres!$A$1:$I$89,3,0)*0.475*44/12</f>
        <v>9.60860389157171E-10</v>
      </c>
      <c r="AX150" s="21">
        <f t="shared" si="114"/>
        <v>49.631872905890447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5.6843418860808015E-13</v>
      </c>
      <c r="BE150" s="13">
        <f>BD150*VLOOKUP('Données projet'!$B$11,Paramètres!$A$1:$I$89,3,0)*VLOOKUP('Données projet'!$B$11,Paramètres!$A$1:$I$89,5,0)</f>
        <v>5.763922672485933E-13</v>
      </c>
      <c r="BF150" s="13">
        <f t="shared" si="145"/>
        <v>7.0619171555808457E-12</v>
      </c>
      <c r="BG150" s="20">
        <f t="shared" si="115"/>
        <v>1.3303388911427938E-11</v>
      </c>
      <c r="BH150" s="59">
        <f t="shared" si="116"/>
        <v>293.33333333334662</v>
      </c>
      <c r="BI150" s="59">
        <f ca="1">AVERAGE(OFFSET($BH$3,0,0,'Données projet'!$E$11+1,1))-AVERAGE(OFFSET($H$3,0,0,'Données projet'!$E$11+1,1))</f>
        <v>425.47148407510412</v>
      </c>
      <c r="BJ150" s="59">
        <f t="shared" si="146"/>
        <v>308.54448799922471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139.58274881583526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139.58274881583526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-1.3596945791505279E-13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323.20040177531774</v>
      </c>
      <c r="T151" s="59">
        <f t="shared" si="142"/>
        <v>402.87981443974337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26.333185045511087</v>
      </c>
      <c r="AA151" s="21">
        <f>EXP(-LN(2)/25)*AA150+(1-EXP(-LN(2)/25))/(LN(2)/25)*Calculateur!V151*Calculateur!X151*VLOOKUP('Données projet'!$B$9,Paramètres!$A$1:$I$89,3,0)*0.475*44/12</f>
        <v>3.4485582055360133</v>
      </c>
      <c r="AB151" s="21">
        <f>EXP(-LN(2)/2)*AB150+(1-EXP(-LN(2)/2))/(LN(2)/2)*V151*Y151*VLOOKUP('Données projet'!$B$9,Paramètres!$A$1:$I$89,3,0)*0.475*44/12</f>
        <v>5.7420906703682605E-13</v>
      </c>
      <c r="AC151" s="22">
        <f t="shared" si="111"/>
        <v>29.781743251047676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-6.7984728957526396E-14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355.09162485318728</v>
      </c>
      <c r="AO151" s="59">
        <f t="shared" si="144"/>
        <v>320.06572891923685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42.85247062835105</v>
      </c>
      <c r="AV151" s="21">
        <f>EXP(-LN(2)/25)*AV150+(1-EXP(-LN(2)/25))/(LN(2)/25)*Calculateur!AQ151*Calculateur!AS151*VLOOKUP('Données projet'!$B$10,Paramètres!$A$1:$I$89,3,0)*0.475*44/12</f>
        <v>5.7603387317521459</v>
      </c>
      <c r="AW151" s="21">
        <f>EXP(-LN(2)/2)*AW150+(1-EXP(-LN(2)/2))/(LN(2)/2)*AQ151*AT151*VLOOKUP('Données projet'!$B$10,Paramètres!$A$1:$I$89,3,0)*0.475*44/12</f>
        <v>6.7943089694658062E-10</v>
      </c>
      <c r="AX151" s="21">
        <f t="shared" si="114"/>
        <v>48.612809360782627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5.6843418860808015E-13</v>
      </c>
      <c r="BE151" s="13">
        <f>BD151*VLOOKUP('Données projet'!$B$11,Paramètres!$A$1:$I$89,3,0)*VLOOKUP('Données projet'!$B$11,Paramètres!$A$1:$I$89,5,0)</f>
        <v>5.763922672485933E-13</v>
      </c>
      <c r="BF151" s="13">
        <f t="shared" si="145"/>
        <v>7.0619171555808457E-12</v>
      </c>
      <c r="BG151" s="20">
        <f t="shared" si="115"/>
        <v>1.3303388911427938E-11</v>
      </c>
      <c r="BH151" s="59">
        <f t="shared" si="116"/>
        <v>293.33333333334662</v>
      </c>
      <c r="BI151" s="59">
        <f ca="1">AVERAGE(OFFSET($BH$3,0,0,'Données projet'!$E$11+1,1))-AVERAGE(OFFSET($H$3,0,0,'Données projet'!$E$11+1,1))</f>
        <v>425.47148407510412</v>
      </c>
      <c r="BJ151" s="59">
        <f t="shared" si="146"/>
        <v>308.54448799922471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136.84561624862692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136.84561624862692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-1.3596945791505279E-13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323.20040177531774</v>
      </c>
      <c r="T152" s="59">
        <f t="shared" si="142"/>
        <v>402.87981443974337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25.816807348425534</v>
      </c>
      <c r="AA152" s="21">
        <f>EXP(-LN(2)/25)*AA151+(1-EXP(-LN(2)/25))/(LN(2)/25)*Calculateur!V152*Calculateur!X152*VLOOKUP('Données projet'!$B$9,Paramètres!$A$1:$I$89,3,0)*0.475*44/12</f>
        <v>3.3542572000538367</v>
      </c>
      <c r="AB152" s="21">
        <f>EXP(-LN(2)/2)*AB151+(1-EXP(-LN(2)/2))/(LN(2)/2)*V152*Y152*VLOOKUP('Données projet'!$B$9,Paramètres!$A$1:$I$89,3,0)*0.475*44/12</f>
        <v>4.0602712512054057E-13</v>
      </c>
      <c r="AC152" s="22">
        <f t="shared" si="111"/>
        <v>29.171064548479777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-6.7984728957526396E-14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355.09162485318728</v>
      </c>
      <c r="AO152" s="59">
        <f t="shared" si="144"/>
        <v>320.06572891923685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42.012159816755315</v>
      </c>
      <c r="AV152" s="21">
        <f>EXP(-LN(2)/25)*AV151+(1-EXP(-LN(2)/25))/(LN(2)/25)*Calculateur!AQ152*Calculateur!AS152*VLOOKUP('Données projet'!$B$10,Paramètres!$A$1:$I$89,3,0)*0.475*44/12</f>
        <v>5.6028219662093353</v>
      </c>
      <c r="AW152" s="21">
        <f>EXP(-LN(2)/2)*AW151+(1-EXP(-LN(2)/2))/(LN(2)/2)*AQ152*AT152*VLOOKUP('Données projet'!$B$10,Paramètres!$A$1:$I$89,3,0)*0.475*44/12</f>
        <v>4.804301945785855E-10</v>
      </c>
      <c r="AX152" s="21">
        <f t="shared" si="114"/>
        <v>47.614981783445081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5.6843418860808015E-13</v>
      </c>
      <c r="BE152" s="13">
        <f>BD152*VLOOKUP('Données projet'!$B$11,Paramètres!$A$1:$I$89,3,0)*VLOOKUP('Données projet'!$B$11,Paramètres!$A$1:$I$89,5,0)</f>
        <v>5.763922672485933E-13</v>
      </c>
      <c r="BF152" s="13">
        <f t="shared" si="145"/>
        <v>7.0619171555808457E-12</v>
      </c>
      <c r="BG152" s="20">
        <f t="shared" si="115"/>
        <v>1.3303388911427938E-11</v>
      </c>
      <c r="BH152" s="59">
        <f t="shared" si="116"/>
        <v>293.33333333334662</v>
      </c>
      <c r="BI152" s="59">
        <f ca="1">AVERAGE(OFFSET($BH$3,0,0,'Données projet'!$E$11+1,1))-AVERAGE(OFFSET($H$3,0,0,'Données projet'!$E$11+1,1))</f>
        <v>425.47148407510412</v>
      </c>
      <c r="BJ152" s="59">
        <f t="shared" si="146"/>
        <v>308.54448799922471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134.16215718157554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134.16215718157554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-1.3596945791505279E-13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323.20040177531774</v>
      </c>
      <c r="T153" s="59">
        <f t="shared" si="142"/>
        <v>402.87981443974337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25.310555503020534</v>
      </c>
      <c r="AA153" s="21">
        <f>EXP(-LN(2)/25)*AA152+(1-EXP(-LN(2)/25))/(LN(2)/25)*Calculateur!V153*Calculateur!X153*VLOOKUP('Données projet'!$B$9,Paramètres!$A$1:$I$89,3,0)*0.475*44/12</f>
        <v>3.2625348605256446</v>
      </c>
      <c r="AB153" s="21">
        <f>EXP(-LN(2)/2)*AB152+(1-EXP(-LN(2)/2))/(LN(2)/2)*V153*Y153*VLOOKUP('Données projet'!$B$9,Paramètres!$A$1:$I$89,3,0)*0.475*44/12</f>
        <v>2.8710453351841303E-13</v>
      </c>
      <c r="AC153" s="22">
        <f t="shared" si="111"/>
        <v>28.573090363546466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-6.7984728957526396E-14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355.09162485318728</v>
      </c>
      <c r="AO153" s="59">
        <f t="shared" si="144"/>
        <v>320.06572891923685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41.188326987635982</v>
      </c>
      <c r="AV153" s="21">
        <f>EXP(-LN(2)/25)*AV152+(1-EXP(-LN(2)/25))/(LN(2)/25)*Calculateur!AQ153*Calculateur!AS153*VLOOKUP('Données projet'!$B$10,Paramètres!$A$1:$I$89,3,0)*0.475*44/12</f>
        <v>5.4496125049037394</v>
      </c>
      <c r="AW153" s="21">
        <f>EXP(-LN(2)/2)*AW152+(1-EXP(-LN(2)/2))/(LN(2)/2)*AQ153*AT153*VLOOKUP('Données projet'!$B$10,Paramètres!$A$1:$I$89,3,0)*0.475*44/12</f>
        <v>3.3971544847329031E-10</v>
      </c>
      <c r="AX153" s="21">
        <f t="shared" si="114"/>
        <v>46.63793949287944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5.6843418860808015E-13</v>
      </c>
      <c r="BE153" s="13">
        <f>BD153*VLOOKUP('Données projet'!$B$11,Paramètres!$A$1:$I$89,3,0)*VLOOKUP('Données projet'!$B$11,Paramètres!$A$1:$I$89,5,0)</f>
        <v>5.763922672485933E-13</v>
      </c>
      <c r="BF153" s="13">
        <f t="shared" si="145"/>
        <v>7.0619171555808457E-12</v>
      </c>
      <c r="BG153" s="20">
        <f t="shared" si="115"/>
        <v>1.3303388911427938E-11</v>
      </c>
      <c r="BH153" s="59">
        <f t="shared" si="116"/>
        <v>293.33333333334662</v>
      </c>
      <c r="BI153" s="59">
        <f ca="1">AVERAGE(OFFSET($BH$3,0,0,'Données projet'!$E$11+1,1))-AVERAGE(OFFSET($H$3,0,0,'Données projet'!$E$11+1,1))</f>
        <v>425.47148407510412</v>
      </c>
      <c r="BJ153" s="59">
        <f t="shared" si="146"/>
        <v>308.54448799922471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131.5313191100806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131.5313191100806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-1.3596945791505279E-13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323.20040177531774</v>
      </c>
      <c r="T154" s="59">
        <f t="shared" si="142"/>
        <v>402.87981443974337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24.814230947520791</v>
      </c>
      <c r="AA154" s="21">
        <f>EXP(-LN(2)/25)*AA153+(1-EXP(-LN(2)/25))/(LN(2)/25)*Calculateur!V154*Calculateur!X154*VLOOKUP('Données projet'!$B$9,Paramètres!$A$1:$I$89,3,0)*0.475*44/12</f>
        <v>3.173320673195319</v>
      </c>
      <c r="AB154" s="21">
        <f>EXP(-LN(2)/2)*AB153+(1-EXP(-LN(2)/2))/(LN(2)/2)*V154*Y154*VLOOKUP('Données projet'!$B$9,Paramètres!$A$1:$I$89,3,0)*0.475*44/12</f>
        <v>2.0301356256027028E-13</v>
      </c>
      <c r="AC154" s="22">
        <f t="shared" ref="AC154:AC203" si="163">SUM(Z154:AB154)</f>
        <v>27.987551620716314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-6.7984728957526396E-14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355.09162485318728</v>
      </c>
      <c r="AO154" s="59">
        <f t="shared" si="144"/>
        <v>320.06572891923685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40.380649017807272</v>
      </c>
      <c r="AV154" s="21">
        <f>EXP(-LN(2)/25)*AV153+(1-EXP(-LN(2)/25))/(LN(2)/25)*Calculateur!AQ154*Calculateur!AS154*VLOOKUP('Données projet'!$B$10,Paramètres!$A$1:$I$89,3,0)*0.475*44/12</f>
        <v>5.3005925643744805</v>
      </c>
      <c r="AW154" s="21">
        <f>EXP(-LN(2)/2)*AW153+(1-EXP(-LN(2)/2))/(LN(2)/2)*AQ154*AT154*VLOOKUP('Données projet'!$B$10,Paramètres!$A$1:$I$89,3,0)*0.475*44/12</f>
        <v>2.4021509728929275E-10</v>
      </c>
      <c r="AX154" s="21">
        <f t="shared" ref="AX154:AX203" si="166">SUM(AU154:AW154)</f>
        <v>45.681241582421968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5.6843418860808015E-13</v>
      </c>
      <c r="BE154" s="13">
        <f>BD154*VLOOKUP('Données projet'!$B$11,Paramètres!$A$1:$I$89,3,0)*VLOOKUP('Données projet'!$B$11,Paramètres!$A$1:$I$89,5,0)</f>
        <v>5.763922672485933E-13</v>
      </c>
      <c r="BF154" s="13">
        <f t="shared" ref="BF154:BF203" si="167">EXP(-1.0587+0.8836*LN(BE154)+0.284)</f>
        <v>7.0619171555808457E-12</v>
      </c>
      <c r="BG154" s="20">
        <f t="shared" ref="BG154:BG203" si="168">(BE154+BF154)*0.475*44/12</f>
        <v>1.3303388911427938E-11</v>
      </c>
      <c r="BH154" s="59">
        <f t="shared" si="116"/>
        <v>293.33333333334662</v>
      </c>
      <c r="BI154" s="59">
        <f ca="1">AVERAGE(OFFSET($BH$3,0,0,'Données projet'!$E$11+1,1))-AVERAGE(OFFSET($H$3,0,0,'Données projet'!$E$11+1,1))</f>
        <v>425.47148407510412</v>
      </c>
      <c r="BJ154" s="59">
        <f t="shared" si="146"/>
        <v>308.54448799922471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128.95207016851489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128.95207016851489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-1.3596945791505279E-13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323.20040177531774</v>
      </c>
      <c r="T155" s="59">
        <f t="shared" si="142"/>
        <v>402.87981443974337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24.32763901382631</v>
      </c>
      <c r="AA155" s="21">
        <f>EXP(-LN(2)/25)*AA154+(1-EXP(-LN(2)/25))/(LN(2)/25)*Calculateur!V155*Calculateur!X155*VLOOKUP('Données projet'!$B$9,Paramètres!$A$1:$I$89,3,0)*0.475*44/12</f>
        <v>3.0865460525091115</v>
      </c>
      <c r="AB155" s="21">
        <f>EXP(-LN(2)/2)*AB154+(1-EXP(-LN(2)/2))/(LN(2)/2)*V155*Y155*VLOOKUP('Données projet'!$B$9,Paramètres!$A$1:$I$89,3,0)*0.475*44/12</f>
        <v>1.4355226675920651E-13</v>
      </c>
      <c r="AC155" s="22">
        <f t="shared" si="163"/>
        <v>27.414185066335563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-6.7984728957526396E-14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355.09162485318728</v>
      </c>
      <c r="AO155" s="59">
        <f t="shared" si="144"/>
        <v>320.06572891923685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39.588809120331987</v>
      </c>
      <c r="AV155" s="21">
        <f>EXP(-LN(2)/25)*AV154+(1-EXP(-LN(2)/25))/(LN(2)/25)*Calculateur!AQ155*Calculateur!AS155*VLOOKUP('Données projet'!$B$10,Paramètres!$A$1:$I$89,3,0)*0.475*44/12</f>
        <v>5.1556475819556118</v>
      </c>
      <c r="AW155" s="21">
        <f>EXP(-LN(2)/2)*AW154+(1-EXP(-LN(2)/2))/(LN(2)/2)*AQ155*AT155*VLOOKUP('Données projet'!$B$10,Paramètres!$A$1:$I$89,3,0)*0.475*44/12</f>
        <v>1.6985772423664515E-10</v>
      </c>
      <c r="AX155" s="21">
        <f t="shared" si="166"/>
        <v>44.744456702457455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5.6843418860808015E-13</v>
      </c>
      <c r="BE155" s="13">
        <f>BD155*VLOOKUP('Données projet'!$B$11,Paramètres!$A$1:$I$89,3,0)*VLOOKUP('Données projet'!$B$11,Paramètres!$A$1:$I$89,5,0)</f>
        <v>5.763922672485933E-13</v>
      </c>
      <c r="BF155" s="13">
        <f t="shared" si="167"/>
        <v>7.0619171555808457E-12</v>
      </c>
      <c r="BG155" s="20">
        <f t="shared" si="168"/>
        <v>1.3303388911427938E-11</v>
      </c>
      <c r="BH155" s="59">
        <f t="shared" si="116"/>
        <v>293.33333333334662</v>
      </c>
      <c r="BI155" s="59">
        <f ca="1">AVERAGE(OFFSET($BH$3,0,0,'Données projet'!$E$11+1,1))-AVERAGE(OFFSET($H$3,0,0,'Données projet'!$E$11+1,1))</f>
        <v>425.47148407510412</v>
      </c>
      <c r="BJ155" s="59">
        <f t="shared" si="146"/>
        <v>308.54448799922471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126.42339872550679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126.42339872550679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-1.3596945791505279E-13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323.20040177531774</v>
      </c>
      <c r="T156" s="59">
        <f t="shared" si="142"/>
        <v>402.87981443974337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23.850588851159806</v>
      </c>
      <c r="AA156" s="21">
        <f>EXP(-LN(2)/25)*AA155+(1-EXP(-LN(2)/25))/(LN(2)/25)*Calculateur!V156*Calculateur!X156*VLOOKUP('Données projet'!$B$9,Paramètres!$A$1:$I$89,3,0)*0.475*44/12</f>
        <v>3.0021442883888474</v>
      </c>
      <c r="AB156" s="21">
        <f>EXP(-LN(2)/2)*AB155+(1-EXP(-LN(2)/2))/(LN(2)/2)*V156*Y156*VLOOKUP('Données projet'!$B$9,Paramètres!$A$1:$I$89,3,0)*0.475*44/12</f>
        <v>1.0150678128013514E-13</v>
      </c>
      <c r="AC156" s="22">
        <f t="shared" si="163"/>
        <v>26.852733139548757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-6.7984728957526396E-14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355.09162485318728</v>
      </c>
      <c r="AO156" s="59">
        <f t="shared" si="144"/>
        <v>320.06572891923685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38.81249672027154</v>
      </c>
      <c r="AV156" s="21">
        <f>EXP(-LN(2)/25)*AV155+(1-EXP(-LN(2)/25))/(LN(2)/25)*Calculateur!AQ156*Calculateur!AS156*VLOOKUP('Données projet'!$B$10,Paramètres!$A$1:$I$89,3,0)*0.475*44/12</f>
        <v>5.0146661277033129</v>
      </c>
      <c r="AW156" s="21">
        <f>EXP(-LN(2)/2)*AW155+(1-EXP(-LN(2)/2))/(LN(2)/2)*AQ156*AT156*VLOOKUP('Données projet'!$B$10,Paramètres!$A$1:$I$89,3,0)*0.475*44/12</f>
        <v>1.2010754864464638E-10</v>
      </c>
      <c r="AX156" s="21">
        <f t="shared" si="166"/>
        <v>43.827162848094964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5.6843418860808015E-13</v>
      </c>
      <c r="BE156" s="13">
        <f>BD156*VLOOKUP('Données projet'!$B$11,Paramètres!$A$1:$I$89,3,0)*VLOOKUP('Données projet'!$B$11,Paramètres!$A$1:$I$89,5,0)</f>
        <v>5.763922672485933E-13</v>
      </c>
      <c r="BF156" s="13">
        <f t="shared" si="167"/>
        <v>7.0619171555808457E-12</v>
      </c>
      <c r="BG156" s="20">
        <f t="shared" si="168"/>
        <v>1.3303388911427938E-11</v>
      </c>
      <c r="BH156" s="59">
        <f t="shared" si="116"/>
        <v>293.33333333334662</v>
      </c>
      <c r="BI156" s="59">
        <f ca="1">AVERAGE(OFFSET($BH$3,0,0,'Données projet'!$E$11+1,1))-AVERAGE(OFFSET($H$3,0,0,'Données projet'!$E$11+1,1))</f>
        <v>425.47148407510412</v>
      </c>
      <c r="BJ156" s="59">
        <f t="shared" si="146"/>
        <v>308.54448799922471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123.94431298715878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123.94431298715878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-1.3596945791505279E-13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323.20040177531774</v>
      </c>
      <c r="T157" s="59">
        <f t="shared" si="142"/>
        <v>402.87981443974337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23.382893351211322</v>
      </c>
      <c r="AA157" s="21">
        <f>EXP(-LN(2)/25)*AA156+(1-EXP(-LN(2)/25))/(LN(2)/25)*Calculateur!V157*Calculateur!X157*VLOOKUP('Données projet'!$B$9,Paramètres!$A$1:$I$89,3,0)*0.475*44/12</f>
        <v>2.9200504949469477</v>
      </c>
      <c r="AB157" s="21">
        <f>EXP(-LN(2)/2)*AB156+(1-EXP(-LN(2)/2))/(LN(2)/2)*V157*Y157*VLOOKUP('Données projet'!$B$9,Paramètres!$A$1:$I$89,3,0)*0.475*44/12</f>
        <v>7.1776133379603257E-14</v>
      </c>
      <c r="AC157" s="22">
        <f t="shared" si="163"/>
        <v>26.302943846158342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-6.7984728957526396E-14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355.09162485318728</v>
      </c>
      <c r="AO157" s="59">
        <f t="shared" si="144"/>
        <v>320.06572891923685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38.051407332872472</v>
      </c>
      <c r="AV157" s="21">
        <f>EXP(-LN(2)/25)*AV156+(1-EXP(-LN(2)/25))/(LN(2)/25)*Calculateur!AQ157*Calculateur!AS157*VLOOKUP('Données projet'!$B$10,Paramètres!$A$1:$I$89,3,0)*0.475*44/12</f>
        <v>4.8775398187314352</v>
      </c>
      <c r="AW157" s="21">
        <f>EXP(-LN(2)/2)*AW156+(1-EXP(-LN(2)/2))/(LN(2)/2)*AQ157*AT157*VLOOKUP('Données projet'!$B$10,Paramètres!$A$1:$I$89,3,0)*0.475*44/12</f>
        <v>8.4928862118322577E-11</v>
      </c>
      <c r="AX157" s="21">
        <f t="shared" si="166"/>
        <v>42.928947151688838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5.6843418860808015E-13</v>
      </c>
      <c r="BE157" s="13">
        <f>BD157*VLOOKUP('Données projet'!$B$11,Paramètres!$A$1:$I$89,3,0)*VLOOKUP('Données projet'!$B$11,Paramètres!$A$1:$I$89,5,0)</f>
        <v>5.763922672485933E-13</v>
      </c>
      <c r="BF157" s="13">
        <f t="shared" si="167"/>
        <v>7.0619171555808457E-12</v>
      </c>
      <c r="BG157" s="20">
        <f t="shared" si="168"/>
        <v>1.3303388911427938E-11</v>
      </c>
      <c r="BH157" s="59">
        <f t="shared" si="116"/>
        <v>293.33333333334662</v>
      </c>
      <c r="BI157" s="59">
        <f ca="1">AVERAGE(OFFSET($BH$3,0,0,'Données projet'!$E$11+1,1))-AVERAGE(OFFSET($H$3,0,0,'Données projet'!$E$11+1,1))</f>
        <v>425.47148407510412</v>
      </c>
      <c r="BJ157" s="59">
        <f t="shared" si="146"/>
        <v>308.54448799922471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121.51384060804678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121.51384060804678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-1.3596945791505279E-13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323.20040177531774</v>
      </c>
      <c r="T158" s="59">
        <f t="shared" si="142"/>
        <v>402.87981443974337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22.924369074750743</v>
      </c>
      <c r="AA158" s="21">
        <f>EXP(-LN(2)/25)*AA157+(1-EXP(-LN(2)/25))/(LN(2)/25)*Calculateur!V158*Calculateur!X158*VLOOKUP('Données projet'!$B$9,Paramètres!$A$1:$I$89,3,0)*0.475*44/12</f>
        <v>2.8402015606038415</v>
      </c>
      <c r="AB158" s="21">
        <f>EXP(-LN(2)/2)*AB157+(1-EXP(-LN(2)/2))/(LN(2)/2)*V158*Y158*VLOOKUP('Données projet'!$B$9,Paramètres!$A$1:$I$89,3,0)*0.475*44/12</f>
        <v>5.0753390640067571E-14</v>
      </c>
      <c r="AC158" s="22">
        <f t="shared" si="163"/>
        <v>25.764570635354634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-6.7984728957526396E-14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355.09162485318728</v>
      </c>
      <c r="AO158" s="59">
        <f t="shared" si="144"/>
        <v>320.06572891923685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37.305242444141612</v>
      </c>
      <c r="AV158" s="21">
        <f>EXP(-LN(2)/25)*AV157+(1-EXP(-LN(2)/25))/(LN(2)/25)*Calculateur!AQ158*Calculateur!AS158*VLOOKUP('Données projet'!$B$10,Paramètres!$A$1:$I$89,3,0)*0.475*44/12</f>
        <v>4.7441632358895527</v>
      </c>
      <c r="AW158" s="21">
        <f>EXP(-LN(2)/2)*AW157+(1-EXP(-LN(2)/2))/(LN(2)/2)*AQ158*AT158*VLOOKUP('Données projet'!$B$10,Paramètres!$A$1:$I$89,3,0)*0.475*44/12</f>
        <v>6.0053774322323188E-11</v>
      </c>
      <c r="AX158" s="21">
        <f t="shared" si="166"/>
        <v>42.049405680091219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5.6843418860808015E-13</v>
      </c>
      <c r="BE158" s="13">
        <f>BD158*VLOOKUP('Données projet'!$B$11,Paramètres!$A$1:$I$89,3,0)*VLOOKUP('Données projet'!$B$11,Paramètres!$A$1:$I$89,5,0)</f>
        <v>5.763922672485933E-13</v>
      </c>
      <c r="BF158" s="13">
        <f t="shared" si="167"/>
        <v>7.0619171555808457E-12</v>
      </c>
      <c r="BG158" s="20">
        <f t="shared" si="168"/>
        <v>1.3303388911427938E-11</v>
      </c>
      <c r="BH158" s="59">
        <f t="shared" si="116"/>
        <v>293.33333333334662</v>
      </c>
      <c r="BI158" s="59">
        <f ca="1">AVERAGE(OFFSET($BH$3,0,0,'Données projet'!$E$11+1,1))-AVERAGE(OFFSET($H$3,0,0,'Données projet'!$E$11+1,1))</f>
        <v>425.47148407510412</v>
      </c>
      <c r="BJ158" s="59">
        <f t="shared" si="146"/>
        <v>308.54448799922471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119.13102830984739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119.13102830984739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-1.3596945791505279E-13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323.20040177531774</v>
      </c>
      <c r="T159" s="59">
        <f t="shared" si="142"/>
        <v>402.87981443974337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22.474836179679361</v>
      </c>
      <c r="AA159" s="21">
        <f>EXP(-LN(2)/25)*AA158+(1-EXP(-LN(2)/25))/(LN(2)/25)*Calculateur!V159*Calculateur!X159*VLOOKUP('Données projet'!$B$9,Paramètres!$A$1:$I$89,3,0)*0.475*44/12</f>
        <v>2.7625360995694206</v>
      </c>
      <c r="AB159" s="21">
        <f>EXP(-LN(2)/2)*AB158+(1-EXP(-LN(2)/2))/(LN(2)/2)*V159*Y159*VLOOKUP('Données projet'!$B$9,Paramètres!$A$1:$I$89,3,0)*0.475*44/12</f>
        <v>3.5888066689801628E-14</v>
      </c>
      <c r="AC159" s="22">
        <f t="shared" si="163"/>
        <v>25.237372279248817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-6.7984728957526396E-14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355.09162485318728</v>
      </c>
      <c r="AO159" s="59">
        <f t="shared" si="144"/>
        <v>320.06572891923685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36.573709393763117</v>
      </c>
      <c r="AV159" s="21">
        <f>EXP(-LN(2)/25)*AV158+(1-EXP(-LN(2)/25))/(LN(2)/25)*Calculateur!AQ159*Calculateur!AS159*VLOOKUP('Données projet'!$B$10,Paramètres!$A$1:$I$89,3,0)*0.475*44/12</f>
        <v>4.6144338427194516</v>
      </c>
      <c r="AW159" s="21">
        <f>EXP(-LN(2)/2)*AW158+(1-EXP(-LN(2)/2))/(LN(2)/2)*AQ159*AT159*VLOOKUP('Données projet'!$B$10,Paramètres!$A$1:$I$89,3,0)*0.475*44/12</f>
        <v>4.2464431059161289E-11</v>
      </c>
      <c r="AX159" s="21">
        <f t="shared" si="166"/>
        <v>41.188143236525029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5.6843418860808015E-13</v>
      </c>
      <c r="BE159" s="13">
        <f>BD159*VLOOKUP('Données projet'!$B$11,Paramètres!$A$1:$I$89,3,0)*VLOOKUP('Données projet'!$B$11,Paramètres!$A$1:$I$89,5,0)</f>
        <v>5.763922672485933E-13</v>
      </c>
      <c r="BF159" s="13">
        <f t="shared" si="167"/>
        <v>7.0619171555808457E-12</v>
      </c>
      <c r="BG159" s="20">
        <f t="shared" si="168"/>
        <v>1.3303388911427938E-11</v>
      </c>
      <c r="BH159" s="59">
        <f t="shared" si="116"/>
        <v>293.33333333334662</v>
      </c>
      <c r="BI159" s="59">
        <f ca="1">AVERAGE(OFFSET($BH$3,0,0,'Données projet'!$E$11+1,1))-AVERAGE(OFFSET($H$3,0,0,'Données projet'!$E$11+1,1))</f>
        <v>425.47148407510412</v>
      </c>
      <c r="BJ159" s="59">
        <f t="shared" si="146"/>
        <v>308.54448799922471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116.79494150744371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116.79494150744371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-1.3596945791505279E-13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323.20040177531774</v>
      </c>
      <c r="T160" s="59">
        <f t="shared" si="142"/>
        <v>402.87981443974337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22.034118350492335</v>
      </c>
      <c r="AA160" s="21">
        <f>EXP(-LN(2)/25)*AA159+(1-EXP(-LN(2)/25))/(LN(2)/25)*Calculateur!V160*Calculateur!X160*VLOOKUP('Données projet'!$B$9,Paramètres!$A$1:$I$89,3,0)*0.475*44/12</f>
        <v>2.6869944046512351</v>
      </c>
      <c r="AB160" s="21">
        <f>EXP(-LN(2)/2)*AB159+(1-EXP(-LN(2)/2))/(LN(2)/2)*V160*Y160*VLOOKUP('Données projet'!$B$9,Paramètres!$A$1:$I$89,3,0)*0.475*44/12</f>
        <v>2.5376695320033785E-14</v>
      </c>
      <c r="AC160" s="22">
        <f t="shared" si="163"/>
        <v>24.721112755143594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-6.7984728957526396E-14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355.09162485318728</v>
      </c>
      <c r="AO160" s="59">
        <f t="shared" si="144"/>
        <v>320.06572891923685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35.856521260311446</v>
      </c>
      <c r="AV160" s="21">
        <f>EXP(-LN(2)/25)*AV159+(1-EXP(-LN(2)/25))/(LN(2)/25)*Calculateur!AQ160*Calculateur!AS160*VLOOKUP('Données projet'!$B$10,Paramètres!$A$1:$I$89,3,0)*0.475*44/12</f>
        <v>4.4882519066277586</v>
      </c>
      <c r="AW160" s="21">
        <f>EXP(-LN(2)/2)*AW159+(1-EXP(-LN(2)/2))/(LN(2)/2)*AQ160*AT160*VLOOKUP('Données projet'!$B$10,Paramètres!$A$1:$I$89,3,0)*0.475*44/12</f>
        <v>3.0026887161161594E-11</v>
      </c>
      <c r="AX160" s="21">
        <f t="shared" si="166"/>
        <v>40.344773166969233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5.6843418860808015E-13</v>
      </c>
      <c r="BE160" s="13">
        <f>BD160*VLOOKUP('Données projet'!$B$11,Paramètres!$A$1:$I$89,3,0)*VLOOKUP('Données projet'!$B$11,Paramètres!$A$1:$I$89,5,0)</f>
        <v>5.763922672485933E-13</v>
      </c>
      <c r="BF160" s="13">
        <f t="shared" si="167"/>
        <v>7.0619171555808457E-12</v>
      </c>
      <c r="BG160" s="20">
        <f t="shared" si="168"/>
        <v>1.3303388911427938E-11</v>
      </c>
      <c r="BH160" s="59">
        <f t="shared" si="116"/>
        <v>293.33333333334662</v>
      </c>
      <c r="BI160" s="59">
        <f ca="1">AVERAGE(OFFSET($BH$3,0,0,'Données projet'!$E$11+1,1))-AVERAGE(OFFSET($H$3,0,0,'Données projet'!$E$11+1,1))</f>
        <v>425.47148407510412</v>
      </c>
      <c r="BJ160" s="59">
        <f t="shared" si="146"/>
        <v>308.54448799922471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114.5046639423629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114.5046639423629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-1.3596945791505279E-13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323.20040177531774</v>
      </c>
      <c r="T161" s="59">
        <f t="shared" si="142"/>
        <v>402.87981443974337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21.602042729124335</v>
      </c>
      <c r="AA161" s="21">
        <f>EXP(-LN(2)/25)*AA160+(1-EXP(-LN(2)/25))/(LN(2)/25)*Calculateur!V161*Calculateur!X161*VLOOKUP('Données projet'!$B$9,Paramètres!$A$1:$I$89,3,0)*0.475*44/12</f>
        <v>2.6135184013531525</v>
      </c>
      <c r="AB161" s="21">
        <f>EXP(-LN(2)/2)*AB160+(1-EXP(-LN(2)/2))/(LN(2)/2)*V161*Y161*VLOOKUP('Données projet'!$B$9,Paramètres!$A$1:$I$89,3,0)*0.475*44/12</f>
        <v>1.7944033344900814E-14</v>
      </c>
      <c r="AC161" s="22">
        <f t="shared" si="163"/>
        <v>24.215561130477507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-6.7984728957526396E-14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355.09162485318728</v>
      </c>
      <c r="AO161" s="59">
        <f t="shared" si="144"/>
        <v>320.06572891923685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35.153396748715195</v>
      </c>
      <c r="AV161" s="21">
        <f>EXP(-LN(2)/25)*AV160+(1-EXP(-LN(2)/25))/(LN(2)/25)*Calculateur!AQ161*Calculateur!AS161*VLOOKUP('Données projet'!$B$10,Paramètres!$A$1:$I$89,3,0)*0.475*44/12</f>
        <v>4.3655204222141126</v>
      </c>
      <c r="AW161" s="21">
        <f>EXP(-LN(2)/2)*AW160+(1-EXP(-LN(2)/2))/(LN(2)/2)*AQ161*AT161*VLOOKUP('Données projet'!$B$10,Paramètres!$A$1:$I$89,3,0)*0.475*44/12</f>
        <v>2.1232215529580644E-11</v>
      </c>
      <c r="AX161" s="21">
        <f t="shared" si="166"/>
        <v>39.518917170950537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5.6843418860808015E-13</v>
      </c>
      <c r="BE161" s="13">
        <f>BD161*VLOOKUP('Données projet'!$B$11,Paramètres!$A$1:$I$89,3,0)*VLOOKUP('Données projet'!$B$11,Paramètres!$A$1:$I$89,5,0)</f>
        <v>5.763922672485933E-13</v>
      </c>
      <c r="BF161" s="13">
        <f t="shared" si="167"/>
        <v>7.0619171555808457E-12</v>
      </c>
      <c r="BG161" s="20">
        <f t="shared" si="168"/>
        <v>1.3303388911427938E-11</v>
      </c>
      <c r="BH161" s="59">
        <f t="shared" si="116"/>
        <v>293.33333333334662</v>
      </c>
      <c r="BI161" s="59">
        <f ca="1">AVERAGE(OFFSET($BH$3,0,0,'Données projet'!$E$11+1,1))-AVERAGE(OFFSET($H$3,0,0,'Données projet'!$E$11+1,1))</f>
        <v>425.47148407510412</v>
      </c>
      <c r="BJ161" s="59">
        <f t="shared" si="146"/>
        <v>308.54448799922471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112.25929732340194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112.25929732340194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-1.3596945791505279E-13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323.20040177531774</v>
      </c>
      <c r="T162" s="59">
        <f t="shared" si="142"/>
        <v>402.87981443974337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21.178439847151257</v>
      </c>
      <c r="AA162" s="21">
        <f>EXP(-LN(2)/25)*AA161+(1-EXP(-LN(2)/25))/(LN(2)/25)*Calculateur!V162*Calculateur!X162*VLOOKUP('Données projet'!$B$9,Paramètres!$A$1:$I$89,3,0)*0.475*44/12</f>
        <v>2.5420516032291909</v>
      </c>
      <c r="AB162" s="21">
        <f>EXP(-LN(2)/2)*AB161+(1-EXP(-LN(2)/2))/(LN(2)/2)*V162*Y162*VLOOKUP('Données projet'!$B$9,Paramètres!$A$1:$I$89,3,0)*0.475*44/12</f>
        <v>1.2688347660016893E-14</v>
      </c>
      <c r="AC162" s="22">
        <f t="shared" si="163"/>
        <v>23.720491450380461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-6.7984728957526396E-14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355.09162485318728</v>
      </c>
      <c r="AO162" s="59">
        <f t="shared" si="144"/>
        <v>320.06572891923685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34.464060079927741</v>
      </c>
      <c r="AV162" s="21">
        <f>EXP(-LN(2)/25)*AV161+(1-EXP(-LN(2)/25))/(LN(2)/25)*Calculateur!AQ162*Calculateur!AS162*VLOOKUP('Données projet'!$B$10,Paramètres!$A$1:$I$89,3,0)*0.475*44/12</f>
        <v>4.2461450366959266</v>
      </c>
      <c r="AW162" s="21">
        <f>EXP(-LN(2)/2)*AW161+(1-EXP(-LN(2)/2))/(LN(2)/2)*AQ162*AT162*VLOOKUP('Données projet'!$B$10,Paramètres!$A$1:$I$89,3,0)*0.475*44/12</f>
        <v>1.5013443580580797E-11</v>
      </c>
      <c r="AX162" s="21">
        <f t="shared" si="166"/>
        <v>38.710205116638683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5.6843418860808015E-13</v>
      </c>
      <c r="BE162" s="13">
        <f>BD162*VLOOKUP('Données projet'!$B$11,Paramètres!$A$1:$I$89,3,0)*VLOOKUP('Données projet'!$B$11,Paramètres!$A$1:$I$89,5,0)</f>
        <v>5.763922672485933E-13</v>
      </c>
      <c r="BF162" s="13">
        <f t="shared" si="167"/>
        <v>7.0619171555808457E-12</v>
      </c>
      <c r="BG162" s="20">
        <f t="shared" si="168"/>
        <v>1.3303388911427938E-11</v>
      </c>
      <c r="BH162" s="59">
        <f t="shared" si="116"/>
        <v>293.33333333334662</v>
      </c>
      <c r="BI162" s="59">
        <f ca="1">AVERAGE(OFFSET($BH$3,0,0,'Données projet'!$E$11+1,1))-AVERAGE(OFFSET($H$3,0,0,'Données projet'!$E$11+1,1))</f>
        <v>425.47148407510412</v>
      </c>
      <c r="BJ162" s="59">
        <f t="shared" si="146"/>
        <v>308.54448799922471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110.0579609743004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110.0579609743004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-1.3596945791505279E-13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323.20040177531774</v>
      </c>
      <c r="T163" s="59">
        <f t="shared" si="142"/>
        <v>402.87981443974337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20.763143559321424</v>
      </c>
      <c r="AA163" s="21">
        <f>EXP(-LN(2)/25)*AA162+(1-EXP(-LN(2)/25))/(LN(2)/25)*Calculateur!V163*Calculateur!X163*VLOOKUP('Données projet'!$B$9,Paramètres!$A$1:$I$89,3,0)*0.475*44/12</f>
        <v>2.4725390684582047</v>
      </c>
      <c r="AB163" s="21">
        <f>EXP(-LN(2)/2)*AB162+(1-EXP(-LN(2)/2))/(LN(2)/2)*V163*Y163*VLOOKUP('Données projet'!$B$9,Paramètres!$A$1:$I$89,3,0)*0.475*44/12</f>
        <v>8.9720166724504071E-15</v>
      </c>
      <c r="AC163" s="22">
        <f t="shared" si="163"/>
        <v>23.235682627779639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-6.7984728957526396E-14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355.09162485318728</v>
      </c>
      <c r="AO163" s="59">
        <f t="shared" si="144"/>
        <v>320.06572891923685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33.788240882761357</v>
      </c>
      <c r="AV163" s="21">
        <f>EXP(-LN(2)/25)*AV162+(1-EXP(-LN(2)/25))/(LN(2)/25)*Calculateur!AQ163*Calculateur!AS163*VLOOKUP('Données projet'!$B$10,Paramètres!$A$1:$I$89,3,0)*0.475*44/12</f>
        <v>4.1300339773724133</v>
      </c>
      <c r="AW163" s="21">
        <f>EXP(-LN(2)/2)*AW162+(1-EXP(-LN(2)/2))/(LN(2)/2)*AQ163*AT163*VLOOKUP('Données projet'!$B$10,Paramètres!$A$1:$I$89,3,0)*0.475*44/12</f>
        <v>1.0616107764790322E-11</v>
      </c>
      <c r="AX163" s="21">
        <f t="shared" si="166"/>
        <v>37.918274860144386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5.6843418860808015E-13</v>
      </c>
      <c r="BE163" s="13">
        <f>BD163*VLOOKUP('Données projet'!$B$11,Paramètres!$A$1:$I$89,3,0)*VLOOKUP('Données projet'!$B$11,Paramètres!$A$1:$I$89,5,0)</f>
        <v>5.763922672485933E-13</v>
      </c>
      <c r="BF163" s="13">
        <f t="shared" si="167"/>
        <v>7.0619171555808457E-12</v>
      </c>
      <c r="BG163" s="20">
        <f t="shared" si="168"/>
        <v>1.3303388911427938E-11</v>
      </c>
      <c r="BH163" s="59">
        <f t="shared" si="116"/>
        <v>293.33333333334662</v>
      </c>
      <c r="BI163" s="59">
        <f ca="1">AVERAGE(OFFSET($BH$3,0,0,'Données projet'!$E$11+1,1))-AVERAGE(OFFSET($H$3,0,0,'Données projet'!$E$11+1,1))</f>
        <v>425.47148407510412</v>
      </c>
      <c r="BJ163" s="59">
        <f t="shared" si="146"/>
        <v>308.54448799922471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107.89979148832215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107.89979148832215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-1.3596945791505279E-13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323.20040177531774</v>
      </c>
      <c r="T164" s="59">
        <f t="shared" si="142"/>
        <v>402.87981443974337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20.35599097839021</v>
      </c>
      <c r="AA164" s="21">
        <f>EXP(-LN(2)/25)*AA163+(1-EXP(-LN(2)/25))/(LN(2)/25)*Calculateur!V164*Calculateur!X164*VLOOKUP('Données projet'!$B$9,Paramètres!$A$1:$I$89,3,0)*0.475*44/12</f>
        <v>2.4049273576060366</v>
      </c>
      <c r="AB164" s="21">
        <f>EXP(-LN(2)/2)*AB163+(1-EXP(-LN(2)/2))/(LN(2)/2)*V164*Y164*VLOOKUP('Données projet'!$B$9,Paramètres!$A$1:$I$89,3,0)*0.475*44/12</f>
        <v>6.3441738300084463E-15</v>
      </c>
      <c r="AC164" s="22">
        <f t="shared" si="163"/>
        <v>22.760918335996255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-6.7984728957526396E-14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355.09162485318728</v>
      </c>
      <c r="AO164" s="59">
        <f t="shared" si="144"/>
        <v>320.06572891923685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33.125674087842398</v>
      </c>
      <c r="AV164" s="21">
        <f>EXP(-LN(2)/25)*AV163+(1-EXP(-LN(2)/25))/(LN(2)/25)*Calculateur!AQ164*Calculateur!AS164*VLOOKUP('Données projet'!$B$10,Paramètres!$A$1:$I$89,3,0)*0.475*44/12</f>
        <v>4.0170979810721175</v>
      </c>
      <c r="AW164" s="21">
        <f>EXP(-LN(2)/2)*AW163+(1-EXP(-LN(2)/2))/(LN(2)/2)*AQ164*AT164*VLOOKUP('Données projet'!$B$10,Paramètres!$A$1:$I$89,3,0)*0.475*44/12</f>
        <v>7.5067217902903984E-12</v>
      </c>
      <c r="AX164" s="21">
        <f t="shared" si="166"/>
        <v>37.142772068922021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5.6843418860808015E-13</v>
      </c>
      <c r="BE164" s="13">
        <f>BD164*VLOOKUP('Données projet'!$B$11,Paramètres!$A$1:$I$89,3,0)*VLOOKUP('Données projet'!$B$11,Paramètres!$A$1:$I$89,5,0)</f>
        <v>5.763922672485933E-13</v>
      </c>
      <c r="BF164" s="13">
        <f t="shared" si="167"/>
        <v>7.0619171555808457E-12</v>
      </c>
      <c r="BG164" s="20">
        <f t="shared" si="168"/>
        <v>1.3303388911427938E-11</v>
      </c>
      <c r="BH164" s="59">
        <f t="shared" si="116"/>
        <v>293.33333333334662</v>
      </c>
      <c r="BI164" s="59">
        <f ca="1">AVERAGE(OFFSET($BH$3,0,0,'Données projet'!$E$11+1,1))-AVERAGE(OFFSET($H$3,0,0,'Données projet'!$E$11+1,1))</f>
        <v>425.47148407510412</v>
      </c>
      <c r="BJ164" s="59">
        <f t="shared" si="146"/>
        <v>308.54448799922471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105.78394238961053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105.78394238961053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-1.3596945791505279E-13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323.20040177531774</v>
      </c>
      <c r="T165" s="59">
        <f t="shared" si="142"/>
        <v>402.87981443974337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19.956822411232505</v>
      </c>
      <c r="AA165" s="21">
        <f>EXP(-LN(2)/25)*AA164+(1-EXP(-LN(2)/25))/(LN(2)/25)*Calculateur!V165*Calculateur!X165*VLOOKUP('Données projet'!$B$9,Paramètres!$A$1:$I$89,3,0)*0.475*44/12</f>
        <v>2.3391644925426665</v>
      </c>
      <c r="AB165" s="21">
        <f>EXP(-LN(2)/2)*AB164+(1-EXP(-LN(2)/2))/(LN(2)/2)*V165*Y165*VLOOKUP('Données projet'!$B$9,Paramètres!$A$1:$I$89,3,0)*0.475*44/12</f>
        <v>4.4860083362252035E-15</v>
      </c>
      <c r="AC165" s="22">
        <f t="shared" si="163"/>
        <v>22.295986903775177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-6.7984728957526396E-14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355.09162485318728</v>
      </c>
      <c r="AO165" s="59">
        <f t="shared" si="144"/>
        <v>320.06572891923685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32.47609982364596</v>
      </c>
      <c r="AV165" s="21">
        <f>EXP(-LN(2)/25)*AV164+(1-EXP(-LN(2)/25))/(LN(2)/25)*Calculateur!AQ165*Calculateur!AS165*VLOOKUP('Données projet'!$B$10,Paramètres!$A$1:$I$89,3,0)*0.475*44/12</f>
        <v>3.9072502255296988</v>
      </c>
      <c r="AW165" s="21">
        <f>EXP(-LN(2)/2)*AW164+(1-EXP(-LN(2)/2))/(LN(2)/2)*AQ165*AT165*VLOOKUP('Données projet'!$B$10,Paramètres!$A$1:$I$89,3,0)*0.475*44/12</f>
        <v>5.3080538823951611E-12</v>
      </c>
      <c r="AX165" s="21">
        <f t="shared" si="166"/>
        <v>36.383350049180969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5.6843418860808015E-13</v>
      </c>
      <c r="BE165" s="13">
        <f>BD165*VLOOKUP('Données projet'!$B$11,Paramètres!$A$1:$I$89,3,0)*VLOOKUP('Données projet'!$B$11,Paramètres!$A$1:$I$89,5,0)</f>
        <v>5.763922672485933E-13</v>
      </c>
      <c r="BF165" s="13">
        <f t="shared" si="167"/>
        <v>7.0619171555808457E-12</v>
      </c>
      <c r="BG165" s="20">
        <f t="shared" si="168"/>
        <v>1.3303388911427938E-11</v>
      </c>
      <c r="BH165" s="59">
        <f t="shared" si="116"/>
        <v>293.33333333334662</v>
      </c>
      <c r="BI165" s="59">
        <f ca="1">AVERAGE(OFFSET($BH$3,0,0,'Données projet'!$E$11+1,1))-AVERAGE(OFFSET($H$3,0,0,'Données projet'!$E$11+1,1))</f>
        <v>425.47148407510412</v>
      </c>
      <c r="BJ165" s="59">
        <f t="shared" si="146"/>
        <v>308.54448799922471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103.70958380118412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103.70958380118412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-1.3596945791505279E-13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323.20040177531774</v>
      </c>
      <c r="T166" s="59">
        <f t="shared" si="142"/>
        <v>402.87981443974337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19.565481296207977</v>
      </c>
      <c r="AA166" s="21">
        <f>EXP(-LN(2)/25)*AA165+(1-EXP(-LN(2)/25))/(LN(2)/25)*Calculateur!V166*Calculateur!X166*VLOOKUP('Données projet'!$B$9,Paramètres!$A$1:$I$89,3,0)*0.475*44/12</f>
        <v>2.275199916482773</v>
      </c>
      <c r="AB166" s="21">
        <f>EXP(-LN(2)/2)*AB165+(1-EXP(-LN(2)/2))/(LN(2)/2)*V166*Y166*VLOOKUP('Données projet'!$B$9,Paramètres!$A$1:$I$89,3,0)*0.475*44/12</f>
        <v>3.1720869150042232E-15</v>
      </c>
      <c r="AC166" s="22">
        <f t="shared" si="163"/>
        <v>21.840681212690754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-6.7984728957526396E-14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355.09162485318728</v>
      </c>
      <c r="AO166" s="59">
        <f t="shared" si="144"/>
        <v>320.06572891923685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31.83926331456923</v>
      </c>
      <c r="AV166" s="21">
        <f>EXP(-LN(2)/25)*AV165+(1-EXP(-LN(2)/25))/(LN(2)/25)*Calculateur!AQ166*Calculateur!AS166*VLOOKUP('Données projet'!$B$10,Paramètres!$A$1:$I$89,3,0)*0.475*44/12</f>
        <v>3.8004062626392301</v>
      </c>
      <c r="AW166" s="21">
        <f>EXP(-LN(2)/2)*AW165+(1-EXP(-LN(2)/2))/(LN(2)/2)*AQ166*AT166*VLOOKUP('Données projet'!$B$10,Paramètres!$A$1:$I$89,3,0)*0.475*44/12</f>
        <v>3.7533608951451992E-12</v>
      </c>
      <c r="AX166" s="21">
        <f t="shared" si="166"/>
        <v>35.63966957721221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5.6843418860808015E-13</v>
      </c>
      <c r="BE166" s="13">
        <f>BD166*VLOOKUP('Données projet'!$B$11,Paramètres!$A$1:$I$89,3,0)*VLOOKUP('Données projet'!$B$11,Paramètres!$A$1:$I$89,5,0)</f>
        <v>5.763922672485933E-13</v>
      </c>
      <c r="BF166" s="13">
        <f t="shared" si="167"/>
        <v>7.0619171555808457E-12</v>
      </c>
      <c r="BG166" s="20">
        <f t="shared" si="168"/>
        <v>1.3303388911427938E-11</v>
      </c>
      <c r="BH166" s="59">
        <f t="shared" si="116"/>
        <v>293.33333333334662</v>
      </c>
      <c r="BI166" s="59">
        <f ca="1">AVERAGE(OFFSET($BH$3,0,0,'Données projet'!$E$11+1,1))-AVERAGE(OFFSET($H$3,0,0,'Données projet'!$E$11+1,1))</f>
        <v>425.47148407510412</v>
      </c>
      <c r="BJ166" s="59">
        <f t="shared" si="146"/>
        <v>308.54448799922471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101.67590211944295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101.67590211944295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-1.3596945791505279E-13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323.20040177531774</v>
      </c>
      <c r="T167" s="59">
        <f t="shared" si="142"/>
        <v>402.87981443974337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19.181814141754568</v>
      </c>
      <c r="AA167" s="21">
        <f>EXP(-LN(2)/25)*AA166+(1-EXP(-LN(2)/25))/(LN(2)/25)*Calculateur!V167*Calculateur!X167*VLOOKUP('Données projet'!$B$9,Paramètres!$A$1:$I$89,3,0)*0.475*44/12</f>
        <v>2.2129844551189879</v>
      </c>
      <c r="AB167" s="21">
        <f>EXP(-LN(2)/2)*AB166+(1-EXP(-LN(2)/2))/(LN(2)/2)*V167*Y167*VLOOKUP('Données projet'!$B$9,Paramètres!$A$1:$I$89,3,0)*0.475*44/12</f>
        <v>2.2430041681126018E-15</v>
      </c>
      <c r="AC167" s="22">
        <f t="shared" si="163"/>
        <v>21.39479859687356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-6.7984728957526396E-14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355.09162485318728</v>
      </c>
      <c r="AO167" s="59">
        <f t="shared" si="144"/>
        <v>320.06572891923685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31.214914781003582</v>
      </c>
      <c r="AV167" s="21">
        <f>EXP(-LN(2)/25)*AV166+(1-EXP(-LN(2)/25))/(LN(2)/25)*Calculateur!AQ167*Calculateur!AS167*VLOOKUP('Données projet'!$B$10,Paramètres!$A$1:$I$89,3,0)*0.475*44/12</f>
        <v>3.696483953532681</v>
      </c>
      <c r="AW167" s="21">
        <f>EXP(-LN(2)/2)*AW166+(1-EXP(-LN(2)/2))/(LN(2)/2)*AQ167*AT167*VLOOKUP('Données projet'!$B$10,Paramètres!$A$1:$I$89,3,0)*0.475*44/12</f>
        <v>2.6540269411975805E-12</v>
      </c>
      <c r="AX167" s="21">
        <f t="shared" si="166"/>
        <v>34.911398734538921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5.6843418860808015E-13</v>
      </c>
      <c r="BE167" s="13">
        <f>BD167*VLOOKUP('Données projet'!$B$11,Paramètres!$A$1:$I$89,3,0)*VLOOKUP('Données projet'!$B$11,Paramètres!$A$1:$I$89,5,0)</f>
        <v>5.763922672485933E-13</v>
      </c>
      <c r="BF167" s="13">
        <f t="shared" si="167"/>
        <v>7.0619171555808457E-12</v>
      </c>
      <c r="BG167" s="20">
        <f t="shared" si="168"/>
        <v>1.3303388911427938E-11</v>
      </c>
      <c r="BH167" s="59">
        <f t="shared" si="116"/>
        <v>293.33333333334662</v>
      </c>
      <c r="BI167" s="59">
        <f ca="1">AVERAGE(OFFSET($BH$3,0,0,'Données projet'!$E$11+1,1))-AVERAGE(OFFSET($H$3,0,0,'Données projet'!$E$11+1,1))</f>
        <v>425.47148407510412</v>
      </c>
      <c r="BJ167" s="59">
        <f t="shared" si="146"/>
        <v>308.54448799922471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99.682099695057374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99.682099695057374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-1.3596945791505279E-13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323.20040177531774</v>
      </c>
      <c r="T168" s="59">
        <f t="shared" si="142"/>
        <v>402.87981443974337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18.805670466186132</v>
      </c>
      <c r="AA168" s="21">
        <f>EXP(-LN(2)/25)*AA167+(1-EXP(-LN(2)/25))/(LN(2)/25)*Calculateur!V168*Calculateur!X168*VLOOKUP('Données projet'!$B$9,Paramètres!$A$1:$I$89,3,0)*0.475*44/12</f>
        <v>2.1524702788179644</v>
      </c>
      <c r="AB168" s="21">
        <f>EXP(-LN(2)/2)*AB167+(1-EXP(-LN(2)/2))/(LN(2)/2)*V168*Y168*VLOOKUP('Données projet'!$B$9,Paramètres!$A$1:$I$89,3,0)*0.475*44/12</f>
        <v>1.5860434575021116E-15</v>
      </c>
      <c r="AC168" s="22">
        <f t="shared" si="163"/>
        <v>20.958140745004098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-6.7984728957526396E-14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355.09162485318728</v>
      </c>
      <c r="AO168" s="59">
        <f t="shared" si="144"/>
        <v>320.06572891923685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30.60280934136615</v>
      </c>
      <c r="AV168" s="21">
        <f>EXP(-LN(2)/25)*AV167+(1-EXP(-LN(2)/25))/(LN(2)/25)*Calculateur!AQ168*Calculateur!AS168*VLOOKUP('Données projet'!$B$10,Paramètres!$A$1:$I$89,3,0)*0.475*44/12</f>
        <v>3.5954034054336872</v>
      </c>
      <c r="AW168" s="21">
        <f>EXP(-LN(2)/2)*AW167+(1-EXP(-LN(2)/2))/(LN(2)/2)*AQ168*AT168*VLOOKUP('Données projet'!$B$10,Paramètres!$A$1:$I$89,3,0)*0.475*44/12</f>
        <v>1.8766804475725996E-12</v>
      </c>
      <c r="AX168" s="21">
        <f t="shared" si="166"/>
        <v>34.198212746801715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5.6843418860808015E-13</v>
      </c>
      <c r="BE168" s="13">
        <f>BD168*VLOOKUP('Données projet'!$B$11,Paramètres!$A$1:$I$89,3,0)*VLOOKUP('Données projet'!$B$11,Paramètres!$A$1:$I$89,5,0)</f>
        <v>5.763922672485933E-13</v>
      </c>
      <c r="BF168" s="13">
        <f t="shared" si="167"/>
        <v>7.0619171555808457E-12</v>
      </c>
      <c r="BG168" s="20">
        <f t="shared" si="168"/>
        <v>1.3303388911427938E-11</v>
      </c>
      <c r="BH168" s="59">
        <f t="shared" si="116"/>
        <v>293.33333333334662</v>
      </c>
      <c r="BI168" s="59">
        <f ca="1">AVERAGE(OFFSET($BH$3,0,0,'Données projet'!$E$11+1,1))-AVERAGE(OFFSET($H$3,0,0,'Données projet'!$E$11+1,1))</f>
        <v>425.47148407510412</v>
      </c>
      <c r="BJ168" s="59">
        <f t="shared" si="146"/>
        <v>308.54448799922471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97.727394520114601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97.727394520114601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-1.3596945791505279E-13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323.20040177531774</v>
      </c>
      <c r="T169" s="59">
        <f t="shared" si="142"/>
        <v>402.87981443974337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18.436902738670607</v>
      </c>
      <c r="AA169" s="21">
        <f>EXP(-LN(2)/25)*AA168+(1-EXP(-LN(2)/25))/(LN(2)/25)*Calculateur!V169*Calculateur!X169*VLOOKUP('Données projet'!$B$9,Paramètres!$A$1:$I$89,3,0)*0.475*44/12</f>
        <v>2.0936108658501946</v>
      </c>
      <c r="AB169" s="21">
        <f>EXP(-LN(2)/2)*AB168+(1-EXP(-LN(2)/2))/(LN(2)/2)*V169*Y169*VLOOKUP('Données projet'!$B$9,Paramètres!$A$1:$I$89,3,0)*0.475*44/12</f>
        <v>1.1215020840563009E-15</v>
      </c>
      <c r="AC169" s="22">
        <f t="shared" si="163"/>
        <v>20.530513604520802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-6.7984728957526396E-14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355.09162485318728</v>
      </c>
      <c r="AO169" s="59">
        <f t="shared" si="144"/>
        <v>320.06572891923685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30.002706916052556</v>
      </c>
      <c r="AV169" s="21">
        <f>EXP(-LN(2)/25)*AV168+(1-EXP(-LN(2)/25))/(LN(2)/25)*Calculateur!AQ169*Calculateur!AS169*VLOOKUP('Données projet'!$B$10,Paramètres!$A$1:$I$89,3,0)*0.475*44/12</f>
        <v>3.4970869102380555</v>
      </c>
      <c r="AW169" s="21">
        <f>EXP(-LN(2)/2)*AW168+(1-EXP(-LN(2)/2))/(LN(2)/2)*AQ169*AT169*VLOOKUP('Données projet'!$B$10,Paramètres!$A$1:$I$89,3,0)*0.475*44/12</f>
        <v>1.3270134705987903E-12</v>
      </c>
      <c r="AX169" s="21">
        <f t="shared" si="166"/>
        <v>33.499793826291942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5.6843418860808015E-13</v>
      </c>
      <c r="BE169" s="13">
        <f>BD169*VLOOKUP('Données projet'!$B$11,Paramètres!$A$1:$I$89,3,0)*VLOOKUP('Données projet'!$B$11,Paramètres!$A$1:$I$89,5,0)</f>
        <v>5.763922672485933E-13</v>
      </c>
      <c r="BF169" s="13">
        <f t="shared" si="167"/>
        <v>7.0619171555808457E-12</v>
      </c>
      <c r="BG169" s="20">
        <f t="shared" si="168"/>
        <v>1.3303388911427938E-11</v>
      </c>
      <c r="BH169" s="59">
        <f t="shared" si="116"/>
        <v>293.33333333334662</v>
      </c>
      <c r="BI169" s="59">
        <f ca="1">AVERAGE(OFFSET($BH$3,0,0,'Données projet'!$E$11+1,1))-AVERAGE(OFFSET($H$3,0,0,'Données projet'!$E$11+1,1))</f>
        <v>425.47148407510412</v>
      </c>
      <c r="BJ169" s="59">
        <f t="shared" si="146"/>
        <v>308.54448799922471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95.811019921400032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95.811019921400032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-1.3596945791505279E-13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323.20040177531774</v>
      </c>
      <c r="T170" s="59">
        <f t="shared" si="142"/>
        <v>402.87981443974337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18.075366321365557</v>
      </c>
      <c r="AA170" s="21">
        <f>EXP(-LN(2)/25)*AA169+(1-EXP(-LN(2)/25))/(LN(2)/25)*Calculateur!V170*Calculateur!X170*VLOOKUP('Données projet'!$B$9,Paramètres!$A$1:$I$89,3,0)*0.475*44/12</f>
        <v>2.0363609666253106</v>
      </c>
      <c r="AB170" s="21">
        <f>EXP(-LN(2)/2)*AB169+(1-EXP(-LN(2)/2))/(LN(2)/2)*V170*Y170*VLOOKUP('Données projet'!$B$9,Paramètres!$A$1:$I$89,3,0)*0.475*44/12</f>
        <v>7.9302172875105579E-16</v>
      </c>
      <c r="AC170" s="22">
        <f t="shared" si="163"/>
        <v>20.111727287990867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-6.7984728957526396E-14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355.09162485318728</v>
      </c>
      <c r="AO170" s="59">
        <f t="shared" si="144"/>
        <v>320.06572891923685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29.414372133273027</v>
      </c>
      <c r="AV170" s="21">
        <f>EXP(-LN(2)/25)*AV169+(1-EXP(-LN(2)/25))/(LN(2)/25)*Calculateur!AQ170*Calculateur!AS170*VLOOKUP('Données projet'!$B$10,Paramètres!$A$1:$I$89,3,0)*0.475*44/12</f>
        <v>3.4014588847737879</v>
      </c>
      <c r="AW170" s="21">
        <f>EXP(-LN(2)/2)*AW169+(1-EXP(-LN(2)/2))/(LN(2)/2)*AQ170*AT170*VLOOKUP('Données projet'!$B$10,Paramètres!$A$1:$I$89,3,0)*0.475*44/12</f>
        <v>9.3834022378629981E-13</v>
      </c>
      <c r="AX170" s="21">
        <f t="shared" si="166"/>
        <v>32.815831018047753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5.6843418860808015E-13</v>
      </c>
      <c r="BE170" s="13">
        <f>BD170*VLOOKUP('Données projet'!$B$11,Paramètres!$A$1:$I$89,3,0)*VLOOKUP('Données projet'!$B$11,Paramètres!$A$1:$I$89,5,0)</f>
        <v>5.763922672485933E-13</v>
      </c>
      <c r="BF170" s="13">
        <f t="shared" si="167"/>
        <v>7.0619171555808457E-12</v>
      </c>
      <c r="BG170" s="20">
        <f t="shared" si="168"/>
        <v>1.3303388911427938E-11</v>
      </c>
      <c r="BH170" s="59">
        <f t="shared" si="116"/>
        <v>293.33333333334662</v>
      </c>
      <c r="BI170" s="59">
        <f ca="1">AVERAGE(OFFSET($BH$3,0,0,'Données projet'!$E$11+1,1))-AVERAGE(OFFSET($H$3,0,0,'Données projet'!$E$11+1,1))</f>
        <v>425.47148407510412</v>
      </c>
      <c r="BJ170" s="59">
        <f t="shared" si="146"/>
        <v>308.54448799922471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93.932224259693157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93.932224259693157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-1.3596945791505279E-13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323.20040177531774</v>
      </c>
      <c r="T171" s="59">
        <f t="shared" si="142"/>
        <v>402.87981443974337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17.720919412688417</v>
      </c>
      <c r="AA171" s="21">
        <f>EXP(-LN(2)/25)*AA170+(1-EXP(-LN(2)/25))/(LN(2)/25)*Calculateur!V171*Calculateur!X171*VLOOKUP('Données projet'!$B$9,Paramètres!$A$1:$I$89,3,0)*0.475*44/12</f>
        <v>1.9806765689053725</v>
      </c>
      <c r="AB171" s="21">
        <f>EXP(-LN(2)/2)*AB170+(1-EXP(-LN(2)/2))/(LN(2)/2)*V171*Y171*VLOOKUP('Données projet'!$B$9,Paramètres!$A$1:$I$89,3,0)*0.475*44/12</f>
        <v>5.6075104202815044E-16</v>
      </c>
      <c r="AC171" s="22">
        <f t="shared" si="163"/>
        <v>19.70159598159379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-6.7984728957526396E-14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355.09162485318728</v>
      </c>
      <c r="AO171" s="59">
        <f t="shared" si="144"/>
        <v>320.06572891923685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28.837574236735019</v>
      </c>
      <c r="AV171" s="21">
        <f>EXP(-LN(2)/25)*AV170+(1-EXP(-LN(2)/25))/(LN(2)/25)*Calculateur!AQ171*Calculateur!AS171*VLOOKUP('Données projet'!$B$10,Paramètres!$A$1:$I$89,3,0)*0.475*44/12</f>
        <v>3.3084458126946998</v>
      </c>
      <c r="AW171" s="21">
        <f>EXP(-LN(2)/2)*AW170+(1-EXP(-LN(2)/2))/(LN(2)/2)*AQ171*AT171*VLOOKUP('Données projet'!$B$10,Paramètres!$A$1:$I$89,3,0)*0.475*44/12</f>
        <v>6.6350673529939514E-13</v>
      </c>
      <c r="AX171" s="21">
        <f t="shared" si="166"/>
        <v>32.146020049430383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5.6843418860808015E-13</v>
      </c>
      <c r="BE171" s="13">
        <f>BD171*VLOOKUP('Données projet'!$B$11,Paramètres!$A$1:$I$89,3,0)*VLOOKUP('Données projet'!$B$11,Paramètres!$A$1:$I$89,5,0)</f>
        <v>5.763922672485933E-13</v>
      </c>
      <c r="BF171" s="13">
        <f t="shared" si="167"/>
        <v>7.0619171555808457E-12</v>
      </c>
      <c r="BG171" s="20">
        <f t="shared" si="168"/>
        <v>1.3303388911427938E-11</v>
      </c>
      <c r="BH171" s="59">
        <f t="shared" si="116"/>
        <v>293.33333333334662</v>
      </c>
      <c r="BI171" s="59">
        <f ca="1">AVERAGE(OFFSET($BH$3,0,0,'Données projet'!$E$11+1,1))-AVERAGE(OFFSET($H$3,0,0,'Données projet'!$E$11+1,1))</f>
        <v>425.47148407510412</v>
      </c>
      <c r="BJ171" s="59">
        <f t="shared" si="146"/>
        <v>308.54448799922471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92.090270634960163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92.090270634960163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-1.3596945791505279E-13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323.20040177531774</v>
      </c>
      <c r="T172" s="59">
        <f t="shared" si="142"/>
        <v>402.87981443974337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17.373422991699169</v>
      </c>
      <c r="AA172" s="21">
        <f>EXP(-LN(2)/25)*AA171+(1-EXP(-LN(2)/25))/(LN(2)/25)*Calculateur!V172*Calculateur!X172*VLOOKUP('Données projet'!$B$9,Paramètres!$A$1:$I$89,3,0)*0.475*44/12</f>
        <v>1.9265148639694012</v>
      </c>
      <c r="AB172" s="21">
        <f>EXP(-LN(2)/2)*AB171+(1-EXP(-LN(2)/2))/(LN(2)/2)*V172*Y172*VLOOKUP('Données projet'!$B$9,Paramètres!$A$1:$I$89,3,0)*0.475*44/12</f>
        <v>3.965108643755279E-16</v>
      </c>
      <c r="AC172" s="22">
        <f t="shared" si="163"/>
        <v>19.299937855668571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-6.7984728957526396E-14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355.09162485318728</v>
      </c>
      <c r="AO172" s="59">
        <f t="shared" si="144"/>
        <v>320.06572891923685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28.272086995136142</v>
      </c>
      <c r="AV172" s="21">
        <f>EXP(-LN(2)/25)*AV171+(1-EXP(-LN(2)/25))/(LN(2)/25)*Calculateur!AQ172*Calculateur!AS172*VLOOKUP('Données projet'!$B$10,Paramètres!$A$1:$I$89,3,0)*0.475*44/12</f>
        <v>3.2179761879629596</v>
      </c>
      <c r="AW172" s="21">
        <f>EXP(-LN(2)/2)*AW171+(1-EXP(-LN(2)/2))/(LN(2)/2)*AQ172*AT172*VLOOKUP('Données projet'!$B$10,Paramètres!$A$1:$I$89,3,0)*0.475*44/12</f>
        <v>4.691701118931499E-13</v>
      </c>
      <c r="AX172" s="21">
        <f t="shared" si="166"/>
        <v>31.490063183099572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5.6843418860808015E-13</v>
      </c>
      <c r="BE172" s="13">
        <f>BD172*VLOOKUP('Données projet'!$B$11,Paramètres!$A$1:$I$89,3,0)*VLOOKUP('Données projet'!$B$11,Paramètres!$A$1:$I$89,5,0)</f>
        <v>5.763922672485933E-13</v>
      </c>
      <c r="BF172" s="13">
        <f t="shared" si="167"/>
        <v>7.0619171555808457E-12</v>
      </c>
      <c r="BG172" s="20">
        <f t="shared" si="168"/>
        <v>1.3303388911427938E-11</v>
      </c>
      <c r="BH172" s="59">
        <f t="shared" si="116"/>
        <v>293.33333333334662</v>
      </c>
      <c r="BI172" s="59">
        <f ca="1">AVERAGE(OFFSET($BH$3,0,0,'Données projet'!$E$11+1,1))-AVERAGE(OFFSET($H$3,0,0,'Données projet'!$E$11+1,1))</f>
        <v>425.47148407510412</v>
      </c>
      <c r="BJ172" s="59">
        <f t="shared" si="146"/>
        <v>308.54448799922471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90.284436597327399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90.284436597327399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-1.3596945791505279E-13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323.20040177531774</v>
      </c>
      <c r="T173" s="59">
        <f t="shared" si="142"/>
        <v>402.87981443974337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17.032740763573631</v>
      </c>
      <c r="AA173" s="21">
        <f>EXP(-LN(2)/25)*AA172+(1-EXP(-LN(2)/25))/(LN(2)/25)*Calculateur!V173*Calculateur!X173*VLOOKUP('Données projet'!$B$9,Paramètres!$A$1:$I$89,3,0)*0.475*44/12</f>
        <v>1.8738342137031443</v>
      </c>
      <c r="AB173" s="21">
        <f>EXP(-LN(2)/2)*AB172+(1-EXP(-LN(2)/2))/(LN(2)/2)*V173*Y173*VLOOKUP('Données projet'!$B$9,Paramètres!$A$1:$I$89,3,0)*0.475*44/12</f>
        <v>2.8037552101407522E-16</v>
      </c>
      <c r="AC173" s="22">
        <f t="shared" si="163"/>
        <v>18.906574977276776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-6.7984728957526396E-14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355.09162485318728</v>
      </c>
      <c r="AO173" s="59">
        <f t="shared" si="144"/>
        <v>320.06572891923685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27.717688613431861</v>
      </c>
      <c r="AV173" s="21">
        <f>EXP(-LN(2)/25)*AV172+(1-EXP(-LN(2)/25))/(LN(2)/25)*Calculateur!AQ173*Calculateur!AS173*VLOOKUP('Données projet'!$B$10,Paramètres!$A$1:$I$89,3,0)*0.475*44/12</f>
        <v>3.1299804598770997</v>
      </c>
      <c r="AW173" s="21">
        <f>EXP(-LN(2)/2)*AW172+(1-EXP(-LN(2)/2))/(LN(2)/2)*AQ173*AT173*VLOOKUP('Données projet'!$B$10,Paramètres!$A$1:$I$89,3,0)*0.475*44/12</f>
        <v>3.3175336764969757E-13</v>
      </c>
      <c r="AX173" s="21">
        <f t="shared" si="166"/>
        <v>30.847669073309291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5.6843418860808015E-13</v>
      </c>
      <c r="BE173" s="13">
        <f>BD173*VLOOKUP('Données projet'!$B$11,Paramètres!$A$1:$I$89,3,0)*VLOOKUP('Données projet'!$B$11,Paramètres!$A$1:$I$89,5,0)</f>
        <v>5.763922672485933E-13</v>
      </c>
      <c r="BF173" s="13">
        <f t="shared" si="167"/>
        <v>7.0619171555808457E-12</v>
      </c>
      <c r="BG173" s="20">
        <f t="shared" si="168"/>
        <v>1.3303388911427938E-11</v>
      </c>
      <c r="BH173" s="59">
        <f t="shared" si="116"/>
        <v>293.33333333334662</v>
      </c>
      <c r="BI173" s="59">
        <f ca="1">AVERAGE(OFFSET($BH$3,0,0,'Données projet'!$E$11+1,1))-AVERAGE(OFFSET($H$3,0,0,'Données projet'!$E$11+1,1))</f>
        <v>425.47148407510412</v>
      </c>
      <c r="BJ173" s="59">
        <f t="shared" si="146"/>
        <v>308.54448799922471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88.51401386372261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88.51401386372261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-1.3596945791505279E-13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323.20040177531774</v>
      </c>
      <c r="T174" s="59">
        <f t="shared" si="142"/>
        <v>402.87981443974337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16.698739106145997</v>
      </c>
      <c r="AA174" s="21">
        <f>EXP(-LN(2)/25)*AA173+(1-EXP(-LN(2)/25))/(LN(2)/25)*Calculateur!V174*Calculateur!X174*VLOOKUP('Données projet'!$B$9,Paramètres!$A$1:$I$89,3,0)*0.475*44/12</f>
        <v>1.8225941185887733</v>
      </c>
      <c r="AB174" s="21">
        <f>EXP(-LN(2)/2)*AB173+(1-EXP(-LN(2)/2))/(LN(2)/2)*V174*Y174*VLOOKUP('Données projet'!$B$9,Paramètres!$A$1:$I$89,3,0)*0.475*44/12</f>
        <v>1.9825543218776395E-16</v>
      </c>
      <c r="AC174" s="22">
        <f t="shared" si="163"/>
        <v>18.521333224734772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-6.7984728957526396E-14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355.09162485318728</v>
      </c>
      <c r="AO174" s="59">
        <f t="shared" si="144"/>
        <v>320.06572891923685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27.174161645843174</v>
      </c>
      <c r="AV174" s="21">
        <f>EXP(-LN(2)/25)*AV173+(1-EXP(-LN(2)/25))/(LN(2)/25)*Calculateur!AQ174*Calculateur!AS174*VLOOKUP('Données projet'!$B$10,Paramètres!$A$1:$I$89,3,0)*0.475*44/12</f>
        <v>3.0443909796032416</v>
      </c>
      <c r="AW174" s="21">
        <f>EXP(-LN(2)/2)*AW173+(1-EXP(-LN(2)/2))/(LN(2)/2)*AQ174*AT174*VLOOKUP('Données projet'!$B$10,Paramètres!$A$1:$I$89,3,0)*0.475*44/12</f>
        <v>2.3458505594657495E-13</v>
      </c>
      <c r="AX174" s="21">
        <f t="shared" si="166"/>
        <v>30.218552625446652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5.6843418860808015E-13</v>
      </c>
      <c r="BE174" s="13">
        <f>BD174*VLOOKUP('Données projet'!$B$11,Paramètres!$A$1:$I$89,3,0)*VLOOKUP('Données projet'!$B$11,Paramètres!$A$1:$I$89,5,0)</f>
        <v>5.763922672485933E-13</v>
      </c>
      <c r="BF174" s="13">
        <f t="shared" si="167"/>
        <v>7.0619171555808457E-12</v>
      </c>
      <c r="BG174" s="20">
        <f t="shared" si="168"/>
        <v>1.3303388911427938E-11</v>
      </c>
      <c r="BH174" s="59">
        <f t="shared" si="116"/>
        <v>293.33333333334662</v>
      </c>
      <c r="BI174" s="59">
        <f ca="1">AVERAGE(OFFSET($BH$3,0,0,'Données projet'!$E$11+1,1))-AVERAGE(OFFSET($H$3,0,0,'Données projet'!$E$11+1,1))</f>
        <v>425.47148407510412</v>
      </c>
      <c r="BJ174" s="59">
        <f t="shared" si="146"/>
        <v>308.54448799922471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86.778308040072574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86.778308040072574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-1.3596945791505279E-13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323.20040177531774</v>
      </c>
      <c r="T175" s="59">
        <f t="shared" si="142"/>
        <v>402.87981443974337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16.371287017499622</v>
      </c>
      <c r="AA175" s="21">
        <f>EXP(-LN(2)/25)*AA174+(1-EXP(-LN(2)/25))/(LN(2)/25)*Calculateur!V175*Calculateur!X175*VLOOKUP('Données projet'!$B$9,Paramètres!$A$1:$I$89,3,0)*0.475*44/12</f>
        <v>1.7727551865699043</v>
      </c>
      <c r="AB175" s="21">
        <f>EXP(-LN(2)/2)*AB174+(1-EXP(-LN(2)/2))/(LN(2)/2)*V175*Y175*VLOOKUP('Données projet'!$B$9,Paramètres!$A$1:$I$89,3,0)*0.475*44/12</f>
        <v>1.4018776050703761E-16</v>
      </c>
      <c r="AC175" s="22">
        <f t="shared" si="163"/>
        <v>18.144042204069525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-6.7984728957526396E-14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355.09162485318728</v>
      </c>
      <c r="AO175" s="59">
        <f t="shared" si="144"/>
        <v>320.06572891923685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26.641292910570186</v>
      </c>
      <c r="AV175" s="21">
        <f>EXP(-LN(2)/25)*AV174+(1-EXP(-LN(2)/25))/(LN(2)/25)*Calculateur!AQ175*Calculateur!AS175*VLOOKUP('Données projet'!$B$10,Paramètres!$A$1:$I$89,3,0)*0.475*44/12</f>
        <v>2.9611419481684274</v>
      </c>
      <c r="AW175" s="21">
        <f>EXP(-LN(2)/2)*AW174+(1-EXP(-LN(2)/2))/(LN(2)/2)*AQ175*AT175*VLOOKUP('Données projet'!$B$10,Paramètres!$A$1:$I$89,3,0)*0.475*44/12</f>
        <v>1.6587668382484878E-13</v>
      </c>
      <c r="AX175" s="21">
        <f t="shared" si="166"/>
        <v>29.602434858738782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5.6843418860808015E-13</v>
      </c>
      <c r="BE175" s="13">
        <f>BD175*VLOOKUP('Données projet'!$B$11,Paramètres!$A$1:$I$89,3,0)*VLOOKUP('Données projet'!$B$11,Paramètres!$A$1:$I$89,5,0)</f>
        <v>5.763922672485933E-13</v>
      </c>
      <c r="BF175" s="13">
        <f t="shared" si="167"/>
        <v>7.0619171555808457E-12</v>
      </c>
      <c r="BG175" s="20">
        <f t="shared" si="168"/>
        <v>1.3303388911427938E-11</v>
      </c>
      <c r="BH175" s="59">
        <f t="shared" si="116"/>
        <v>293.33333333334662</v>
      </c>
      <c r="BI175" s="59">
        <f ca="1">AVERAGE(OFFSET($BH$3,0,0,'Données projet'!$E$11+1,1))-AVERAGE(OFFSET($H$3,0,0,'Données projet'!$E$11+1,1))</f>
        <v>425.47148407510412</v>
      </c>
      <c r="BJ175" s="59">
        <f t="shared" si="146"/>
        <v>308.54448799922471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85.076638348948293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85.076638348948293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-1.3596945791505279E-13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323.20040177531774</v>
      </c>
      <c r="T176" s="59">
        <f t="shared" si="142"/>
        <v>402.87981443974337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16.05025606458555</v>
      </c>
      <c r="AA176" s="21">
        <f>EXP(-LN(2)/25)*AA175+(1-EXP(-LN(2)/25))/(LN(2)/25)*Calculateur!V176*Calculateur!X176*VLOOKUP('Données projet'!$B$9,Paramètres!$A$1:$I$89,3,0)*0.475*44/12</f>
        <v>1.7242791027680067</v>
      </c>
      <c r="AB176" s="21">
        <f>EXP(-LN(2)/2)*AB175+(1-EXP(-LN(2)/2))/(LN(2)/2)*V176*Y176*VLOOKUP('Données projet'!$B$9,Paramètres!$A$1:$I$89,3,0)*0.475*44/12</f>
        <v>9.9127716093881974E-17</v>
      </c>
      <c r="AC176" s="22">
        <f t="shared" si="163"/>
        <v>17.774535167353555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-6.7984728957526396E-14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355.09162485318728</v>
      </c>
      <c r="AO176" s="59">
        <f t="shared" si="144"/>
        <v>320.06572891923685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26.118873406178068</v>
      </c>
      <c r="AV176" s="21">
        <f>EXP(-LN(2)/25)*AV175+(1-EXP(-LN(2)/25))/(LN(2)/25)*Calculateur!AQ176*Calculateur!AS176*VLOOKUP('Données projet'!$B$10,Paramètres!$A$1:$I$89,3,0)*0.475*44/12</f>
        <v>2.8801693658760743</v>
      </c>
      <c r="AW176" s="21">
        <f>EXP(-LN(2)/2)*AW175+(1-EXP(-LN(2)/2))/(LN(2)/2)*AQ176*AT176*VLOOKUP('Données projet'!$B$10,Paramètres!$A$1:$I$89,3,0)*0.475*44/12</f>
        <v>1.1729252797328748E-13</v>
      </c>
      <c r="AX176" s="21">
        <f t="shared" si="166"/>
        <v>28.99904277205426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5.6843418860808015E-13</v>
      </c>
      <c r="BE176" s="13">
        <f>BD176*VLOOKUP('Données projet'!$B$11,Paramètres!$A$1:$I$89,3,0)*VLOOKUP('Données projet'!$B$11,Paramètres!$A$1:$I$89,5,0)</f>
        <v>5.763922672485933E-13</v>
      </c>
      <c r="BF176" s="13">
        <f t="shared" si="167"/>
        <v>7.0619171555808457E-12</v>
      </c>
      <c r="BG176" s="20">
        <f t="shared" si="168"/>
        <v>1.3303388911427938E-11</v>
      </c>
      <c r="BH176" s="59">
        <f t="shared" si="116"/>
        <v>293.33333333334662</v>
      </c>
      <c r="BI176" s="59">
        <f ca="1">AVERAGE(OFFSET($BH$3,0,0,'Données projet'!$E$11+1,1))-AVERAGE(OFFSET($H$3,0,0,'Données projet'!$E$11+1,1))</f>
        <v>425.47148407510412</v>
      </c>
      <c r="BJ176" s="59">
        <f t="shared" si="146"/>
        <v>308.54448799922471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83.408337362550938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83.408337362550938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-1.3596945791505279E-13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323.20040177531774</v>
      </c>
      <c r="T177" s="59">
        <f t="shared" si="142"/>
        <v>402.87981443974337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15.735520332848575</v>
      </c>
      <c r="AA177" s="21">
        <f>EXP(-LN(2)/25)*AA176+(1-EXP(-LN(2)/25))/(LN(2)/25)*Calculateur!V177*Calculateur!X177*VLOOKUP('Données projet'!$B$9,Paramètres!$A$1:$I$89,3,0)*0.475*44/12</f>
        <v>1.6771286000269183</v>
      </c>
      <c r="AB177" s="21">
        <f>EXP(-LN(2)/2)*AB176+(1-EXP(-LN(2)/2))/(LN(2)/2)*V177*Y177*VLOOKUP('Données projet'!$B$9,Paramètres!$A$1:$I$89,3,0)*0.475*44/12</f>
        <v>7.0093880253518805E-17</v>
      </c>
      <c r="AC177" s="22">
        <f t="shared" si="163"/>
        <v>17.412648932875491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-6.7984728957526396E-14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355.09162485318728</v>
      </c>
      <c r="AO177" s="59">
        <f t="shared" si="144"/>
        <v>320.06572891923685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25.606698229622644</v>
      </c>
      <c r="AV177" s="21">
        <f>EXP(-LN(2)/25)*AV176+(1-EXP(-LN(2)/25))/(LN(2)/25)*Calculateur!AQ177*Calculateur!AS177*VLOOKUP('Données projet'!$B$10,Paramètres!$A$1:$I$89,3,0)*0.475*44/12</f>
        <v>2.801410983104669</v>
      </c>
      <c r="AW177" s="21">
        <f>EXP(-LN(2)/2)*AW176+(1-EXP(-LN(2)/2))/(LN(2)/2)*AQ177*AT177*VLOOKUP('Données projet'!$B$10,Paramètres!$A$1:$I$89,3,0)*0.475*44/12</f>
        <v>8.2938341912424392E-14</v>
      </c>
      <c r="AX177" s="21">
        <f t="shared" si="166"/>
        <v>28.408109212727396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5.6843418860808015E-13</v>
      </c>
      <c r="BE177" s="13">
        <f>BD177*VLOOKUP('Données projet'!$B$11,Paramètres!$A$1:$I$89,3,0)*VLOOKUP('Données projet'!$B$11,Paramètres!$A$1:$I$89,5,0)</f>
        <v>5.763922672485933E-13</v>
      </c>
      <c r="BF177" s="13">
        <f t="shared" si="167"/>
        <v>7.0619171555808457E-12</v>
      </c>
      <c r="BG177" s="20">
        <f t="shared" si="168"/>
        <v>1.3303388911427938E-11</v>
      </c>
      <c r="BH177" s="59">
        <f t="shared" si="116"/>
        <v>293.33333333334662</v>
      </c>
      <c r="BI177" s="59">
        <f ca="1">AVERAGE(OFFSET($BH$3,0,0,'Données projet'!$E$11+1,1))-AVERAGE(OFFSET($H$3,0,0,'Données projet'!$E$11+1,1))</f>
        <v>425.47148407510412</v>
      </c>
      <c r="BJ177" s="59">
        <f t="shared" si="146"/>
        <v>308.54448799922471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81.772750740933702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81.772750740933702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-1.3596945791505279E-13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323.20040177531774</v>
      </c>
      <c r="T178" s="59">
        <f t="shared" si="142"/>
        <v>402.87981443974337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15.426956376841121</v>
      </c>
      <c r="AA178" s="21">
        <f>EXP(-LN(2)/25)*AA177+(1-EXP(-LN(2)/25))/(LN(2)/25)*Calculateur!V178*Calculateur!X178*VLOOKUP('Données projet'!$B$9,Paramètres!$A$1:$I$89,3,0)*0.475*44/12</f>
        <v>1.6312674302628223</v>
      </c>
      <c r="AB178" s="21">
        <f>EXP(-LN(2)/2)*AB177+(1-EXP(-LN(2)/2))/(LN(2)/2)*V178*Y178*VLOOKUP('Données projet'!$B$9,Paramètres!$A$1:$I$89,3,0)*0.475*44/12</f>
        <v>4.9563858046940987E-17</v>
      </c>
      <c r="AC178" s="22">
        <f t="shared" si="163"/>
        <v>17.058223807103943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-6.7984728957526396E-14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355.09162485318728</v>
      </c>
      <c r="AO178" s="59">
        <f t="shared" si="144"/>
        <v>320.06572891923685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25.104566495883461</v>
      </c>
      <c r="AV178" s="21">
        <f>EXP(-LN(2)/25)*AV177+(1-EXP(-LN(2)/25))/(LN(2)/25)*Calculateur!AQ178*Calculateur!AS178*VLOOKUP('Données projet'!$B$10,Paramètres!$A$1:$I$89,3,0)*0.475*44/12</f>
        <v>2.724806252451871</v>
      </c>
      <c r="AW178" s="21">
        <f>EXP(-LN(2)/2)*AW177+(1-EXP(-LN(2)/2))/(LN(2)/2)*AQ178*AT178*VLOOKUP('Données projet'!$B$10,Paramètres!$A$1:$I$89,3,0)*0.475*44/12</f>
        <v>5.8646263986643738E-14</v>
      </c>
      <c r="AX178" s="21">
        <f t="shared" si="166"/>
        <v>27.829372748335391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5.6843418860808015E-13</v>
      </c>
      <c r="BE178" s="13">
        <f>BD178*VLOOKUP('Données projet'!$B$11,Paramètres!$A$1:$I$89,3,0)*VLOOKUP('Données projet'!$B$11,Paramètres!$A$1:$I$89,5,0)</f>
        <v>5.763922672485933E-13</v>
      </c>
      <c r="BF178" s="13">
        <f t="shared" si="167"/>
        <v>7.0619171555808457E-12</v>
      </c>
      <c r="BG178" s="20">
        <f t="shared" si="168"/>
        <v>1.3303388911427938E-11</v>
      </c>
      <c r="BH178" s="59">
        <f t="shared" si="116"/>
        <v>293.33333333334662</v>
      </c>
      <c r="BI178" s="59">
        <f ca="1">AVERAGE(OFFSET($BH$3,0,0,'Données projet'!$E$11+1,1))-AVERAGE(OFFSET($H$3,0,0,'Données projet'!$E$11+1,1))</f>
        <v>425.47148407510412</v>
      </c>
      <c r="BJ178" s="59">
        <f t="shared" si="146"/>
        <v>308.54448799922471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80.169236975357052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80.169236975357052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-1.3596945791505279E-13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323.20040177531774</v>
      </c>
      <c r="T179" s="59">
        <f t="shared" si="142"/>
        <v>402.87981443974337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15.124443171805543</v>
      </c>
      <c r="AA179" s="21">
        <f>EXP(-LN(2)/25)*AA178+(1-EXP(-LN(2)/25))/(LN(2)/25)*Calculateur!V179*Calculateur!X179*VLOOKUP('Données projet'!$B$9,Paramètres!$A$1:$I$89,3,0)*0.475*44/12</f>
        <v>1.5866603365976595</v>
      </c>
      <c r="AB179" s="21">
        <f>EXP(-LN(2)/2)*AB178+(1-EXP(-LN(2)/2))/(LN(2)/2)*V179*Y179*VLOOKUP('Données projet'!$B$9,Paramètres!$A$1:$I$89,3,0)*0.475*44/12</f>
        <v>3.5046940126759403E-17</v>
      </c>
      <c r="AC179" s="22">
        <f t="shared" si="163"/>
        <v>16.711103508403202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-6.7984728957526396E-14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355.09162485318728</v>
      </c>
      <c r="AO179" s="59">
        <f t="shared" si="144"/>
        <v>320.06572891923685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24.612281259172786</v>
      </c>
      <c r="AV179" s="21">
        <f>EXP(-LN(2)/25)*AV178+(1-EXP(-LN(2)/25))/(LN(2)/25)*Calculateur!AQ179*Calculateur!AS179*VLOOKUP('Données projet'!$B$10,Paramètres!$A$1:$I$89,3,0)*0.475*44/12</f>
        <v>2.6502962821872416</v>
      </c>
      <c r="AW179" s="21">
        <f>EXP(-LN(2)/2)*AW178+(1-EXP(-LN(2)/2))/(LN(2)/2)*AQ179*AT179*VLOOKUP('Données projet'!$B$10,Paramètres!$A$1:$I$89,3,0)*0.475*44/12</f>
        <v>4.1469170956212196E-14</v>
      </c>
      <c r="AX179" s="21">
        <f t="shared" si="166"/>
        <v>27.26257754136007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5.6843418860808015E-13</v>
      </c>
      <c r="BE179" s="13">
        <f>BD179*VLOOKUP('Données projet'!$B$11,Paramètres!$A$1:$I$89,3,0)*VLOOKUP('Données projet'!$B$11,Paramètres!$A$1:$I$89,5,0)</f>
        <v>5.763922672485933E-13</v>
      </c>
      <c r="BF179" s="13">
        <f t="shared" si="167"/>
        <v>7.0619171555808457E-12</v>
      </c>
      <c r="BG179" s="20">
        <f t="shared" si="168"/>
        <v>1.3303388911427938E-11</v>
      </c>
      <c r="BH179" s="59">
        <f t="shared" si="116"/>
        <v>293.33333333334662</v>
      </c>
      <c r="BI179" s="59">
        <f ca="1">AVERAGE(OFFSET($BH$3,0,0,'Données projet'!$E$11+1,1))-AVERAGE(OFFSET($H$3,0,0,'Données projet'!$E$11+1,1))</f>
        <v>425.47148407510412</v>
      </c>
      <c r="BJ179" s="59">
        <f t="shared" si="146"/>
        <v>308.54448799922471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78.597167136676532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78.597167136676532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-1.3596945791505279E-13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323.20040177531774</v>
      </c>
      <c r="T180" s="59">
        <f t="shared" si="142"/>
        <v>402.87981443974337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14.827862066205878</v>
      </c>
      <c r="AA180" s="21">
        <f>EXP(-LN(2)/25)*AA179+(1-EXP(-LN(2)/25))/(LN(2)/25)*Calculateur!V180*Calculateur!X180*VLOOKUP('Données projet'!$B$9,Paramètres!$A$1:$I$89,3,0)*0.475*44/12</f>
        <v>1.5432730262545558</v>
      </c>
      <c r="AB180" s="21">
        <f>EXP(-LN(2)/2)*AB179+(1-EXP(-LN(2)/2))/(LN(2)/2)*V180*Y180*VLOOKUP('Données projet'!$B$9,Paramètres!$A$1:$I$89,3,0)*0.475*44/12</f>
        <v>2.4781929023470494E-17</v>
      </c>
      <c r="AC180" s="22">
        <f t="shared" si="163"/>
        <v>16.371135092460435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-6.7984728957526396E-14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355.09162485318728</v>
      </c>
      <c r="AO180" s="59">
        <f t="shared" si="144"/>
        <v>320.06572891923685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24.129649435689664</v>
      </c>
      <c r="AV180" s="21">
        <f>EXP(-LN(2)/25)*AV179+(1-EXP(-LN(2)/25))/(LN(2)/25)*Calculateur!AQ180*Calculateur!AS180*VLOOKUP('Données projet'!$B$10,Paramètres!$A$1:$I$89,3,0)*0.475*44/12</f>
        <v>2.5778237909778072</v>
      </c>
      <c r="AW180" s="21">
        <f>EXP(-LN(2)/2)*AW179+(1-EXP(-LN(2)/2))/(LN(2)/2)*AQ180*AT180*VLOOKUP('Données projet'!$B$10,Paramètres!$A$1:$I$89,3,0)*0.475*44/12</f>
        <v>2.9323131993321869E-14</v>
      </c>
      <c r="AX180" s="21">
        <f t="shared" si="166"/>
        <v>26.707473226667499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5.6843418860808015E-13</v>
      </c>
      <c r="BE180" s="13">
        <f>BD180*VLOOKUP('Données projet'!$B$11,Paramètres!$A$1:$I$89,3,0)*VLOOKUP('Données projet'!$B$11,Paramètres!$A$1:$I$89,5,0)</f>
        <v>5.763922672485933E-13</v>
      </c>
      <c r="BF180" s="13">
        <f t="shared" si="167"/>
        <v>7.0619171555808457E-12</v>
      </c>
      <c r="BG180" s="20">
        <f t="shared" si="168"/>
        <v>1.3303388911427938E-11</v>
      </c>
      <c r="BH180" s="59">
        <f t="shared" si="116"/>
        <v>293.33333333334662</v>
      </c>
      <c r="BI180" s="59">
        <f ca="1">AVERAGE(OFFSET($BH$3,0,0,'Données projet'!$E$11+1,1))-AVERAGE(OFFSET($H$3,0,0,'Données projet'!$E$11+1,1))</f>
        <v>425.47148407510412</v>
      </c>
      <c r="BJ180" s="59">
        <f t="shared" si="146"/>
        <v>308.54448799922471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77.055924628664627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77.055924628664627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-1.3596945791505279E-13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323.20040177531774</v>
      </c>
      <c r="T181" s="59">
        <f t="shared" si="142"/>
        <v>402.87981443974337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14.53709673519041</v>
      </c>
      <c r="AA181" s="21">
        <f>EXP(-LN(2)/25)*AA180+(1-EXP(-LN(2)/25))/(LN(2)/25)*Calculateur!V181*Calculateur!X181*VLOOKUP('Données projet'!$B$9,Paramètres!$A$1:$I$89,3,0)*0.475*44/12</f>
        <v>1.5010721441944237</v>
      </c>
      <c r="AB181" s="21">
        <f>EXP(-LN(2)/2)*AB180+(1-EXP(-LN(2)/2))/(LN(2)/2)*V181*Y181*VLOOKUP('Données projet'!$B$9,Paramètres!$A$1:$I$89,3,0)*0.475*44/12</f>
        <v>1.7523470063379701E-17</v>
      </c>
      <c r="AC181" s="22">
        <f t="shared" si="163"/>
        <v>16.038168879384834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-6.7984728957526396E-14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355.09162485318728</v>
      </c>
      <c r="AO181" s="59">
        <f t="shared" si="144"/>
        <v>320.06572891923685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23.6564817278887</v>
      </c>
      <c r="AV181" s="21">
        <f>EXP(-LN(2)/25)*AV180+(1-EXP(-LN(2)/25))/(LN(2)/25)*Calculateur!AQ181*Calculateur!AS181*VLOOKUP('Données projet'!$B$10,Paramètres!$A$1:$I$89,3,0)*0.475*44/12</f>
        <v>2.5073330638516578</v>
      </c>
      <c r="AW181" s="21">
        <f>EXP(-LN(2)/2)*AW180+(1-EXP(-LN(2)/2))/(LN(2)/2)*AQ181*AT181*VLOOKUP('Données projet'!$B$10,Paramètres!$A$1:$I$89,3,0)*0.475*44/12</f>
        <v>2.0734585478106098E-14</v>
      </c>
      <c r="AX181" s="21">
        <f t="shared" si="166"/>
        <v>26.163814791740378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5.6843418860808015E-13</v>
      </c>
      <c r="BE181" s="13">
        <f>BD181*VLOOKUP('Données projet'!$B$11,Paramètres!$A$1:$I$89,3,0)*VLOOKUP('Données projet'!$B$11,Paramètres!$A$1:$I$89,5,0)</f>
        <v>5.763922672485933E-13</v>
      </c>
      <c r="BF181" s="13">
        <f t="shared" si="167"/>
        <v>7.0619171555808457E-12</v>
      </c>
      <c r="BG181" s="20">
        <f t="shared" si="168"/>
        <v>1.3303388911427938E-11</v>
      </c>
      <c r="BH181" s="59">
        <f t="shared" si="116"/>
        <v>293.33333333334662</v>
      </c>
      <c r="BI181" s="59">
        <f ca="1">AVERAGE(OFFSET($BH$3,0,0,'Données projet'!$E$11+1,1))-AVERAGE(OFFSET($H$3,0,0,'Données projet'!$E$11+1,1))</f>
        <v>425.47148407510412</v>
      </c>
      <c r="BJ181" s="59">
        <f t="shared" si="146"/>
        <v>308.54448799922471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75.544904946169723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75.544904946169723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-1.3596945791505279E-13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323.20040177531774</v>
      </c>
      <c r="T182" s="59">
        <f t="shared" si="142"/>
        <v>402.87981443974337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14.252033134966815</v>
      </c>
      <c r="AA182" s="21">
        <f>EXP(-LN(2)/25)*AA181+(1-EXP(-LN(2)/25))/(LN(2)/25)*Calculateur!V182*Calculateur!X182*VLOOKUP('Données projet'!$B$9,Paramètres!$A$1:$I$89,3,0)*0.475*44/12</f>
        <v>1.4600252474734738</v>
      </c>
      <c r="AB182" s="21">
        <f>EXP(-LN(2)/2)*AB181+(1-EXP(-LN(2)/2))/(LN(2)/2)*V182*Y182*VLOOKUP('Données projet'!$B$9,Paramètres!$A$1:$I$89,3,0)*0.475*44/12</f>
        <v>1.2390964511735247E-17</v>
      </c>
      <c r="AC182" s="22">
        <f t="shared" si="163"/>
        <v>15.71205838244029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-6.7984728957526396E-14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355.09162485318728</v>
      </c>
      <c r="AO182" s="59">
        <f t="shared" si="144"/>
        <v>320.06572891923685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23.192592550233908</v>
      </c>
      <c r="AV182" s="21">
        <f>EXP(-LN(2)/25)*AV181+(1-EXP(-LN(2)/25))/(LN(2)/25)*Calculateur!AQ182*Calculateur!AS182*VLOOKUP('Données projet'!$B$10,Paramètres!$A$1:$I$89,3,0)*0.475*44/12</f>
        <v>2.4387699093657189</v>
      </c>
      <c r="AW182" s="21">
        <f>EXP(-LN(2)/2)*AW181+(1-EXP(-LN(2)/2))/(LN(2)/2)*AQ182*AT182*VLOOKUP('Données projet'!$B$10,Paramètres!$A$1:$I$89,3,0)*0.475*44/12</f>
        <v>1.4661565996660934E-14</v>
      </c>
      <c r="AX182" s="21">
        <f t="shared" si="166"/>
        <v>25.631362459599639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5.6843418860808015E-13</v>
      </c>
      <c r="BE182" s="13">
        <f>BD182*VLOOKUP('Données projet'!$B$11,Paramètres!$A$1:$I$89,3,0)*VLOOKUP('Données projet'!$B$11,Paramètres!$A$1:$I$89,5,0)</f>
        <v>5.763922672485933E-13</v>
      </c>
      <c r="BF182" s="13">
        <f t="shared" si="167"/>
        <v>7.0619171555808457E-12</v>
      </c>
      <c r="BG182" s="20">
        <f t="shared" si="168"/>
        <v>1.3303388911427938E-11</v>
      </c>
      <c r="BH182" s="59">
        <f t="shared" si="116"/>
        <v>293.33333333334662</v>
      </c>
      <c r="BI182" s="59">
        <f ca="1">AVERAGE(OFFSET($BH$3,0,0,'Données projet'!$E$11+1,1))-AVERAGE(OFFSET($H$3,0,0,'Données projet'!$E$11+1,1))</f>
        <v>425.47148407510412</v>
      </c>
      <c r="BJ182" s="59">
        <f t="shared" si="146"/>
        <v>308.54448799922471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74.063515438017546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74.063515438017546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-1.3596945791505279E-13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323.20040177531774</v>
      </c>
      <c r="T183" s="59">
        <f t="shared" si="142"/>
        <v>402.87981443974337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13.972559458071977</v>
      </c>
      <c r="AA183" s="21">
        <f>EXP(-LN(2)/25)*AA182+(1-EXP(-LN(2)/25))/(LN(2)/25)*Calculateur!V183*Calculateur!X183*VLOOKUP('Données projet'!$B$9,Paramètres!$A$1:$I$89,3,0)*0.475*44/12</f>
        <v>1.4201007803019208</v>
      </c>
      <c r="AB183" s="21">
        <f>EXP(-LN(2)/2)*AB182+(1-EXP(-LN(2)/2))/(LN(2)/2)*V183*Y183*VLOOKUP('Données projet'!$B$9,Paramètres!$A$1:$I$89,3,0)*0.475*44/12</f>
        <v>8.7617350316898507E-18</v>
      </c>
      <c r="AC183" s="22">
        <f t="shared" si="163"/>
        <v>15.392660238373898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-6.7984728957526396E-14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355.09162485318728</v>
      </c>
      <c r="AO183" s="59">
        <f t="shared" si="144"/>
        <v>320.06572891923685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22.737799956408466</v>
      </c>
      <c r="AV183" s="21">
        <f>EXP(-LN(2)/25)*AV182+(1-EXP(-LN(2)/25))/(LN(2)/25)*Calculateur!AQ183*Calculateur!AS183*VLOOKUP('Données projet'!$B$10,Paramètres!$A$1:$I$89,3,0)*0.475*44/12</f>
        <v>2.3720816179447777</v>
      </c>
      <c r="AW183" s="21">
        <f>EXP(-LN(2)/2)*AW182+(1-EXP(-LN(2)/2))/(LN(2)/2)*AQ183*AT183*VLOOKUP('Données projet'!$B$10,Paramètres!$A$1:$I$89,3,0)*0.475*44/12</f>
        <v>1.0367292739053049E-14</v>
      </c>
      <c r="AX183" s="21">
        <f t="shared" si="166"/>
        <v>25.109881574353256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5.6843418860808015E-13</v>
      </c>
      <c r="BE183" s="13">
        <f>BD183*VLOOKUP('Données projet'!$B$11,Paramètres!$A$1:$I$89,3,0)*VLOOKUP('Données projet'!$B$11,Paramètres!$A$1:$I$89,5,0)</f>
        <v>5.763922672485933E-13</v>
      </c>
      <c r="BF183" s="13">
        <f t="shared" si="167"/>
        <v>7.0619171555808457E-12</v>
      </c>
      <c r="BG183" s="20">
        <f t="shared" si="168"/>
        <v>1.3303388911427938E-11</v>
      </c>
      <c r="BH183" s="59">
        <f t="shared" si="116"/>
        <v>293.33333333334662</v>
      </c>
      <c r="BI183" s="59">
        <f ca="1">AVERAGE(OFFSET($BH$3,0,0,'Données projet'!$E$11+1,1))-AVERAGE(OFFSET($H$3,0,0,'Données projet'!$E$11+1,1))</f>
        <v>425.47148407510412</v>
      </c>
      <c r="BJ183" s="59">
        <f t="shared" si="146"/>
        <v>308.54448799922471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72.611175074561856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72.611175074561856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-1.3596945791505279E-13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323.20040177531774</v>
      </c>
      <c r="T184" s="59">
        <f t="shared" si="142"/>
        <v>402.87981443974337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13.698566089518936</v>
      </c>
      <c r="AA184" s="21">
        <f>EXP(-LN(2)/25)*AA183+(1-EXP(-LN(2)/25))/(LN(2)/25)*Calculateur!V184*Calculateur!X184*VLOOKUP('Données projet'!$B$9,Paramètres!$A$1:$I$89,3,0)*0.475*44/12</f>
        <v>1.3812680497847103</v>
      </c>
      <c r="AB184" s="21">
        <f>EXP(-LN(2)/2)*AB183+(1-EXP(-LN(2)/2))/(LN(2)/2)*V184*Y184*VLOOKUP('Données projet'!$B$9,Paramètres!$A$1:$I$89,3,0)*0.475*44/12</f>
        <v>6.1954822558676234E-18</v>
      </c>
      <c r="AC184" s="22">
        <f t="shared" si="163"/>
        <v>15.079834139303646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-6.7984728957526396E-14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355.09162485318728</v>
      </c>
      <c r="AO184" s="59">
        <f t="shared" si="144"/>
        <v>320.06572891923685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22.29192556795185</v>
      </c>
      <c r="AV184" s="21">
        <f>EXP(-LN(2)/25)*AV183+(1-EXP(-LN(2)/25))/(LN(2)/25)*Calculateur!AQ184*Calculateur!AS184*VLOOKUP('Données projet'!$B$10,Paramètres!$A$1:$I$89,3,0)*0.475*44/12</f>
        <v>2.3072169213597271</v>
      </c>
      <c r="AW184" s="21">
        <f>EXP(-LN(2)/2)*AW183+(1-EXP(-LN(2)/2))/(LN(2)/2)*AQ184*AT184*VLOOKUP('Données projet'!$B$10,Paramètres!$A$1:$I$89,3,0)*0.475*44/12</f>
        <v>7.3307829983304672E-15</v>
      </c>
      <c r="AX184" s="21">
        <f t="shared" si="166"/>
        <v>24.599142489311586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5.6843418860808015E-13</v>
      </c>
      <c r="BE184" s="13">
        <f>BD184*VLOOKUP('Données projet'!$B$11,Paramètres!$A$1:$I$89,3,0)*VLOOKUP('Données projet'!$B$11,Paramètres!$A$1:$I$89,5,0)</f>
        <v>5.763922672485933E-13</v>
      </c>
      <c r="BF184" s="13">
        <f t="shared" si="167"/>
        <v>7.0619171555808457E-12</v>
      </c>
      <c r="BG184" s="20">
        <f t="shared" si="168"/>
        <v>1.3303388911427938E-11</v>
      </c>
      <c r="BH184" s="59">
        <f t="shared" si="116"/>
        <v>293.33333333334662</v>
      </c>
      <c r="BI184" s="59">
        <f ca="1">AVERAGE(OFFSET($BH$3,0,0,'Données projet'!$E$11+1,1))-AVERAGE(OFFSET($H$3,0,0,'Données projet'!$E$11+1,1))</f>
        <v>425.47148407510412</v>
      </c>
      <c r="BJ184" s="59">
        <f t="shared" si="146"/>
        <v>308.54448799922471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71.187314219793379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71.187314219793379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-1.3596945791505279E-13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323.20040177531774</v>
      </c>
      <c r="T185" s="59">
        <f t="shared" si="142"/>
        <v>402.87981443974337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13.429945563803766</v>
      </c>
      <c r="AA185" s="21">
        <f>EXP(-LN(2)/25)*AA184+(1-EXP(-LN(2)/25))/(LN(2)/25)*Calculateur!V185*Calculateur!X185*VLOOKUP('Données projet'!$B$9,Paramètres!$A$1:$I$89,3,0)*0.475*44/12</f>
        <v>1.3434972023256175</v>
      </c>
      <c r="AB185" s="21">
        <f>EXP(-LN(2)/2)*AB184+(1-EXP(-LN(2)/2))/(LN(2)/2)*V185*Y185*VLOOKUP('Données projet'!$B$9,Paramètres!$A$1:$I$89,3,0)*0.475*44/12</f>
        <v>4.3808675158449253E-18</v>
      </c>
      <c r="AC185" s="22">
        <f t="shared" si="163"/>
        <v>14.773442766129383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-6.7984728957526396E-14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355.09162485318728</v>
      </c>
      <c r="AO185" s="59">
        <f t="shared" si="144"/>
        <v>320.06572891923685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21.854794504296343</v>
      </c>
      <c r="AV185" s="21">
        <f>EXP(-LN(2)/25)*AV184+(1-EXP(-LN(2)/25))/(LN(2)/25)*Calculateur!AQ185*Calculateur!AS185*VLOOKUP('Données projet'!$B$10,Paramètres!$A$1:$I$89,3,0)*0.475*44/12</f>
        <v>2.2441259533138807</v>
      </c>
      <c r="AW185" s="21">
        <f>EXP(-LN(2)/2)*AW184+(1-EXP(-LN(2)/2))/(LN(2)/2)*AQ185*AT185*VLOOKUP('Données projet'!$B$10,Paramètres!$A$1:$I$89,3,0)*0.475*44/12</f>
        <v>5.1836463695265245E-15</v>
      </c>
      <c r="AX185" s="21">
        <f t="shared" si="166"/>
        <v>24.098920457610227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5.6843418860808015E-13</v>
      </c>
      <c r="BE185" s="13">
        <f>BD185*VLOOKUP('Données projet'!$B$11,Paramètres!$A$1:$I$89,3,0)*VLOOKUP('Données projet'!$B$11,Paramètres!$A$1:$I$89,5,0)</f>
        <v>5.763922672485933E-13</v>
      </c>
      <c r="BF185" s="13">
        <f t="shared" si="167"/>
        <v>7.0619171555808457E-12</v>
      </c>
      <c r="BG185" s="20">
        <f t="shared" si="168"/>
        <v>1.3303388911427938E-11</v>
      </c>
      <c r="BH185" s="59">
        <f t="shared" si="116"/>
        <v>293.33333333334662</v>
      </c>
      <c r="BI185" s="59">
        <f ca="1">AVERAGE(OFFSET($BH$3,0,0,'Données projet'!$E$11+1,1))-AVERAGE(OFFSET($H$3,0,0,'Données projet'!$E$11+1,1))</f>
        <v>425.47148407510412</v>
      </c>
      <c r="BJ185" s="59">
        <f t="shared" si="146"/>
        <v>308.54448799922471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69.791374407917544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69.791374407917544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-1.3596945791505279E-13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323.20040177531774</v>
      </c>
      <c r="T186" s="59">
        <f t="shared" si="142"/>
        <v>402.87981443974337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13.166592522755529</v>
      </c>
      <c r="AA186" s="21">
        <f>EXP(-LN(2)/25)*AA185+(1-EXP(-LN(2)/25))/(LN(2)/25)*Calculateur!V186*Calculateur!X186*VLOOKUP('Données projet'!$B$9,Paramètres!$A$1:$I$89,3,0)*0.475*44/12</f>
        <v>1.3067592006765762</v>
      </c>
      <c r="AB186" s="21">
        <f>EXP(-LN(2)/2)*AB185+(1-EXP(-LN(2)/2))/(LN(2)/2)*V186*Y186*VLOOKUP('Données projet'!$B$9,Paramètres!$A$1:$I$89,3,0)*0.475*44/12</f>
        <v>3.0977411279338117E-18</v>
      </c>
      <c r="AC186" s="22">
        <f t="shared" si="163"/>
        <v>14.473351723432106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-6.7984728957526396E-14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355.09162485318728</v>
      </c>
      <c r="AO186" s="59">
        <f t="shared" si="144"/>
        <v>320.06572891923685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21.4262353141755</v>
      </c>
      <c r="AV186" s="21">
        <f>EXP(-LN(2)/25)*AV185+(1-EXP(-LN(2)/25))/(LN(2)/25)*Calculateur!AQ186*Calculateur!AS186*VLOOKUP('Données projet'!$B$10,Paramètres!$A$1:$I$89,3,0)*0.475*44/12</f>
        <v>2.1827602111070576</v>
      </c>
      <c r="AW186" s="21">
        <f>EXP(-LN(2)/2)*AW185+(1-EXP(-LN(2)/2))/(LN(2)/2)*AQ186*AT186*VLOOKUP('Données projet'!$B$10,Paramètres!$A$1:$I$89,3,0)*0.475*44/12</f>
        <v>3.6653914991652336E-15</v>
      </c>
      <c r="AX186" s="21">
        <f t="shared" si="166"/>
        <v>23.608995525282563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5.6843418860808015E-13</v>
      </c>
      <c r="BE186" s="13">
        <f>BD186*VLOOKUP('Données projet'!$B$11,Paramètres!$A$1:$I$89,3,0)*VLOOKUP('Données projet'!$B$11,Paramètres!$A$1:$I$89,5,0)</f>
        <v>5.763922672485933E-13</v>
      </c>
      <c r="BF186" s="13">
        <f t="shared" si="167"/>
        <v>7.0619171555808457E-12</v>
      </c>
      <c r="BG186" s="20">
        <f t="shared" si="168"/>
        <v>1.3303388911427938E-11</v>
      </c>
      <c r="BH186" s="59">
        <f t="shared" si="116"/>
        <v>293.33333333334662</v>
      </c>
      <c r="BI186" s="59">
        <f ca="1">AVERAGE(OFFSET($BH$3,0,0,'Données projet'!$E$11+1,1))-AVERAGE(OFFSET($H$3,0,0,'Données projet'!$E$11+1,1))</f>
        <v>425.47148407510412</v>
      </c>
      <c r="BJ186" s="59">
        <f t="shared" si="146"/>
        <v>308.54448799922471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68.422808124313377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68.422808124313377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-1.3596945791505279E-13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323.20040177531774</v>
      </c>
      <c r="T187" s="59">
        <f t="shared" si="142"/>
        <v>402.87981443974337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12.908403674212753</v>
      </c>
      <c r="AA187" s="21">
        <f>EXP(-LN(2)/25)*AA186+(1-EXP(-LN(2)/25))/(LN(2)/25)*Calculateur!V187*Calculateur!X187*VLOOKUP('Données projet'!$B$9,Paramètres!$A$1:$I$89,3,0)*0.475*44/12</f>
        <v>1.2710258016145954</v>
      </c>
      <c r="AB187" s="21">
        <f>EXP(-LN(2)/2)*AB186+(1-EXP(-LN(2)/2))/(LN(2)/2)*V187*Y187*VLOOKUP('Données projet'!$B$9,Paramètres!$A$1:$I$89,3,0)*0.475*44/12</f>
        <v>2.1904337579224627E-18</v>
      </c>
      <c r="AC187" s="22">
        <f t="shared" si="163"/>
        <v>14.179429475827348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-6.7984728957526396E-14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355.09162485318728</v>
      </c>
      <c r="AO187" s="59">
        <f t="shared" si="144"/>
        <v>320.06572891923685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21.006079908377632</v>
      </c>
      <c r="AV187" s="21">
        <f>EXP(-LN(2)/25)*AV186+(1-EXP(-LN(2)/25))/(LN(2)/25)*Calculateur!AQ187*Calculateur!AS187*VLOOKUP('Données projet'!$B$10,Paramètres!$A$1:$I$89,3,0)*0.475*44/12</f>
        <v>2.1230725183479646</v>
      </c>
      <c r="AW187" s="21">
        <f>EXP(-LN(2)/2)*AW186+(1-EXP(-LN(2)/2))/(LN(2)/2)*AQ187*AT187*VLOOKUP('Données projet'!$B$10,Paramètres!$A$1:$I$89,3,0)*0.475*44/12</f>
        <v>2.5918231847632622E-15</v>
      </c>
      <c r="AX187" s="21">
        <f t="shared" si="166"/>
        <v>23.1291524267256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5.6843418860808015E-13</v>
      </c>
      <c r="BE187" s="13">
        <f>BD187*VLOOKUP('Données projet'!$B$11,Paramètres!$A$1:$I$89,3,0)*VLOOKUP('Données projet'!$B$11,Paramètres!$A$1:$I$89,5,0)</f>
        <v>5.763922672485933E-13</v>
      </c>
      <c r="BF187" s="13">
        <f t="shared" si="167"/>
        <v>7.0619171555808457E-12</v>
      </c>
      <c r="BG187" s="20">
        <f t="shared" si="168"/>
        <v>1.3303388911427938E-11</v>
      </c>
      <c r="BH187" s="59">
        <f t="shared" si="116"/>
        <v>293.33333333334662</v>
      </c>
      <c r="BI187" s="59">
        <f ca="1">AVERAGE(OFFSET($BH$3,0,0,'Données projet'!$E$11+1,1))-AVERAGE(OFFSET($H$3,0,0,'Données projet'!$E$11+1,1))</f>
        <v>425.47148407510412</v>
      </c>
      <c r="BJ187" s="59">
        <f t="shared" si="146"/>
        <v>308.54448799922471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67.081078590787683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67.081078590787683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-1.3596945791505279E-13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323.20040177531774</v>
      </c>
      <c r="T188" s="59">
        <f t="shared" si="142"/>
        <v>402.87981443974337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12.655277751510253</v>
      </c>
      <c r="AA188" s="21">
        <f>EXP(-LN(2)/25)*AA187+(1-EXP(-LN(2)/25))/(LN(2)/25)*Calculateur!V188*Calculateur!X188*VLOOKUP('Données projet'!$B$9,Paramètres!$A$1:$I$89,3,0)*0.475*44/12</f>
        <v>1.2362695342291024</v>
      </c>
      <c r="AB188" s="21">
        <f>EXP(-LN(2)/2)*AB187+(1-EXP(-LN(2)/2))/(LN(2)/2)*V188*Y188*VLOOKUP('Données projet'!$B$9,Paramètres!$A$1:$I$89,3,0)*0.475*44/12</f>
        <v>1.5488705639669058E-18</v>
      </c>
      <c r="AC188" s="22">
        <f t="shared" si="163"/>
        <v>13.891547285739355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-6.7984728957526396E-14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355.09162485318728</v>
      </c>
      <c r="AO188" s="59">
        <f t="shared" si="144"/>
        <v>320.06572891923685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20.594163493817966</v>
      </c>
      <c r="AV188" s="21">
        <f>EXP(-LN(2)/25)*AV187+(1-EXP(-LN(2)/25))/(LN(2)/25)*Calculateur!AQ188*Calculateur!AS188*VLOOKUP('Données projet'!$B$10,Paramètres!$A$1:$I$89,3,0)*0.475*44/12</f>
        <v>2.065016988686208</v>
      </c>
      <c r="AW188" s="21">
        <f>EXP(-LN(2)/2)*AW187+(1-EXP(-LN(2)/2))/(LN(2)/2)*AQ188*AT188*VLOOKUP('Données projet'!$B$10,Paramètres!$A$1:$I$89,3,0)*0.475*44/12</f>
        <v>1.8326957495826168E-15</v>
      </c>
      <c r="AX188" s="21">
        <f t="shared" si="166"/>
        <v>22.659180482504176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5.6843418860808015E-13</v>
      </c>
      <c r="BE188" s="13">
        <f>BD188*VLOOKUP('Données projet'!$B$11,Paramètres!$A$1:$I$89,3,0)*VLOOKUP('Données projet'!$B$11,Paramètres!$A$1:$I$89,5,0)</f>
        <v>5.763922672485933E-13</v>
      </c>
      <c r="BF188" s="13">
        <f t="shared" si="167"/>
        <v>7.0619171555808457E-12</v>
      </c>
      <c r="BG188" s="20">
        <f t="shared" si="168"/>
        <v>1.3303388911427938E-11</v>
      </c>
      <c r="BH188" s="59">
        <f t="shared" si="116"/>
        <v>293.33333333334662</v>
      </c>
      <c r="BI188" s="59">
        <f ca="1">AVERAGE(OFFSET($BH$3,0,0,'Données projet'!$E$11+1,1))-AVERAGE(OFFSET($H$3,0,0,'Données projet'!$E$11+1,1))</f>
        <v>425.47148407510412</v>
      </c>
      <c r="BJ188" s="59">
        <f t="shared" si="146"/>
        <v>308.54448799922471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65.765659555040216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65.765659555040216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-1.3596945791505279E-13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323.20040177531774</v>
      </c>
      <c r="T189" s="59">
        <f t="shared" si="142"/>
        <v>402.87981443974337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12.407115473760381</v>
      </c>
      <c r="AA189" s="21">
        <f>EXP(-LN(2)/25)*AA188+(1-EXP(-LN(2)/25))/(LN(2)/25)*Calculateur!V189*Calculateur!X189*VLOOKUP('Données projet'!$B$9,Paramètres!$A$1:$I$89,3,0)*0.475*44/12</f>
        <v>1.2024636788030183</v>
      </c>
      <c r="AB189" s="21">
        <f>EXP(-LN(2)/2)*AB188+(1-EXP(-LN(2)/2))/(LN(2)/2)*V189*Y189*VLOOKUP('Données projet'!$B$9,Paramètres!$A$1:$I$89,3,0)*0.475*44/12</f>
        <v>1.0952168789612313E-18</v>
      </c>
      <c r="AC189" s="22">
        <f t="shared" si="163"/>
        <v>13.6095791525634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-6.7984728957526396E-14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355.09162485318728</v>
      </c>
      <c r="AO189" s="59">
        <f t="shared" si="144"/>
        <v>320.06572891923685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20.190324508903611</v>
      </c>
      <c r="AV189" s="21">
        <f>EXP(-LN(2)/25)*AV188+(1-EXP(-LN(2)/25))/(LN(2)/25)*Calculateur!AQ189*Calculateur!AS189*VLOOKUP('Données projet'!$B$10,Paramètres!$A$1:$I$89,3,0)*0.475*44/12</f>
        <v>2.0085489905360601</v>
      </c>
      <c r="AW189" s="21">
        <f>EXP(-LN(2)/2)*AW188+(1-EXP(-LN(2)/2))/(LN(2)/2)*AQ189*AT189*VLOOKUP('Données projet'!$B$10,Paramètres!$A$1:$I$89,3,0)*0.475*44/12</f>
        <v>1.2959115923816311E-15</v>
      </c>
      <c r="AX189" s="21">
        <f t="shared" si="166"/>
        <v>22.198873499439671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5.6843418860808015E-13</v>
      </c>
      <c r="BE189" s="13">
        <f>BD189*VLOOKUP('Données projet'!$B$11,Paramètres!$A$1:$I$89,3,0)*VLOOKUP('Données projet'!$B$11,Paramètres!$A$1:$I$89,5,0)</f>
        <v>5.763922672485933E-13</v>
      </c>
      <c r="BF189" s="13">
        <f t="shared" si="167"/>
        <v>7.0619171555808457E-12</v>
      </c>
      <c r="BG189" s="20">
        <f t="shared" si="168"/>
        <v>1.3303388911427938E-11</v>
      </c>
      <c r="BH189" s="59">
        <f t="shared" si="116"/>
        <v>293.33333333334662</v>
      </c>
      <c r="BI189" s="59">
        <f ca="1">AVERAGE(OFFSET($BH$3,0,0,'Données projet'!$E$11+1,1))-AVERAGE(OFFSET($H$3,0,0,'Données projet'!$E$11+1,1))</f>
        <v>425.47148407510412</v>
      </c>
      <c r="BJ189" s="59">
        <f t="shared" si="146"/>
        <v>308.54448799922471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64.476035084257362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64.476035084257362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-1.3596945791505279E-13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323.20040177531774</v>
      </c>
      <c r="T190" s="59">
        <f t="shared" si="142"/>
        <v>402.87981443974337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12.163819506913141</v>
      </c>
      <c r="AA190" s="21">
        <f>EXP(-LN(2)/25)*AA189+(1-EXP(-LN(2)/25))/(LN(2)/25)*Calculateur!V190*Calculateur!X190*VLOOKUP('Données projet'!$B$9,Paramètres!$A$1:$I$89,3,0)*0.475*44/12</f>
        <v>1.1695822462713332</v>
      </c>
      <c r="AB190" s="21">
        <f>EXP(-LN(2)/2)*AB189+(1-EXP(-LN(2)/2))/(LN(2)/2)*V190*Y190*VLOOKUP('Données projet'!$B$9,Paramètres!$A$1:$I$89,3,0)*0.475*44/12</f>
        <v>7.7443528198345292E-19</v>
      </c>
      <c r="AC190" s="22">
        <f t="shared" si="163"/>
        <v>13.333401753184475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-6.7984728957526396E-14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355.09162485318728</v>
      </c>
      <c r="AO190" s="59">
        <f t="shared" si="144"/>
        <v>320.06572891923685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19.794404560165969</v>
      </c>
      <c r="AV190" s="21">
        <f>EXP(-LN(2)/25)*AV189+(1-EXP(-LN(2)/25))/(LN(2)/25)*Calculateur!AQ190*Calculateur!AS190*VLOOKUP('Données projet'!$B$10,Paramètres!$A$1:$I$89,3,0)*0.475*44/12</f>
        <v>1.9536251127648507</v>
      </c>
      <c r="AW190" s="21">
        <f>EXP(-LN(2)/2)*AW189+(1-EXP(-LN(2)/2))/(LN(2)/2)*AQ190*AT190*VLOOKUP('Données projet'!$B$10,Paramètres!$A$1:$I$89,3,0)*0.475*44/12</f>
        <v>9.163478747913084E-16</v>
      </c>
      <c r="AX190" s="21">
        <f t="shared" si="166"/>
        <v>21.748029672930819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5.6843418860808015E-13</v>
      </c>
      <c r="BE190" s="13">
        <f>BD190*VLOOKUP('Données projet'!$B$11,Paramètres!$A$1:$I$89,3,0)*VLOOKUP('Données projet'!$B$11,Paramètres!$A$1:$I$89,5,0)</f>
        <v>5.763922672485933E-13</v>
      </c>
      <c r="BF190" s="13">
        <f t="shared" si="167"/>
        <v>7.0619171555808457E-12</v>
      </c>
      <c r="BG190" s="20">
        <f t="shared" si="168"/>
        <v>1.3303388911427938E-11</v>
      </c>
      <c r="BH190" s="59">
        <f t="shared" si="116"/>
        <v>293.33333333334662</v>
      </c>
      <c r="BI190" s="59">
        <f ca="1">AVERAGE(OFFSET($BH$3,0,0,'Données projet'!$E$11+1,1))-AVERAGE(OFFSET($H$3,0,0,'Données projet'!$E$11+1,1))</f>
        <v>425.47148407510412</v>
      </c>
      <c r="BJ190" s="59">
        <f t="shared" si="146"/>
        <v>308.54448799922471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63.211699362753308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63.211699362753308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-1.3596945791505279E-13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323.20040177531774</v>
      </c>
      <c r="T191" s="59">
        <f t="shared" si="142"/>
        <v>402.87981443974337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11.925294425579889</v>
      </c>
      <c r="AA191" s="21">
        <f>EXP(-LN(2)/25)*AA190+(1-EXP(-LN(2)/25))/(LN(2)/25)*Calculateur!V191*Calculateur!X191*VLOOKUP('Données projet'!$B$9,Paramètres!$A$1:$I$89,3,0)*0.475*44/12</f>
        <v>1.1375999582413865</v>
      </c>
      <c r="AB191" s="21">
        <f>EXP(-LN(2)/2)*AB190+(1-EXP(-LN(2)/2))/(LN(2)/2)*V191*Y191*VLOOKUP('Données projet'!$B$9,Paramètres!$A$1:$I$89,3,0)*0.475*44/12</f>
        <v>5.4760843948061567E-19</v>
      </c>
      <c r="AC191" s="22">
        <f t="shared" si="163"/>
        <v>13.062894383821275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-6.7984728957526396E-14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355.09162485318728</v>
      </c>
      <c r="AO191" s="59">
        <f t="shared" si="144"/>
        <v>320.06572891923685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19.406248360135748</v>
      </c>
      <c r="AV191" s="21">
        <f>EXP(-LN(2)/25)*AV190+(1-EXP(-LN(2)/25))/(LN(2)/25)*Calculateur!AQ191*Calculateur!AS191*VLOOKUP('Données projet'!$B$10,Paramètres!$A$1:$I$89,3,0)*0.475*44/12</f>
        <v>1.9002031313196164</v>
      </c>
      <c r="AW191" s="21">
        <f>EXP(-LN(2)/2)*AW190+(1-EXP(-LN(2)/2))/(LN(2)/2)*AQ191*AT191*VLOOKUP('Données projet'!$B$10,Paramètres!$A$1:$I$89,3,0)*0.475*44/12</f>
        <v>6.4795579619081556E-16</v>
      </c>
      <c r="AX191" s="21">
        <f t="shared" si="166"/>
        <v>21.306451491455366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5.6843418860808015E-13</v>
      </c>
      <c r="BE191" s="13">
        <f>BD191*VLOOKUP('Données projet'!$B$11,Paramètres!$A$1:$I$89,3,0)*VLOOKUP('Données projet'!$B$11,Paramètres!$A$1:$I$89,5,0)</f>
        <v>5.763922672485933E-13</v>
      </c>
      <c r="BF191" s="13">
        <f t="shared" si="167"/>
        <v>7.0619171555808457E-12</v>
      </c>
      <c r="BG191" s="20">
        <f t="shared" si="168"/>
        <v>1.3303388911427938E-11</v>
      </c>
      <c r="BH191" s="59">
        <f t="shared" si="116"/>
        <v>293.33333333334662</v>
      </c>
      <c r="BI191" s="59">
        <f ca="1">AVERAGE(OFFSET($BH$3,0,0,'Données projet'!$E$11+1,1))-AVERAGE(OFFSET($H$3,0,0,'Données projet'!$E$11+1,1))</f>
        <v>425.47148407510412</v>
      </c>
      <c r="BJ191" s="59">
        <f t="shared" si="146"/>
        <v>308.54448799922471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61.972156493579305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61.972156493579305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-1.3596945791505279E-13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323.20040177531774</v>
      </c>
      <c r="T192" s="59">
        <f t="shared" si="142"/>
        <v>402.87981443974337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11.691446675605647</v>
      </c>
      <c r="AA192" s="21">
        <f>EXP(-LN(2)/25)*AA191+(1-EXP(-LN(2)/25))/(LN(2)/25)*Calculateur!V192*Calculateur!X192*VLOOKUP('Données projet'!$B$9,Paramètres!$A$1:$I$89,3,0)*0.475*44/12</f>
        <v>1.1064922275594939</v>
      </c>
      <c r="AB192" s="21">
        <f>EXP(-LN(2)/2)*AB191+(1-EXP(-LN(2)/2))/(LN(2)/2)*V192*Y192*VLOOKUP('Données projet'!$B$9,Paramètres!$A$1:$I$89,3,0)*0.475*44/12</f>
        <v>3.8721764099172646E-19</v>
      </c>
      <c r="AC192" s="22">
        <f t="shared" si="163"/>
        <v>12.797938903165141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-6.7984728957526396E-14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355.09162485318728</v>
      </c>
      <c r="AO192" s="59">
        <f t="shared" si="144"/>
        <v>320.06572891923685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19.025703666436215</v>
      </c>
      <c r="AV192" s="21">
        <f>EXP(-LN(2)/25)*AV191+(1-EXP(-LN(2)/25))/(LN(2)/25)*Calculateur!AQ192*Calculateur!AS192*VLOOKUP('Données projet'!$B$10,Paramètres!$A$1:$I$89,3,0)*0.475*44/12</f>
        <v>1.8482419767663418</v>
      </c>
      <c r="AW192" s="21">
        <f>EXP(-LN(2)/2)*AW191+(1-EXP(-LN(2)/2))/(LN(2)/2)*AQ192*AT192*VLOOKUP('Données projet'!$B$10,Paramètres!$A$1:$I$89,3,0)*0.475*44/12</f>
        <v>4.581739373956542E-16</v>
      </c>
      <c r="AX192" s="21">
        <f t="shared" si="166"/>
        <v>20.873945643202557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5.6843418860808015E-13</v>
      </c>
      <c r="BE192" s="13">
        <f>BD192*VLOOKUP('Données projet'!$B$11,Paramètres!$A$1:$I$89,3,0)*VLOOKUP('Données projet'!$B$11,Paramètres!$A$1:$I$89,5,0)</f>
        <v>5.763922672485933E-13</v>
      </c>
      <c r="BF192" s="13">
        <f t="shared" si="167"/>
        <v>7.0619171555808457E-12</v>
      </c>
      <c r="BG192" s="20">
        <f t="shared" si="168"/>
        <v>1.3303388911427938E-11</v>
      </c>
      <c r="BH192" s="59">
        <f t="shared" si="116"/>
        <v>293.33333333334662</v>
      </c>
      <c r="BI192" s="59">
        <f ca="1">AVERAGE(OFFSET($BH$3,0,0,'Données projet'!$E$11+1,1))-AVERAGE(OFFSET($H$3,0,0,'Données projet'!$E$11+1,1))</f>
        <v>425.47148407510412</v>
      </c>
      <c r="BJ192" s="59">
        <f t="shared" si="146"/>
        <v>308.54448799922471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60.756920304023311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60.756920304023311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-1.3596945791505279E-13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323.20040177531774</v>
      </c>
      <c r="T193" s="59">
        <f t="shared" si="142"/>
        <v>402.87981443974337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11.462184537375357</v>
      </c>
      <c r="AA193" s="21">
        <f>EXP(-LN(2)/25)*AA192+(1-EXP(-LN(2)/25))/(LN(2)/25)*Calculateur!V193*Calculateur!X193*VLOOKUP('Données projet'!$B$9,Paramètres!$A$1:$I$89,3,0)*0.475*44/12</f>
        <v>1.0762351394089822</v>
      </c>
      <c r="AB193" s="21">
        <f>EXP(-LN(2)/2)*AB192+(1-EXP(-LN(2)/2))/(LN(2)/2)*V193*Y193*VLOOKUP('Données projet'!$B$9,Paramètres!$A$1:$I$89,3,0)*0.475*44/12</f>
        <v>2.7380421974030783E-19</v>
      </c>
      <c r="AC193" s="22">
        <f t="shared" si="163"/>
        <v>12.53841967678434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-6.7984728957526396E-14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355.09162485318728</v>
      </c>
      <c r="AO193" s="59">
        <f t="shared" si="144"/>
        <v>320.06572891923685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18.652621222070785</v>
      </c>
      <c r="AV193" s="21">
        <f>EXP(-LN(2)/25)*AV192+(1-EXP(-LN(2)/25))/(LN(2)/25)*Calculateur!AQ193*Calculateur!AS193*VLOOKUP('Données projet'!$B$10,Paramètres!$A$1:$I$89,3,0)*0.475*44/12</f>
        <v>1.7977017027168449</v>
      </c>
      <c r="AW193" s="21">
        <f>EXP(-LN(2)/2)*AW192+(1-EXP(-LN(2)/2))/(LN(2)/2)*AQ193*AT193*VLOOKUP('Données projet'!$B$10,Paramètres!$A$1:$I$89,3,0)*0.475*44/12</f>
        <v>3.2397789809540778E-16</v>
      </c>
      <c r="AX193" s="21">
        <f t="shared" si="166"/>
        <v>20.450322924787631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5.6843418860808015E-13</v>
      </c>
      <c r="BE193" s="13">
        <f>BD193*VLOOKUP('Données projet'!$B$11,Paramètres!$A$1:$I$89,3,0)*VLOOKUP('Données projet'!$B$11,Paramètres!$A$1:$I$89,5,0)</f>
        <v>5.763922672485933E-13</v>
      </c>
      <c r="BF193" s="13">
        <f t="shared" si="167"/>
        <v>7.0619171555808457E-12</v>
      </c>
      <c r="BG193" s="20">
        <f t="shared" si="168"/>
        <v>1.3303388911427938E-11</v>
      </c>
      <c r="BH193" s="59">
        <f t="shared" si="116"/>
        <v>293.33333333334662</v>
      </c>
      <c r="BI193" s="59">
        <f ca="1">AVERAGE(OFFSET($BH$3,0,0,'Données projet'!$E$11+1,1))-AVERAGE(OFFSET($H$3,0,0,'Données projet'!$E$11+1,1))</f>
        <v>425.47148407510412</v>
      </c>
      <c r="BJ193" s="59">
        <f t="shared" si="146"/>
        <v>308.54448799922471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59.565514154923619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59.565514154923619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-1.3596945791505279E-13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323.20040177531774</v>
      </c>
      <c r="T194" s="59">
        <f t="shared" si="142"/>
        <v>402.87981443974337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11.237418089839666</v>
      </c>
      <c r="AA194" s="21">
        <f>EXP(-LN(2)/25)*AA193+(1-EXP(-LN(2)/25))/(LN(2)/25)*Calculateur!V194*Calculateur!X194*VLOOKUP('Données projet'!$B$9,Paramètres!$A$1:$I$89,3,0)*0.475*44/12</f>
        <v>1.0468054329250973</v>
      </c>
      <c r="AB194" s="21">
        <f>EXP(-LN(2)/2)*AB193+(1-EXP(-LN(2)/2))/(LN(2)/2)*V194*Y194*VLOOKUP('Données projet'!$B$9,Paramètres!$A$1:$I$89,3,0)*0.475*44/12</f>
        <v>1.9360882049586323E-19</v>
      </c>
      <c r="AC194" s="22">
        <f t="shared" si="163"/>
        <v>12.284223522764764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-6.7984728957526396E-14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355.09162485318728</v>
      </c>
      <c r="AO194" s="59">
        <f t="shared" si="144"/>
        <v>320.06572891923685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18.286854696881541</v>
      </c>
      <c r="AV194" s="21">
        <f>EXP(-LN(2)/25)*AV193+(1-EXP(-LN(2)/25))/(LN(2)/25)*Calculateur!AQ194*Calculateur!AS194*VLOOKUP('Données projet'!$B$10,Paramètres!$A$1:$I$89,3,0)*0.475*44/12</f>
        <v>1.7485434551190289</v>
      </c>
      <c r="AW194" s="21">
        <f>EXP(-LN(2)/2)*AW193+(1-EXP(-LN(2)/2))/(LN(2)/2)*AQ194*AT194*VLOOKUP('Données projet'!$B$10,Paramètres!$A$1:$I$89,3,0)*0.475*44/12</f>
        <v>2.290869686978271E-16</v>
      </c>
      <c r="AX194" s="21">
        <f t="shared" si="166"/>
        <v>20.035398152000571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5.6843418860808015E-13</v>
      </c>
      <c r="BE194" s="13">
        <f>BD194*VLOOKUP('Données projet'!$B$11,Paramètres!$A$1:$I$89,3,0)*VLOOKUP('Données projet'!$B$11,Paramètres!$A$1:$I$89,5,0)</f>
        <v>5.763922672485933E-13</v>
      </c>
      <c r="BF194" s="13">
        <f t="shared" si="167"/>
        <v>7.0619171555808457E-12</v>
      </c>
      <c r="BG194" s="20">
        <f t="shared" si="168"/>
        <v>1.3303388911427938E-11</v>
      </c>
      <c r="BH194" s="59">
        <f t="shared" si="116"/>
        <v>293.33333333334662</v>
      </c>
      <c r="BI194" s="59">
        <f ca="1">AVERAGE(OFFSET($BH$3,0,0,'Données projet'!$E$11+1,1))-AVERAGE(OFFSET($H$3,0,0,'Données projet'!$E$11+1,1))</f>
        <v>425.47148407510412</v>
      </c>
      <c r="BJ194" s="59">
        <f t="shared" si="146"/>
        <v>308.54448799922471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58.397470753721777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58.397470753721777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-1.3596945791505279E-13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323.20040177531774</v>
      </c>
      <c r="T195" s="59">
        <f t="shared" si="142"/>
        <v>402.87981443974337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11.017059175246155</v>
      </c>
      <c r="AA195" s="21">
        <f>EXP(-LN(2)/25)*AA194+(1-EXP(-LN(2)/25))/(LN(2)/25)*Calculateur!V195*Calculateur!X195*VLOOKUP('Données projet'!$B$9,Paramètres!$A$1:$I$89,3,0)*0.475*44/12</f>
        <v>1.0181804833126553</v>
      </c>
      <c r="AB195" s="21">
        <f>EXP(-LN(2)/2)*AB194+(1-EXP(-LN(2)/2))/(LN(2)/2)*V195*Y195*VLOOKUP('Données projet'!$B$9,Paramètres!$A$1:$I$89,3,0)*0.475*44/12</f>
        <v>1.3690210987015392E-19</v>
      </c>
      <c r="AC195" s="22">
        <f t="shared" si="163"/>
        <v>12.03523965855881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-6.7984728957526396E-14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355.09162485318728</v>
      </c>
      <c r="AO195" s="59">
        <f t="shared" si="144"/>
        <v>320.06572891923685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17.928260630155705</v>
      </c>
      <c r="AV195" s="21">
        <f>EXP(-LN(2)/25)*AV194+(1-EXP(-LN(2)/25))/(LN(2)/25)*Calculateur!AQ195*Calculateur!AS195*VLOOKUP('Données projet'!$B$10,Paramètres!$A$1:$I$89,3,0)*0.475*44/12</f>
        <v>1.7007294423868951</v>
      </c>
      <c r="AW195" s="21">
        <f>EXP(-LN(2)/2)*AW194+(1-EXP(-LN(2)/2))/(LN(2)/2)*AQ195*AT195*VLOOKUP('Données projet'!$B$10,Paramètres!$A$1:$I$89,3,0)*0.475*44/12</f>
        <v>1.6198894904770389E-16</v>
      </c>
      <c r="AX195" s="21">
        <f t="shared" si="166"/>
        <v>19.628990072542599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5.6843418860808015E-13</v>
      </c>
      <c r="BE195" s="13">
        <f>BD195*VLOOKUP('Données projet'!$B$11,Paramètres!$A$1:$I$89,3,0)*VLOOKUP('Données projet'!$B$11,Paramètres!$A$1:$I$89,5,0)</f>
        <v>5.763922672485933E-13</v>
      </c>
      <c r="BF195" s="13">
        <f t="shared" si="167"/>
        <v>7.0619171555808457E-12</v>
      </c>
      <c r="BG195" s="20">
        <f t="shared" si="168"/>
        <v>1.3303388911427938E-11</v>
      </c>
      <c r="BH195" s="59">
        <f t="shared" si="116"/>
        <v>293.33333333334662</v>
      </c>
      <c r="BI195" s="59">
        <f ca="1">AVERAGE(OFFSET($BH$3,0,0,'Données projet'!$E$11+1,1))-AVERAGE(OFFSET($H$3,0,0,'Données projet'!$E$11+1,1))</f>
        <v>425.47148407510412</v>
      </c>
      <c r="BJ195" s="59">
        <f t="shared" si="146"/>
        <v>308.54448799922471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57.252331971181377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57.252331971181377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-1.3596945791505279E-13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323.20040177531774</v>
      </c>
      <c r="T196" s="59">
        <f t="shared" si="142"/>
        <v>402.87981443974337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10.801021364562155</v>
      </c>
      <c r="AA196" s="21">
        <f>EXP(-LN(2)/25)*AA195+(1-EXP(-LN(2)/25))/(LN(2)/25)*Calculateur!V196*Calculateur!X196*VLOOKUP('Données projet'!$B$9,Paramètres!$A$1:$I$89,3,0)*0.475*44/12</f>
        <v>0.99033828445268623</v>
      </c>
      <c r="AB196" s="21">
        <f>EXP(-LN(2)/2)*AB195+(1-EXP(-LN(2)/2))/(LN(2)/2)*V196*Y196*VLOOKUP('Données projet'!$B$9,Paramètres!$A$1:$I$89,3,0)*0.475*44/12</f>
        <v>9.6804410247931615E-20</v>
      </c>
      <c r="AC196" s="22">
        <f t="shared" si="163"/>
        <v>11.791359649014842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-6.7984728957526396E-14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355.09162485318728</v>
      </c>
      <c r="AO196" s="59">
        <f t="shared" si="144"/>
        <v>320.06572891923685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17.57669837435758</v>
      </c>
      <c r="AV196" s="21">
        <f>EXP(-LN(2)/25)*AV195+(1-EXP(-LN(2)/25))/(LN(2)/25)*Calculateur!AQ196*Calculateur!AS196*VLOOKUP('Données projet'!$B$10,Paramètres!$A$1:$I$89,3,0)*0.475*44/12</f>
        <v>1.654222906347351</v>
      </c>
      <c r="AW196" s="21">
        <f>EXP(-LN(2)/2)*AW195+(1-EXP(-LN(2)/2))/(LN(2)/2)*AQ196*AT196*VLOOKUP('Données projet'!$B$10,Paramètres!$A$1:$I$89,3,0)*0.475*44/12</f>
        <v>1.1454348434891355E-16</v>
      </c>
      <c r="AX196" s="21">
        <f t="shared" si="166"/>
        <v>19.23092128070493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5.6843418860808015E-13</v>
      </c>
      <c r="BE196" s="13">
        <f>BD196*VLOOKUP('Données projet'!$B$11,Paramètres!$A$1:$I$89,3,0)*VLOOKUP('Données projet'!$B$11,Paramètres!$A$1:$I$89,5,0)</f>
        <v>5.763922672485933E-13</v>
      </c>
      <c r="BF196" s="13">
        <f t="shared" si="167"/>
        <v>7.0619171555808457E-12</v>
      </c>
      <c r="BG196" s="20">
        <f t="shared" si="168"/>
        <v>1.3303388911427938E-11</v>
      </c>
      <c r="BH196" s="59">
        <f t="shared" ref="BH196:BH203" si="194">BG196+(AY196+AZ196)*44/12</f>
        <v>293.33333333334662</v>
      </c>
      <c r="BI196" s="59">
        <f ca="1">AVERAGE(OFFSET($BH$3,0,0,'Données projet'!$E$11+1,1))-AVERAGE(OFFSET($H$3,0,0,'Données projet'!$E$11+1,1))</f>
        <v>425.47148407510412</v>
      </c>
      <c r="BJ196" s="59">
        <f t="shared" si="146"/>
        <v>308.54448799922471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56.129648661700905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56.129648661700905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-1.3596945791505279E-13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323.20040177531774</v>
      </c>
      <c r="T197" s="59">
        <f t="shared" ref="T197:T203" si="204">$T$3</f>
        <v>402.87981443974337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10.589219923575616</v>
      </c>
      <c r="AA197" s="21">
        <f>EXP(-LN(2)/25)*AA196+(1-EXP(-LN(2)/25))/(LN(2)/25)*Calculateur!V197*Calculateur!X197*VLOOKUP('Données projet'!$B$9,Paramètres!$A$1:$I$89,3,0)*0.475*44/12</f>
        <v>0.9632574319847006</v>
      </c>
      <c r="AB197" s="21">
        <f>EXP(-LN(2)/2)*AB196+(1-EXP(-LN(2)/2))/(LN(2)/2)*V197*Y197*VLOOKUP('Données projet'!$B$9,Paramètres!$A$1:$I$89,3,0)*0.475*44/12</f>
        <v>6.8451054935076958E-20</v>
      </c>
      <c r="AC197" s="22">
        <f t="shared" si="163"/>
        <v>11.552477355560317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-6.7984728957526396E-14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355.09162485318728</v>
      </c>
      <c r="AO197" s="59">
        <f t="shared" ref="AO197:AO203" si="205">$AO$3</f>
        <v>320.06572891923685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17.232030039963853</v>
      </c>
      <c r="AV197" s="21">
        <f>EXP(-LN(2)/25)*AV196+(1-EXP(-LN(2)/25))/(LN(2)/25)*Calculateur!AQ197*Calculateur!AS197*VLOOKUP('Données projet'!$B$10,Paramètres!$A$1:$I$89,3,0)*0.475*44/12</f>
        <v>1.6089880939814809</v>
      </c>
      <c r="AW197" s="21">
        <f>EXP(-LN(2)/2)*AW196+(1-EXP(-LN(2)/2))/(LN(2)/2)*AQ197*AT197*VLOOKUP('Données projet'!$B$10,Paramètres!$A$1:$I$89,3,0)*0.475*44/12</f>
        <v>8.0994474523851945E-17</v>
      </c>
      <c r="AX197" s="21">
        <f t="shared" si="166"/>
        <v>18.841018133945333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5.6843418860808015E-13</v>
      </c>
      <c r="BE197" s="13">
        <f>BD197*VLOOKUP('Données projet'!$B$11,Paramètres!$A$1:$I$89,3,0)*VLOOKUP('Données projet'!$B$11,Paramètres!$A$1:$I$89,5,0)</f>
        <v>5.763922672485933E-13</v>
      </c>
      <c r="BF197" s="13">
        <f t="shared" si="167"/>
        <v>7.0619171555808457E-12</v>
      </c>
      <c r="BG197" s="20">
        <f t="shared" si="168"/>
        <v>1.3303388911427938E-11</v>
      </c>
      <c r="BH197" s="59">
        <f t="shared" si="194"/>
        <v>293.33333333334662</v>
      </c>
      <c r="BI197" s="59">
        <f ca="1">AVERAGE(OFFSET($BH$3,0,0,'Données projet'!$E$11+1,1))-AVERAGE(OFFSET($H$3,0,0,'Données projet'!$E$11+1,1))</f>
        <v>425.47148407510412</v>
      </c>
      <c r="BJ197" s="59">
        <f t="shared" ref="BJ197:BJ203" si="206">$BJ$3</f>
        <v>308.54448799922471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55.028980487150136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55.028980487150136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-1.3596945791505279E-13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323.20040177531774</v>
      </c>
      <c r="T198" s="59">
        <f t="shared" si="204"/>
        <v>402.87981443974337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10.3815717796607</v>
      </c>
      <c r="AA198" s="21">
        <f>EXP(-LN(2)/25)*AA197+(1-EXP(-LN(2)/25))/(LN(2)/25)*Calculateur!V198*Calculateur!X198*VLOOKUP('Données projet'!$B$9,Paramètres!$A$1:$I$89,3,0)*0.475*44/12</f>
        <v>0.93691710685157215</v>
      </c>
      <c r="AB198" s="21">
        <f>EXP(-LN(2)/2)*AB197+(1-EXP(-LN(2)/2))/(LN(2)/2)*V198*Y198*VLOOKUP('Données projet'!$B$9,Paramètres!$A$1:$I$89,3,0)*0.475*44/12</f>
        <v>4.8402205123965808E-20</v>
      </c>
      <c r="AC198" s="22">
        <f t="shared" si="163"/>
        <v>11.318488886512272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-6.7984728957526396E-14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355.09162485318728</v>
      </c>
      <c r="AO198" s="59">
        <f t="shared" si="205"/>
        <v>320.06572891923685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16.894120441380661</v>
      </c>
      <c r="AV198" s="21">
        <f>EXP(-LN(2)/25)*AV197+(1-EXP(-LN(2)/25))/(LN(2)/25)*Calculateur!AQ198*Calculateur!AS198*VLOOKUP('Données projet'!$B$10,Paramètres!$A$1:$I$89,3,0)*0.475*44/12</f>
        <v>1.5649902299385507</v>
      </c>
      <c r="AW198" s="21">
        <f>EXP(-LN(2)/2)*AW197+(1-EXP(-LN(2)/2))/(LN(2)/2)*AQ198*AT198*VLOOKUP('Données projet'!$B$10,Paramètres!$A$1:$I$89,3,0)*0.475*44/12</f>
        <v>5.7271742174456775E-17</v>
      </c>
      <c r="AX198" s="21">
        <f t="shared" si="166"/>
        <v>18.459110671319213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5.6843418860808015E-13</v>
      </c>
      <c r="BE198" s="13">
        <f>BD198*VLOOKUP('Données projet'!$B$11,Paramètres!$A$1:$I$89,3,0)*VLOOKUP('Données projet'!$B$11,Paramètres!$A$1:$I$89,5,0)</f>
        <v>5.763922672485933E-13</v>
      </c>
      <c r="BF198" s="13">
        <f t="shared" si="167"/>
        <v>7.0619171555808457E-12</v>
      </c>
      <c r="BG198" s="20">
        <f t="shared" si="168"/>
        <v>1.3303388911427938E-11</v>
      </c>
      <c r="BH198" s="59">
        <f t="shared" si="194"/>
        <v>293.33333333334662</v>
      </c>
      <c r="BI198" s="59">
        <f ca="1">AVERAGE(OFFSET($BH$3,0,0,'Données projet'!$E$11+1,1))-AVERAGE(OFFSET($H$3,0,0,'Données projet'!$E$11+1,1))</f>
        <v>425.47148407510412</v>
      </c>
      <c r="BJ198" s="59">
        <f t="shared" si="206"/>
        <v>308.54448799922471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53.949895744161012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53.949895744161012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-1.3596945791505279E-13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323.20040177531774</v>
      </c>
      <c r="T199" s="59">
        <f t="shared" si="204"/>
        <v>402.87981443974337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10.177995489195093</v>
      </c>
      <c r="AA199" s="21">
        <f>EXP(-LN(2)/25)*AA198+(1-EXP(-LN(2)/25))/(LN(2)/25)*Calculateur!V199*Calculateur!X199*VLOOKUP('Données projet'!$B$9,Paramètres!$A$1:$I$89,3,0)*0.475*44/12</f>
        <v>0.91129705929438665</v>
      </c>
      <c r="AB199" s="21">
        <f>EXP(-LN(2)/2)*AB198+(1-EXP(-LN(2)/2))/(LN(2)/2)*V199*Y199*VLOOKUP('Données projet'!$B$9,Paramètres!$A$1:$I$89,3,0)*0.475*44/12</f>
        <v>3.4225527467538479E-20</v>
      </c>
      <c r="AC199" s="22">
        <f t="shared" si="163"/>
        <v>11.08929254848948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-6.7984728957526396E-14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355.09162485318728</v>
      </c>
      <c r="AO199" s="59">
        <f t="shared" si="205"/>
        <v>320.06572891923685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16.562837043921181</v>
      </c>
      <c r="AV199" s="21">
        <f>EXP(-LN(2)/25)*AV198+(1-EXP(-LN(2)/25))/(LN(2)/25)*Calculateur!AQ199*Calculateur!AS199*VLOOKUP('Données projet'!$B$10,Paramètres!$A$1:$I$89,3,0)*0.475*44/12</f>
        <v>1.5221954898016217</v>
      </c>
      <c r="AW199" s="21">
        <f>EXP(-LN(2)/2)*AW198+(1-EXP(-LN(2)/2))/(LN(2)/2)*AQ199*AT199*VLOOKUP('Données projet'!$B$10,Paramètres!$A$1:$I$89,3,0)*0.475*44/12</f>
        <v>4.0497237261925973E-17</v>
      </c>
      <c r="AX199" s="21">
        <f t="shared" si="166"/>
        <v>18.085032533722803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5.6843418860808015E-13</v>
      </c>
      <c r="BE199" s="13">
        <f>BD199*VLOOKUP('Données projet'!$B$11,Paramètres!$A$1:$I$89,3,0)*VLOOKUP('Données projet'!$B$11,Paramètres!$A$1:$I$89,5,0)</f>
        <v>5.763922672485933E-13</v>
      </c>
      <c r="BF199" s="13">
        <f t="shared" si="167"/>
        <v>7.0619171555808457E-12</v>
      </c>
      <c r="BG199" s="20">
        <f t="shared" si="168"/>
        <v>1.3303388911427938E-11</v>
      </c>
      <c r="BH199" s="59">
        <f t="shared" si="194"/>
        <v>293.33333333334662</v>
      </c>
      <c r="BI199" s="59">
        <f ca="1">AVERAGE(OFFSET($BH$3,0,0,'Données projet'!$E$11+1,1))-AVERAGE(OFFSET($H$3,0,0,'Données projet'!$E$11+1,1))</f>
        <v>425.47148407510412</v>
      </c>
      <c r="BJ199" s="59">
        <f t="shared" si="206"/>
        <v>308.54448799922471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52.891971194805201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52.891971194805201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-1.3596945791505279E-13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323.20040177531774</v>
      </c>
      <c r="T200" s="59">
        <f t="shared" si="204"/>
        <v>402.87981443974337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9.97841120561624</v>
      </c>
      <c r="AA200" s="21">
        <f>EXP(-LN(2)/25)*AA199+(1-EXP(-LN(2)/25))/(LN(2)/25)*Calculateur!V200*Calculateur!X200*VLOOKUP('Données projet'!$B$9,Paramètres!$A$1:$I$89,3,0)*0.475*44/12</f>
        <v>0.88637759328495214</v>
      </c>
      <c r="AB200" s="21">
        <f>EXP(-LN(2)/2)*AB199+(1-EXP(-LN(2)/2))/(LN(2)/2)*V200*Y200*VLOOKUP('Données projet'!$B$9,Paramètres!$A$1:$I$89,3,0)*0.475*44/12</f>
        <v>2.4201102561982904E-20</v>
      </c>
      <c r="AC200" s="22">
        <f t="shared" si="163"/>
        <v>10.864788798901191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-6.7984728957526396E-14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355.09162485318728</v>
      </c>
      <c r="AO200" s="59">
        <f t="shared" si="205"/>
        <v>320.06572891923685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16.238049911822962</v>
      </c>
      <c r="AV200" s="21">
        <f>EXP(-LN(2)/25)*AV199+(1-EXP(-LN(2)/25))/(LN(2)/25)*Calculateur!AQ200*Calculateur!AS200*VLOOKUP('Données projet'!$B$10,Paramètres!$A$1:$I$89,3,0)*0.475*44/12</f>
        <v>1.4805709740842146</v>
      </c>
      <c r="AW200" s="21">
        <f>EXP(-LN(2)/2)*AW199+(1-EXP(-LN(2)/2))/(LN(2)/2)*AQ200*AT200*VLOOKUP('Données projet'!$B$10,Paramètres!$A$1:$I$89,3,0)*0.475*44/12</f>
        <v>2.8635871087228388E-17</v>
      </c>
      <c r="AX200" s="21">
        <f t="shared" si="166"/>
        <v>17.718620885907178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5.6843418860808015E-13</v>
      </c>
      <c r="BE200" s="13">
        <f>BD200*VLOOKUP('Données projet'!$B$11,Paramètres!$A$1:$I$89,3,0)*VLOOKUP('Données projet'!$B$11,Paramètres!$A$1:$I$89,5,0)</f>
        <v>5.763922672485933E-13</v>
      </c>
      <c r="BF200" s="13">
        <f t="shared" si="167"/>
        <v>7.0619171555808457E-12</v>
      </c>
      <c r="BG200" s="20">
        <f t="shared" si="168"/>
        <v>1.3303388911427938E-11</v>
      </c>
      <c r="BH200" s="59">
        <f t="shared" si="194"/>
        <v>293.33333333334662</v>
      </c>
      <c r="BI200" s="59">
        <f ca="1">AVERAGE(OFFSET($BH$3,0,0,'Données projet'!$E$11+1,1))-AVERAGE(OFFSET($H$3,0,0,'Données projet'!$E$11+1,1))</f>
        <v>425.47148407510412</v>
      </c>
      <c r="BJ200" s="59">
        <f t="shared" si="206"/>
        <v>308.54448799922471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51.854791900591998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51.854791900591998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-1.3596945791505279E-13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323.20040177531774</v>
      </c>
      <c r="T201" s="59">
        <f t="shared" si="204"/>
        <v>402.87981443974337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9.7827406481039763</v>
      </c>
      <c r="AA201" s="21">
        <f>EXP(-LN(2)/25)*AA200+(1-EXP(-LN(2)/25))/(LN(2)/25)*Calculateur!V201*Calculateur!X201*VLOOKUP('Données projet'!$B$9,Paramètres!$A$1:$I$89,3,0)*0.475*44/12</f>
        <v>0.86213955138400333</v>
      </c>
      <c r="AB201" s="21">
        <f>EXP(-LN(2)/2)*AB200+(1-EXP(-LN(2)/2))/(LN(2)/2)*V201*Y201*VLOOKUP('Données projet'!$B$9,Paramètres!$A$1:$I$89,3,0)*0.475*44/12</f>
        <v>1.711276373376924E-20</v>
      </c>
      <c r="AC201" s="22">
        <f t="shared" si="163"/>
        <v>10.644880199487979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-6.7984728957526396E-14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355.09162485318728</v>
      </c>
      <c r="AO201" s="59">
        <f t="shared" si="205"/>
        <v>320.06572891923685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15.919631657284599</v>
      </c>
      <c r="AV201" s="21">
        <f>EXP(-LN(2)/25)*AV200+(1-EXP(-LN(2)/25))/(LN(2)/25)*Calculateur!AQ201*Calculateur!AS201*VLOOKUP('Données projet'!$B$10,Paramètres!$A$1:$I$89,3,0)*0.475*44/12</f>
        <v>1.440084682938038</v>
      </c>
      <c r="AW201" s="21">
        <f>EXP(-LN(2)/2)*AW200+(1-EXP(-LN(2)/2))/(LN(2)/2)*AQ201*AT201*VLOOKUP('Données projet'!$B$10,Paramètres!$A$1:$I$89,3,0)*0.475*44/12</f>
        <v>2.0248618630962986E-17</v>
      </c>
      <c r="AX201" s="21">
        <f t="shared" si="166"/>
        <v>17.359716340222636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5.6843418860808015E-13</v>
      </c>
      <c r="BE201" s="13">
        <f>BD201*VLOOKUP('Données projet'!$B$11,Paramètres!$A$1:$I$89,3,0)*VLOOKUP('Données projet'!$B$11,Paramètres!$A$1:$I$89,5,0)</f>
        <v>5.763922672485933E-13</v>
      </c>
      <c r="BF201" s="13">
        <f t="shared" si="167"/>
        <v>7.0619171555808457E-12</v>
      </c>
      <c r="BG201" s="20">
        <f t="shared" si="168"/>
        <v>1.3303388911427938E-11</v>
      </c>
      <c r="BH201" s="59">
        <f t="shared" si="194"/>
        <v>293.33333333334662</v>
      </c>
      <c r="BI201" s="59">
        <f ca="1">AVERAGE(OFFSET($BH$3,0,0,'Données projet'!$E$11+1,1))-AVERAGE(OFFSET($H$3,0,0,'Données projet'!$E$11+1,1))</f>
        <v>425.47148407510412</v>
      </c>
      <c r="BJ201" s="59">
        <f t="shared" si="206"/>
        <v>308.54448799922471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50.837951059721412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50.837951059721412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-1.3596945791505279E-13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323.20040177531774</v>
      </c>
      <c r="T202" s="59">
        <f t="shared" si="204"/>
        <v>402.87981443974337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9.5909070708772717</v>
      </c>
      <c r="AA202" s="21">
        <f>EXP(-LN(2)/25)*AA201+(1-EXP(-LN(2)/25))/(LN(2)/25)*Calculateur!V202*Calculateur!X202*VLOOKUP('Données projet'!$B$9,Paramètres!$A$1:$I$89,3,0)*0.475*44/12</f>
        <v>0.83856430001345916</v>
      </c>
      <c r="AB202" s="21">
        <f>EXP(-LN(2)/2)*AB201+(1-EXP(-LN(2)/2))/(LN(2)/2)*V202*Y202*VLOOKUP('Données projet'!$B$9,Paramètres!$A$1:$I$89,3,0)*0.475*44/12</f>
        <v>1.2100551280991452E-20</v>
      </c>
      <c r="AC202" s="22">
        <f t="shared" si="163"/>
        <v>10.429471370890731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-6.7984728957526396E-14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355.09162485318728</v>
      </c>
      <c r="AO202" s="59">
        <f t="shared" si="205"/>
        <v>320.06572891923685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15.607457390501775</v>
      </c>
      <c r="AV202" s="21">
        <f>EXP(-LN(2)/25)*AV201+(1-EXP(-LN(2)/25))/(LN(2)/25)*Calculateur!AQ202*Calculateur!AS202*VLOOKUP('Données projet'!$B$10,Paramètres!$A$1:$I$89,3,0)*0.475*44/12</f>
        <v>1.4007054915523354</v>
      </c>
      <c r="AW202" s="21">
        <f>EXP(-LN(2)/2)*AW201+(1-EXP(-LN(2)/2))/(LN(2)/2)*AQ202*AT202*VLOOKUP('Données projet'!$B$10,Paramètres!$A$1:$I$89,3,0)*0.475*44/12</f>
        <v>1.4317935543614194E-17</v>
      </c>
      <c r="AX202" s="21">
        <f t="shared" si="166"/>
        <v>17.008162882054112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5.6843418860808015E-13</v>
      </c>
      <c r="BE202" s="13">
        <f>BD202*VLOOKUP('Données projet'!$B$11,Paramètres!$A$1:$I$89,3,0)*VLOOKUP('Données projet'!$B$11,Paramètres!$A$1:$I$89,5,0)</f>
        <v>5.763922672485933E-13</v>
      </c>
      <c r="BF202" s="13">
        <f t="shared" si="167"/>
        <v>7.0619171555808457E-12</v>
      </c>
      <c r="BG202" s="20">
        <f t="shared" si="168"/>
        <v>1.3303388911427938E-11</v>
      </c>
      <c r="BH202" s="59">
        <f t="shared" si="194"/>
        <v>293.33333333334662</v>
      </c>
      <c r="BI202" s="59">
        <f ca="1">AVERAGE(OFFSET($BH$3,0,0,'Données projet'!$E$11+1,1))-AVERAGE(OFFSET($H$3,0,0,'Données projet'!$E$11+1,1))</f>
        <v>425.47148407510412</v>
      </c>
      <c r="BJ202" s="59">
        <f t="shared" si="206"/>
        <v>308.54448799922471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49.84104984752863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49.84104984752863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-1.3596945791505279E-13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323.20040177531774</v>
      </c>
      <c r="T203" s="59">
        <f t="shared" si="204"/>
        <v>402.87981443974337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9.4028352330930538</v>
      </c>
      <c r="AA203" s="21">
        <f>EXP(-LN(2)/25)*AA202+(1-EXP(-LN(2)/25))/(LN(2)/25)*Calculateur!V203*Calculateur!X203*VLOOKUP('Données projet'!$B$9,Paramètres!$A$1:$I$89,3,0)*0.475*44/12</f>
        <v>0.81563371513141114</v>
      </c>
      <c r="AB203" s="21">
        <f>EXP(-LN(2)/2)*AB202+(1-EXP(-LN(2)/2))/(LN(2)/2)*V203*Y203*VLOOKUP('Données projet'!$B$9,Paramètres!$A$1:$I$89,3,0)*0.475*44/12</f>
        <v>8.5563818668846198E-21</v>
      </c>
      <c r="AC203" s="22">
        <f t="shared" si="163"/>
        <v>10.218468948224466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-6.7984728957526396E-14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355.09162485318728</v>
      </c>
      <c r="AO203" s="59">
        <f t="shared" si="205"/>
        <v>320.06572891923685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15.301404670683061</v>
      </c>
      <c r="AV203" s="21">
        <f>EXP(-LN(2)/25)*AV202+(1-EXP(-LN(2)/25))/(LN(2)/25)*Calculateur!AQ203*Calculateur!AS203*VLOOKUP('Données projet'!$B$10,Paramètres!$A$1:$I$89,3,0)*0.475*44/12</f>
        <v>1.3624031262259364</v>
      </c>
      <c r="AW203" s="21">
        <f>EXP(-LN(2)/2)*AW202+(1-EXP(-LN(2)/2))/(LN(2)/2)*AQ203*AT203*VLOOKUP('Données projet'!$B$10,Paramètres!$A$1:$I$89,3,0)*0.475*44/12</f>
        <v>1.0124309315481493E-17</v>
      </c>
      <c r="AX203" s="21">
        <f t="shared" si="166"/>
        <v>16.663807796908998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5.6843418860808015E-13</v>
      </c>
      <c r="BE203" s="13">
        <f>BD203*VLOOKUP('Données projet'!$B$11,Paramètres!$A$1:$I$89,3,0)*VLOOKUP('Données projet'!$B$11,Paramètres!$A$1:$I$89,5,0)</f>
        <v>5.763922672485933E-13</v>
      </c>
      <c r="BF203" s="13">
        <f t="shared" si="167"/>
        <v>7.0619171555808457E-12</v>
      </c>
      <c r="BG203" s="20">
        <f t="shared" si="168"/>
        <v>1.3303388911427938E-11</v>
      </c>
      <c r="BH203" s="59">
        <f t="shared" si="194"/>
        <v>293.33333333334662</v>
      </c>
      <c r="BI203" s="59">
        <f ca="1">AVERAGE(OFFSET($BH$3,0,0,'Données projet'!$E$11+1,1))-AVERAGE(OFFSET($H$3,0,0,'Données projet'!$E$11+1,1))</f>
        <v>425.47148407510412</v>
      </c>
      <c r="BJ203" s="59">
        <f t="shared" si="206"/>
        <v>308.54448799922471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48.863697260057243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48.863697260057243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97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97</v>
      </c>
      <c r="BA204" s="81" t="s">
        <v>97</v>
      </c>
      <c r="BV204" s="81" t="s">
        <v>97</v>
      </c>
      <c r="CQ204" s="81" t="s">
        <v>97</v>
      </c>
      <c r="DL204" s="81" t="s">
        <v>97</v>
      </c>
      <c r="EG204" s="81" t="s">
        <v>97</v>
      </c>
      <c r="FB204" s="81" t="s">
        <v>97</v>
      </c>
      <c r="FW204" s="81" t="s">
        <v>97</v>
      </c>
      <c r="GR204" s="81" t="s">
        <v>97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1.3909694153327172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1.2909310311160476</v>
      </c>
      <c r="BA205" s="82">
        <f>EXP(LN('Données projet'!B88)/'Données projet'!A88)</f>
        <v>1.1736311550444201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98</v>
      </c>
      <c r="B1" s="112" t="s">
        <v>99</v>
      </c>
      <c r="C1" s="113" t="s">
        <v>100</v>
      </c>
      <c r="D1" s="112" t="s">
        <v>101</v>
      </c>
      <c r="E1" s="113" t="s">
        <v>102</v>
      </c>
      <c r="F1" s="113" t="s">
        <v>101</v>
      </c>
      <c r="G1" s="113" t="s">
        <v>103</v>
      </c>
      <c r="H1" s="113" t="s">
        <v>101</v>
      </c>
      <c r="I1" s="114" t="s">
        <v>104</v>
      </c>
      <c r="J1" s="78"/>
      <c r="K1" s="78"/>
      <c r="L1" s="78"/>
      <c r="M1" s="78"/>
      <c r="N1" s="78"/>
    </row>
    <row r="2" spans="1:16" x14ac:dyDescent="0.35">
      <c r="A2" s="115" t="s">
        <v>105</v>
      </c>
      <c r="B2" s="116" t="s">
        <v>106</v>
      </c>
      <c r="C2" s="117">
        <v>0.62</v>
      </c>
      <c r="D2" s="117" t="s">
        <v>107</v>
      </c>
      <c r="E2" s="117">
        <v>1.56</v>
      </c>
      <c r="F2" s="117" t="s">
        <v>108</v>
      </c>
      <c r="G2" s="118">
        <v>0.43</v>
      </c>
      <c r="H2" s="119" t="s">
        <v>109</v>
      </c>
      <c r="I2" s="120">
        <v>0.25</v>
      </c>
      <c r="J2" s="78"/>
      <c r="K2" s="78"/>
      <c r="L2" s="78"/>
      <c r="M2" s="78"/>
      <c r="N2" s="78"/>
      <c r="O2" s="281" t="s">
        <v>110</v>
      </c>
      <c r="P2" s="121">
        <v>0</v>
      </c>
    </row>
    <row r="3" spans="1:16" ht="15" thickBot="1" x14ac:dyDescent="0.4">
      <c r="A3" s="122" t="s">
        <v>111</v>
      </c>
      <c r="B3" s="123" t="s">
        <v>112</v>
      </c>
      <c r="C3" s="124">
        <v>0.64</v>
      </c>
      <c r="D3" s="124" t="s">
        <v>107</v>
      </c>
      <c r="E3" s="124">
        <v>1.56</v>
      </c>
      <c r="F3" s="125" t="s">
        <v>108</v>
      </c>
      <c r="G3" s="126">
        <v>0.43</v>
      </c>
      <c r="H3" s="124" t="s">
        <v>109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113</v>
      </c>
      <c r="B4" s="123" t="s">
        <v>114</v>
      </c>
      <c r="C4" s="124">
        <v>0.42</v>
      </c>
      <c r="D4" s="124" t="s">
        <v>107</v>
      </c>
      <c r="E4" s="124">
        <v>1.56</v>
      </c>
      <c r="F4" s="125" t="s">
        <v>108</v>
      </c>
      <c r="G4" s="126">
        <v>0.43</v>
      </c>
      <c r="H4" s="124" t="s">
        <v>109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115</v>
      </c>
      <c r="B5" s="123" t="s">
        <v>116</v>
      </c>
      <c r="C5" s="124">
        <v>0.42</v>
      </c>
      <c r="D5" s="124" t="s">
        <v>107</v>
      </c>
      <c r="E5" s="124">
        <v>1.56</v>
      </c>
      <c r="F5" s="125" t="s">
        <v>108</v>
      </c>
      <c r="G5" s="126">
        <v>0.43</v>
      </c>
      <c r="H5" s="124" t="s">
        <v>109</v>
      </c>
      <c r="I5" s="127">
        <v>0.25</v>
      </c>
      <c r="J5" s="78"/>
      <c r="K5" s="78"/>
      <c r="L5" s="78"/>
      <c r="M5" s="78"/>
      <c r="N5" s="78"/>
      <c r="O5" s="281" t="s">
        <v>117</v>
      </c>
      <c r="P5" s="121">
        <v>0</v>
      </c>
    </row>
    <row r="6" spans="1:16" x14ac:dyDescent="0.35">
      <c r="A6" s="122" t="s">
        <v>118</v>
      </c>
      <c r="B6" s="123" t="s">
        <v>119</v>
      </c>
      <c r="C6" s="124">
        <v>0.42</v>
      </c>
      <c r="D6" s="124" t="s">
        <v>107</v>
      </c>
      <c r="E6" s="124">
        <v>1.56</v>
      </c>
      <c r="F6" s="125" t="s">
        <v>108</v>
      </c>
      <c r="G6" s="126">
        <v>0.43</v>
      </c>
      <c r="H6" s="124" t="s">
        <v>109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120</v>
      </c>
      <c r="B7" s="123" t="s">
        <v>121</v>
      </c>
      <c r="C7" s="124">
        <v>0.52</v>
      </c>
      <c r="D7" s="124" t="s">
        <v>107</v>
      </c>
      <c r="E7" s="124">
        <v>1.56</v>
      </c>
      <c r="F7" s="125" t="s">
        <v>108</v>
      </c>
      <c r="G7" s="126">
        <v>0.43</v>
      </c>
      <c r="H7" s="124" t="s">
        <v>109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122</v>
      </c>
      <c r="B8" s="123" t="s">
        <v>123</v>
      </c>
      <c r="C8" s="124">
        <v>0.36</v>
      </c>
      <c r="D8" s="124" t="s">
        <v>107</v>
      </c>
      <c r="E8" s="124">
        <v>1.3</v>
      </c>
      <c r="F8" s="125" t="s">
        <v>108</v>
      </c>
      <c r="G8" s="126">
        <v>0.55000000000000004</v>
      </c>
      <c r="H8" s="124" t="s">
        <v>124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125</v>
      </c>
      <c r="B9" s="123" t="s">
        <v>126</v>
      </c>
      <c r="C9" s="124">
        <v>0.61</v>
      </c>
      <c r="D9" s="124" t="s">
        <v>107</v>
      </c>
      <c r="E9" s="124">
        <v>1.56</v>
      </c>
      <c r="F9" s="125" t="s">
        <v>108</v>
      </c>
      <c r="G9" s="126">
        <v>0.43</v>
      </c>
      <c r="H9" s="124" t="s">
        <v>109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127</v>
      </c>
      <c r="B10" s="123" t="s">
        <v>128</v>
      </c>
      <c r="C10" s="124">
        <v>0.66</v>
      </c>
      <c r="D10" s="124" t="s">
        <v>107</v>
      </c>
      <c r="E10" s="124">
        <v>1.56</v>
      </c>
      <c r="F10" s="125" t="s">
        <v>108</v>
      </c>
      <c r="G10" s="126">
        <v>0.43</v>
      </c>
      <c r="H10" s="124" t="s">
        <v>109</v>
      </c>
      <c r="I10" s="127">
        <v>0.25</v>
      </c>
      <c r="J10" s="78"/>
      <c r="K10" s="78"/>
      <c r="L10" s="78"/>
      <c r="M10" s="78"/>
      <c r="N10" s="78"/>
      <c r="O10" s="281" t="s">
        <v>129</v>
      </c>
      <c r="P10" s="121">
        <v>0</v>
      </c>
    </row>
    <row r="11" spans="1:16" ht="15" thickBot="1" x14ac:dyDescent="0.4">
      <c r="A11" s="122" t="s">
        <v>130</v>
      </c>
      <c r="B11" s="123" t="s">
        <v>131</v>
      </c>
      <c r="C11" s="124">
        <v>0.47</v>
      </c>
      <c r="D11" s="124" t="s">
        <v>107</v>
      </c>
      <c r="E11" s="124">
        <v>1.56</v>
      </c>
      <c r="F11" s="125" t="s">
        <v>108</v>
      </c>
      <c r="G11" s="126">
        <v>0.43</v>
      </c>
      <c r="H11" s="124" t="s">
        <v>109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132</v>
      </c>
      <c r="B12" s="123" t="s">
        <v>133</v>
      </c>
      <c r="C12" s="124">
        <v>0.67</v>
      </c>
      <c r="D12" s="124" t="s">
        <v>107</v>
      </c>
      <c r="E12" s="124">
        <v>1.56</v>
      </c>
      <c r="F12" s="125" t="s">
        <v>108</v>
      </c>
      <c r="G12" s="126">
        <v>0.43</v>
      </c>
      <c r="H12" s="124" t="s">
        <v>134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135</v>
      </c>
      <c r="B13" s="123" t="s">
        <v>136</v>
      </c>
      <c r="C13" s="124">
        <v>0.7</v>
      </c>
      <c r="D13" s="124" t="s">
        <v>107</v>
      </c>
      <c r="E13" s="124">
        <v>1.56</v>
      </c>
      <c r="F13" s="125" t="s">
        <v>108</v>
      </c>
      <c r="G13" s="126">
        <v>0.43</v>
      </c>
      <c r="H13" s="124" t="s">
        <v>134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137</v>
      </c>
      <c r="B14" s="123" t="s">
        <v>138</v>
      </c>
      <c r="C14" s="124">
        <v>0.54</v>
      </c>
      <c r="D14" s="124" t="s">
        <v>107</v>
      </c>
      <c r="E14" s="124">
        <v>1.56</v>
      </c>
      <c r="F14" s="125" t="s">
        <v>108</v>
      </c>
      <c r="G14" s="126">
        <v>0.43</v>
      </c>
      <c r="H14" s="124" t="s">
        <v>134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139</v>
      </c>
      <c r="B15" s="123" t="s">
        <v>140</v>
      </c>
      <c r="C15" s="124">
        <v>0.65</v>
      </c>
      <c r="D15" s="124" t="s">
        <v>107</v>
      </c>
      <c r="E15" s="124">
        <v>1.56</v>
      </c>
      <c r="F15" s="125" t="s">
        <v>108</v>
      </c>
      <c r="G15" s="126">
        <v>0.43</v>
      </c>
      <c r="H15" s="124" t="s">
        <v>134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141</v>
      </c>
      <c r="B16" s="123" t="s">
        <v>142</v>
      </c>
      <c r="C16" s="124">
        <v>0.56000000000000005</v>
      </c>
      <c r="D16" s="124" t="s">
        <v>107</v>
      </c>
      <c r="E16" s="124">
        <v>1.56</v>
      </c>
      <c r="F16" s="125" t="s">
        <v>108</v>
      </c>
      <c r="G16" s="126">
        <v>0.43</v>
      </c>
      <c r="H16" s="124" t="s">
        <v>134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143</v>
      </c>
      <c r="B17" s="123" t="s">
        <v>144</v>
      </c>
      <c r="C17" s="124">
        <v>0.57999999999999996</v>
      </c>
      <c r="D17" s="124" t="s">
        <v>107</v>
      </c>
      <c r="E17" s="124">
        <v>1.56</v>
      </c>
      <c r="F17" s="125" t="s">
        <v>108</v>
      </c>
      <c r="G17" s="126">
        <v>0.43</v>
      </c>
      <c r="H17" s="124" t="s">
        <v>134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145</v>
      </c>
      <c r="B18" s="123" t="s">
        <v>146</v>
      </c>
      <c r="C18" s="124">
        <v>0.64</v>
      </c>
      <c r="D18" s="124" t="s">
        <v>107</v>
      </c>
      <c r="E18" s="124">
        <v>1.56</v>
      </c>
      <c r="F18" s="125" t="s">
        <v>108</v>
      </c>
      <c r="G18" s="126">
        <v>0.43</v>
      </c>
      <c r="H18" s="124" t="s">
        <v>134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147</v>
      </c>
      <c r="B19" s="123" t="s">
        <v>148</v>
      </c>
      <c r="C19" s="124">
        <v>0.73</v>
      </c>
      <c r="D19" s="124" t="s">
        <v>107</v>
      </c>
      <c r="E19" s="124">
        <v>1.56</v>
      </c>
      <c r="F19" s="125" t="s">
        <v>108</v>
      </c>
      <c r="G19" s="126">
        <v>0.43</v>
      </c>
      <c r="H19" s="124" t="s">
        <v>134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149</v>
      </c>
      <c r="B20" s="123" t="s">
        <v>150</v>
      </c>
      <c r="C20" s="124">
        <v>0.69</v>
      </c>
      <c r="D20" s="124" t="s">
        <v>151</v>
      </c>
      <c r="E20" s="124">
        <v>1.56</v>
      </c>
      <c r="F20" s="125" t="s">
        <v>108</v>
      </c>
      <c r="G20" s="126">
        <v>0.43</v>
      </c>
      <c r="H20" s="124" t="s">
        <v>152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153</v>
      </c>
      <c r="B21" s="123" t="s">
        <v>154</v>
      </c>
      <c r="C21" s="124">
        <v>0.36</v>
      </c>
      <c r="D21" s="124" t="s">
        <v>107</v>
      </c>
      <c r="E21" s="124">
        <v>1.3</v>
      </c>
      <c r="F21" s="125" t="s">
        <v>108</v>
      </c>
      <c r="G21" s="126">
        <v>0.55000000000000004</v>
      </c>
      <c r="H21" s="124" t="s">
        <v>124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155</v>
      </c>
      <c r="B22" s="123" t="s">
        <v>156</v>
      </c>
      <c r="C22" s="124">
        <v>0.4</v>
      </c>
      <c r="D22" s="124" t="s">
        <v>107</v>
      </c>
      <c r="E22" s="124">
        <v>1.3</v>
      </c>
      <c r="F22" s="125" t="s">
        <v>108</v>
      </c>
      <c r="G22" s="126">
        <v>0.55000000000000004</v>
      </c>
      <c r="H22" s="124" t="s">
        <v>124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157</v>
      </c>
      <c r="B23" s="123" t="s">
        <v>158</v>
      </c>
      <c r="C23" s="124">
        <v>0.43</v>
      </c>
      <c r="D23" s="124" t="s">
        <v>107</v>
      </c>
      <c r="E23" s="124">
        <v>1.3</v>
      </c>
      <c r="F23" s="125" t="s">
        <v>108</v>
      </c>
      <c r="G23" s="126">
        <v>0.55000000000000004</v>
      </c>
      <c r="H23" s="124" t="s">
        <v>124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159</v>
      </c>
      <c r="B24" s="123" t="s">
        <v>160</v>
      </c>
      <c r="C24" s="124">
        <v>0.37</v>
      </c>
      <c r="D24" s="124" t="s">
        <v>107</v>
      </c>
      <c r="E24" s="124">
        <v>1.3</v>
      </c>
      <c r="F24" s="125" t="s">
        <v>108</v>
      </c>
      <c r="G24" s="126">
        <v>0.55000000000000004</v>
      </c>
      <c r="H24" s="124" t="s">
        <v>134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161</v>
      </c>
      <c r="B25" s="123" t="s">
        <v>162</v>
      </c>
      <c r="C25" s="124">
        <v>0.36</v>
      </c>
      <c r="D25" s="124" t="s">
        <v>107</v>
      </c>
      <c r="E25" s="124">
        <v>1.3</v>
      </c>
      <c r="F25" s="125" t="s">
        <v>108</v>
      </c>
      <c r="G25" s="126">
        <v>0.55000000000000004</v>
      </c>
      <c r="H25" s="124" t="s">
        <v>134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107</v>
      </c>
      <c r="E26" s="124">
        <v>1.56</v>
      </c>
      <c r="F26" s="125" t="s">
        <v>108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107</v>
      </c>
      <c r="E27" s="124">
        <v>1.56</v>
      </c>
      <c r="F27" s="125" t="s">
        <v>108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107</v>
      </c>
      <c r="E28" s="124">
        <v>1.56</v>
      </c>
      <c r="F28" s="125" t="s">
        <v>108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107</v>
      </c>
      <c r="E29" s="124">
        <v>1.56</v>
      </c>
      <c r="F29" s="125" t="s">
        <v>108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107</v>
      </c>
      <c r="E30" s="124">
        <v>1.56</v>
      </c>
      <c r="F30" s="125" t="s">
        <v>108</v>
      </c>
      <c r="G30" s="126">
        <v>0.53</v>
      </c>
      <c r="H30" s="124" t="s">
        <v>134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107</v>
      </c>
      <c r="E31" s="124">
        <v>1.56</v>
      </c>
      <c r="F31" s="125" t="s">
        <v>108</v>
      </c>
      <c r="G31" s="126">
        <v>0.43</v>
      </c>
      <c r="H31" s="124" t="s">
        <v>109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175</v>
      </c>
      <c r="B32" s="123" t="s">
        <v>176</v>
      </c>
      <c r="C32" s="124">
        <v>0.48</v>
      </c>
      <c r="D32" s="124" t="s">
        <v>107</v>
      </c>
      <c r="E32" s="124">
        <v>1.3</v>
      </c>
      <c r="F32" s="125" t="s">
        <v>108</v>
      </c>
      <c r="G32" s="126">
        <v>0.6</v>
      </c>
      <c r="H32" s="124" t="s">
        <v>177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178</v>
      </c>
      <c r="B33" s="123" t="s">
        <v>179</v>
      </c>
      <c r="C33" s="124">
        <v>0.42</v>
      </c>
      <c r="D33" s="124" t="s">
        <v>107</v>
      </c>
      <c r="E33" s="124">
        <v>1.3</v>
      </c>
      <c r="F33" s="125" t="s">
        <v>108</v>
      </c>
      <c r="G33" s="126">
        <v>0.6</v>
      </c>
      <c r="H33" s="124" t="s">
        <v>177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180</v>
      </c>
      <c r="B34" s="123" t="s">
        <v>181</v>
      </c>
      <c r="C34" s="124">
        <v>0.42</v>
      </c>
      <c r="D34" s="124" t="s">
        <v>182</v>
      </c>
      <c r="E34" s="124">
        <v>1.3</v>
      </c>
      <c r="F34" s="125" t="s">
        <v>108</v>
      </c>
      <c r="G34" s="126">
        <v>0.6</v>
      </c>
      <c r="H34" s="123" t="s">
        <v>183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184</v>
      </c>
      <c r="B35" s="123" t="s">
        <v>185</v>
      </c>
      <c r="C35" s="124">
        <v>0.5</v>
      </c>
      <c r="D35" s="124" t="s">
        <v>107</v>
      </c>
      <c r="E35" s="124">
        <v>1.56</v>
      </c>
      <c r="F35" s="125" t="s">
        <v>108</v>
      </c>
      <c r="G35" s="126">
        <v>0.43</v>
      </c>
      <c r="H35" s="124" t="s">
        <v>109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186</v>
      </c>
      <c r="B36" s="123" t="s">
        <v>187</v>
      </c>
      <c r="C36" s="124">
        <v>0.55000000000000004</v>
      </c>
      <c r="D36" s="124" t="s">
        <v>107</v>
      </c>
      <c r="E36" s="124">
        <v>1.56</v>
      </c>
      <c r="F36" s="125" t="s">
        <v>108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188</v>
      </c>
      <c r="B37" s="123" t="s">
        <v>189</v>
      </c>
      <c r="C37" s="124">
        <v>0.52</v>
      </c>
      <c r="D37" s="124" t="s">
        <v>107</v>
      </c>
      <c r="E37" s="124">
        <v>1.56</v>
      </c>
      <c r="F37" s="125" t="s">
        <v>108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190</v>
      </c>
      <c r="B38" s="123" t="s">
        <v>191</v>
      </c>
      <c r="C38" s="124">
        <v>0.52</v>
      </c>
      <c r="D38" s="124" t="s">
        <v>107</v>
      </c>
      <c r="E38" s="124">
        <v>1.56</v>
      </c>
      <c r="F38" s="125" t="s">
        <v>108</v>
      </c>
      <c r="G38" s="126">
        <v>0.43</v>
      </c>
      <c r="H38" s="124" t="s">
        <v>109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192</v>
      </c>
      <c r="B39" s="123" t="s">
        <v>193</v>
      </c>
      <c r="C39" s="124">
        <v>0.313</v>
      </c>
      <c r="D39" s="124" t="s">
        <v>194</v>
      </c>
      <c r="E39" s="124">
        <v>1.56</v>
      </c>
      <c r="F39" s="125" t="s">
        <v>108</v>
      </c>
      <c r="G39" s="126">
        <v>0.6</v>
      </c>
      <c r="H39" s="124" t="s">
        <v>195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196</v>
      </c>
      <c r="B40" s="123" t="s">
        <v>193</v>
      </c>
      <c r="C40" s="124">
        <v>0.35199999999999998</v>
      </c>
      <c r="D40" s="124" t="s">
        <v>194</v>
      </c>
      <c r="E40" s="124">
        <v>1.56</v>
      </c>
      <c r="F40" s="125" t="s">
        <v>108</v>
      </c>
      <c r="G40" s="126">
        <v>0.6</v>
      </c>
      <c r="H40" s="124" t="s">
        <v>195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197</v>
      </c>
      <c r="B41" s="123" t="s">
        <v>193</v>
      </c>
      <c r="C41" s="124">
        <v>0.32200000000000001</v>
      </c>
      <c r="D41" s="124" t="s">
        <v>194</v>
      </c>
      <c r="E41" s="124">
        <v>1.56</v>
      </c>
      <c r="F41" s="125" t="s">
        <v>108</v>
      </c>
      <c r="G41" s="126">
        <v>0.6</v>
      </c>
      <c r="H41" s="124" t="s">
        <v>195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198</v>
      </c>
      <c r="B42" s="123" t="s">
        <v>193</v>
      </c>
      <c r="C42" s="124">
        <v>0.311</v>
      </c>
      <c r="D42" s="124" t="s">
        <v>194</v>
      </c>
      <c r="E42" s="124">
        <v>1.56</v>
      </c>
      <c r="F42" s="125" t="s">
        <v>108</v>
      </c>
      <c r="G42" s="126">
        <v>0.6</v>
      </c>
      <c r="H42" s="124" t="s">
        <v>195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199</v>
      </c>
      <c r="B43" s="123" t="s">
        <v>193</v>
      </c>
      <c r="C43" s="124">
        <v>0.33900000000000002</v>
      </c>
      <c r="D43" s="124" t="s">
        <v>194</v>
      </c>
      <c r="E43" s="124">
        <v>1.56</v>
      </c>
      <c r="F43" s="125" t="s">
        <v>108</v>
      </c>
      <c r="G43" s="126">
        <v>0.6</v>
      </c>
      <c r="H43" s="124" t="s">
        <v>195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200</v>
      </c>
      <c r="B44" s="123" t="s">
        <v>193</v>
      </c>
      <c r="C44" s="124">
        <v>0.33600000000000002</v>
      </c>
      <c r="D44" s="124" t="s">
        <v>194</v>
      </c>
      <c r="E44" s="124">
        <v>1.56</v>
      </c>
      <c r="F44" s="125" t="s">
        <v>108</v>
      </c>
      <c r="G44" s="126">
        <v>0.6</v>
      </c>
      <c r="H44" s="124" t="s">
        <v>195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201</v>
      </c>
      <c r="B45" s="123" t="s">
        <v>193</v>
      </c>
      <c r="C45" s="124">
        <v>0.32900000000000001</v>
      </c>
      <c r="D45" s="124" t="s">
        <v>194</v>
      </c>
      <c r="E45" s="124">
        <v>1.56</v>
      </c>
      <c r="F45" s="125" t="s">
        <v>108</v>
      </c>
      <c r="G45" s="126">
        <v>0.6</v>
      </c>
      <c r="H45" s="124" t="s">
        <v>195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202</v>
      </c>
      <c r="B46" s="123" t="s">
        <v>193</v>
      </c>
      <c r="C46" s="124">
        <v>0.34300000000000003</v>
      </c>
      <c r="D46" s="124" t="s">
        <v>194</v>
      </c>
      <c r="E46" s="124">
        <v>1.56</v>
      </c>
      <c r="F46" s="125" t="s">
        <v>108</v>
      </c>
      <c r="G46" s="126">
        <v>0.6</v>
      </c>
      <c r="H46" s="124" t="s">
        <v>195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203</v>
      </c>
      <c r="B47" s="123" t="s">
        <v>193</v>
      </c>
      <c r="C47" s="124">
        <v>0.32500000000000001</v>
      </c>
      <c r="D47" s="124" t="s">
        <v>194</v>
      </c>
      <c r="E47" s="124">
        <v>1.56</v>
      </c>
      <c r="F47" s="125" t="s">
        <v>108</v>
      </c>
      <c r="G47" s="126">
        <v>0.6</v>
      </c>
      <c r="H47" s="124" t="s">
        <v>195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204</v>
      </c>
      <c r="B48" s="123" t="s">
        <v>193</v>
      </c>
      <c r="C48" s="124">
        <v>0.32</v>
      </c>
      <c r="D48" s="124" t="s">
        <v>194</v>
      </c>
      <c r="E48" s="124">
        <v>1.56</v>
      </c>
      <c r="F48" s="125" t="s">
        <v>108</v>
      </c>
      <c r="G48" s="126">
        <v>0.6</v>
      </c>
      <c r="H48" s="124" t="s">
        <v>195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205</v>
      </c>
      <c r="B49" s="123" t="s">
        <v>193</v>
      </c>
      <c r="C49" s="124">
        <v>0.28199999999999997</v>
      </c>
      <c r="D49" s="124" t="s">
        <v>194</v>
      </c>
      <c r="E49" s="124">
        <v>1.56</v>
      </c>
      <c r="F49" s="125" t="s">
        <v>108</v>
      </c>
      <c r="G49" s="126">
        <v>0.6</v>
      </c>
      <c r="H49" s="124" t="s">
        <v>195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206</v>
      </c>
      <c r="B50" s="123" t="s">
        <v>193</v>
      </c>
      <c r="C50" s="124">
        <v>0.32800000000000001</v>
      </c>
      <c r="D50" s="124" t="s">
        <v>194</v>
      </c>
      <c r="E50" s="124">
        <v>1.56</v>
      </c>
      <c r="F50" s="125" t="s">
        <v>108</v>
      </c>
      <c r="G50" s="126">
        <v>0.6</v>
      </c>
      <c r="H50" s="124" t="s">
        <v>195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207</v>
      </c>
      <c r="B51" s="123" t="s">
        <v>193</v>
      </c>
      <c r="C51" s="124">
        <v>0.32600000000000001</v>
      </c>
      <c r="D51" s="124" t="s">
        <v>194</v>
      </c>
      <c r="E51" s="124">
        <v>1.56</v>
      </c>
      <c r="F51" s="125" t="s">
        <v>108</v>
      </c>
      <c r="G51" s="126">
        <v>0.6</v>
      </c>
      <c r="H51" s="124" t="s">
        <v>195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208</v>
      </c>
      <c r="B52" s="123" t="s">
        <v>193</v>
      </c>
      <c r="C52" s="124">
        <v>0.35899999999999999</v>
      </c>
      <c r="D52" s="124" t="s">
        <v>194</v>
      </c>
      <c r="E52" s="124">
        <v>1.56</v>
      </c>
      <c r="F52" s="125" t="s">
        <v>108</v>
      </c>
      <c r="G52" s="126">
        <v>0.6</v>
      </c>
      <c r="H52" s="124" t="s">
        <v>195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209</v>
      </c>
      <c r="B53" s="123" t="s">
        <v>193</v>
      </c>
      <c r="C53" s="124">
        <v>0.34599999999999997</v>
      </c>
      <c r="D53" s="124" t="s">
        <v>194</v>
      </c>
      <c r="E53" s="124">
        <v>1.56</v>
      </c>
      <c r="F53" s="125" t="s">
        <v>108</v>
      </c>
      <c r="G53" s="126">
        <v>0.6</v>
      </c>
      <c r="H53" s="124" t="s">
        <v>195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210</v>
      </c>
      <c r="B54" s="123" t="s">
        <v>193</v>
      </c>
      <c r="C54" s="124">
        <v>0.32600000000000001</v>
      </c>
      <c r="D54" s="124" t="s">
        <v>194</v>
      </c>
      <c r="E54" s="124">
        <v>1.56</v>
      </c>
      <c r="F54" s="125" t="s">
        <v>108</v>
      </c>
      <c r="G54" s="126">
        <v>0.6</v>
      </c>
      <c r="H54" s="124" t="s">
        <v>195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211</v>
      </c>
      <c r="B55" s="123" t="s">
        <v>193</v>
      </c>
      <c r="C55" s="124">
        <v>0.30499999999999999</v>
      </c>
      <c r="D55" s="124" t="s">
        <v>194</v>
      </c>
      <c r="E55" s="124">
        <v>1.56</v>
      </c>
      <c r="F55" s="125" t="s">
        <v>108</v>
      </c>
      <c r="G55" s="126">
        <v>0.6</v>
      </c>
      <c r="H55" s="124" t="s">
        <v>195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212</v>
      </c>
      <c r="B56" s="123" t="s">
        <v>193</v>
      </c>
      <c r="C56" s="124">
        <v>0.32300000000000001</v>
      </c>
      <c r="D56" s="124" t="s">
        <v>194</v>
      </c>
      <c r="E56" s="124">
        <v>1.56</v>
      </c>
      <c r="F56" s="125" t="s">
        <v>108</v>
      </c>
      <c r="G56" s="126">
        <v>0.6</v>
      </c>
      <c r="H56" s="124" t="s">
        <v>195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213</v>
      </c>
      <c r="B57" s="123" t="s">
        <v>193</v>
      </c>
      <c r="C57" s="124">
        <v>0.36699999999999999</v>
      </c>
      <c r="D57" s="124" t="s">
        <v>194</v>
      </c>
      <c r="E57" s="124">
        <v>1.56</v>
      </c>
      <c r="F57" s="125" t="s">
        <v>108</v>
      </c>
      <c r="G57" s="126">
        <v>0.6</v>
      </c>
      <c r="H57" s="124" t="s">
        <v>195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214</v>
      </c>
      <c r="B58" s="123" t="s">
        <v>193</v>
      </c>
      <c r="C58" s="124">
        <v>0.36</v>
      </c>
      <c r="D58" s="124" t="s">
        <v>194</v>
      </c>
      <c r="E58" s="124">
        <v>1.56</v>
      </c>
      <c r="F58" s="125" t="s">
        <v>108</v>
      </c>
      <c r="G58" s="126">
        <v>0.6</v>
      </c>
      <c r="H58" s="124" t="s">
        <v>195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215</v>
      </c>
      <c r="B59" s="123" t="s">
        <v>193</v>
      </c>
      <c r="C59" s="124">
        <v>0.36799999999999999</v>
      </c>
      <c r="D59" s="124" t="s">
        <v>194</v>
      </c>
      <c r="E59" s="124">
        <v>1.56</v>
      </c>
      <c r="F59" s="125" t="s">
        <v>108</v>
      </c>
      <c r="G59" s="126">
        <v>0.6</v>
      </c>
      <c r="H59" s="124" t="s">
        <v>195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216</v>
      </c>
      <c r="B60" s="123" t="s">
        <v>193</v>
      </c>
      <c r="C60" s="124">
        <v>0.30599999999999999</v>
      </c>
      <c r="D60" s="124" t="s">
        <v>194</v>
      </c>
      <c r="E60" s="124">
        <v>1.56</v>
      </c>
      <c r="F60" s="125" t="s">
        <v>108</v>
      </c>
      <c r="G60" s="126">
        <v>0.6</v>
      </c>
      <c r="H60" s="124" t="s">
        <v>195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217</v>
      </c>
      <c r="B61" s="123" t="s">
        <v>193</v>
      </c>
      <c r="C61" s="124">
        <v>0.313</v>
      </c>
      <c r="D61" s="124" t="s">
        <v>194</v>
      </c>
      <c r="E61" s="124">
        <v>1.56</v>
      </c>
      <c r="F61" s="125" t="s">
        <v>108</v>
      </c>
      <c r="G61" s="126">
        <v>0.6</v>
      </c>
      <c r="H61" s="124" t="s">
        <v>195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218</v>
      </c>
      <c r="B62" s="123" t="s">
        <v>219</v>
      </c>
      <c r="C62" s="124">
        <v>0.37</v>
      </c>
      <c r="D62" s="124" t="s">
        <v>107</v>
      </c>
      <c r="E62" s="124">
        <v>1.56</v>
      </c>
      <c r="F62" s="125" t="s">
        <v>108</v>
      </c>
      <c r="G62" s="126">
        <v>0.6</v>
      </c>
      <c r="H62" s="124" t="s">
        <v>195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220</v>
      </c>
      <c r="B63" s="123" t="s">
        <v>221</v>
      </c>
      <c r="C63" s="124">
        <v>0.45</v>
      </c>
      <c r="D63" s="124" t="s">
        <v>107</v>
      </c>
      <c r="E63" s="124">
        <v>1.3</v>
      </c>
      <c r="F63" s="125" t="s">
        <v>108</v>
      </c>
      <c r="G63" s="126">
        <v>0.45</v>
      </c>
      <c r="H63" s="124" t="s">
        <v>222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223</v>
      </c>
      <c r="B64" s="123" t="s">
        <v>224</v>
      </c>
      <c r="C64" s="124">
        <v>0.39</v>
      </c>
      <c r="D64" s="124" t="s">
        <v>107</v>
      </c>
      <c r="E64" s="124">
        <v>1.3</v>
      </c>
      <c r="F64" s="125" t="s">
        <v>108</v>
      </c>
      <c r="G64" s="126">
        <v>0.45</v>
      </c>
      <c r="H64" s="124" t="s">
        <v>222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225</v>
      </c>
      <c r="B65" s="123" t="s">
        <v>226</v>
      </c>
      <c r="C65" s="124">
        <v>0.44</v>
      </c>
      <c r="D65" s="124" t="s">
        <v>107</v>
      </c>
      <c r="E65" s="124">
        <v>1.3</v>
      </c>
      <c r="F65" s="125" t="s">
        <v>108</v>
      </c>
      <c r="G65" s="126">
        <v>0.45</v>
      </c>
      <c r="H65" s="124" t="s">
        <v>222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227</v>
      </c>
      <c r="B66" s="123" t="s">
        <v>228</v>
      </c>
      <c r="C66" s="124">
        <v>0.46</v>
      </c>
      <c r="D66" s="124" t="s">
        <v>107</v>
      </c>
      <c r="E66" s="124">
        <v>1.3</v>
      </c>
      <c r="F66" s="125" t="s">
        <v>108</v>
      </c>
      <c r="G66" s="126">
        <v>0.45</v>
      </c>
      <c r="H66" s="124" t="s">
        <v>222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229</v>
      </c>
      <c r="B67" s="123" t="s">
        <v>230</v>
      </c>
      <c r="C67" s="124">
        <v>0.46</v>
      </c>
      <c r="D67" s="124" t="s">
        <v>107</v>
      </c>
      <c r="E67" s="124">
        <v>1.3</v>
      </c>
      <c r="F67" s="125" t="s">
        <v>108</v>
      </c>
      <c r="G67" s="126">
        <v>0.45</v>
      </c>
      <c r="H67" s="124" t="s">
        <v>134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231</v>
      </c>
      <c r="B68" s="123" t="s">
        <v>232</v>
      </c>
      <c r="C68" s="124">
        <v>0.44</v>
      </c>
      <c r="D68" s="124" t="s">
        <v>107</v>
      </c>
      <c r="E68" s="124">
        <v>1.3</v>
      </c>
      <c r="F68" s="125" t="s">
        <v>108</v>
      </c>
      <c r="G68" s="126">
        <v>0.45</v>
      </c>
      <c r="H68" s="124" t="s">
        <v>222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233</v>
      </c>
      <c r="B69" s="123" t="s">
        <v>234</v>
      </c>
      <c r="C69" s="124">
        <v>0.46</v>
      </c>
      <c r="D69" s="124" t="s">
        <v>107</v>
      </c>
      <c r="E69" s="124">
        <v>1.3</v>
      </c>
      <c r="F69" s="125" t="s">
        <v>108</v>
      </c>
      <c r="G69" s="126">
        <v>0.45</v>
      </c>
      <c r="H69" s="124" t="s">
        <v>222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235</v>
      </c>
      <c r="B70" s="123" t="s">
        <v>236</v>
      </c>
      <c r="C70" s="124">
        <v>0.48</v>
      </c>
      <c r="D70" s="124" t="s">
        <v>107</v>
      </c>
      <c r="E70" s="124">
        <v>2.4</v>
      </c>
      <c r="F70" s="124" t="s">
        <v>237</v>
      </c>
      <c r="G70" s="126">
        <v>0.45</v>
      </c>
      <c r="H70" s="124" t="s">
        <v>222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108</v>
      </c>
      <c r="G71" s="126">
        <v>0.45</v>
      </c>
      <c r="H71" s="124" t="s">
        <v>222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241</v>
      </c>
      <c r="B72" s="123" t="s">
        <v>242</v>
      </c>
      <c r="C72" s="124">
        <v>0.44</v>
      </c>
      <c r="D72" s="124" t="s">
        <v>107</v>
      </c>
      <c r="E72" s="124">
        <v>1.3</v>
      </c>
      <c r="F72" s="125" t="s">
        <v>108</v>
      </c>
      <c r="G72" s="126">
        <v>0.45</v>
      </c>
      <c r="H72" s="124" t="s">
        <v>222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108</v>
      </c>
      <c r="G73" s="126">
        <v>0.45</v>
      </c>
      <c r="H73" s="124" t="s">
        <v>222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246</v>
      </c>
      <c r="B74" s="123" t="s">
        <v>247</v>
      </c>
      <c r="C74" s="124">
        <v>0.34</v>
      </c>
      <c r="D74" s="124" t="s">
        <v>107</v>
      </c>
      <c r="E74" s="124">
        <v>1.3</v>
      </c>
      <c r="F74" s="125" t="s">
        <v>108</v>
      </c>
      <c r="G74" s="126">
        <v>0.45</v>
      </c>
      <c r="H74" s="124" t="s">
        <v>222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248</v>
      </c>
      <c r="B75" s="123" t="s">
        <v>249</v>
      </c>
      <c r="C75" s="124">
        <v>0.5</v>
      </c>
      <c r="D75" s="124" t="s">
        <v>107</v>
      </c>
      <c r="E75" s="124">
        <v>1.56</v>
      </c>
      <c r="F75" s="125" t="s">
        <v>108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250</v>
      </c>
      <c r="B76" s="123" t="s">
        <v>251</v>
      </c>
      <c r="C76" s="124">
        <v>0.57999999999999996</v>
      </c>
      <c r="D76" s="124" t="s">
        <v>107</v>
      </c>
      <c r="E76" s="124">
        <v>1.56</v>
      </c>
      <c r="F76" s="125" t="s">
        <v>108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253</v>
      </c>
      <c r="B77" s="123" t="s">
        <v>254</v>
      </c>
      <c r="C77" s="124">
        <v>0.37</v>
      </c>
      <c r="D77" s="124" t="s">
        <v>107</v>
      </c>
      <c r="E77" s="124">
        <v>1.3</v>
      </c>
      <c r="F77" s="125" t="s">
        <v>108</v>
      </c>
      <c r="G77" s="126">
        <v>0.55000000000000004</v>
      </c>
      <c r="H77" s="124" t="s">
        <v>134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255</v>
      </c>
      <c r="B78" s="123" t="s">
        <v>256</v>
      </c>
      <c r="C78" s="124">
        <v>0.37</v>
      </c>
      <c r="D78" s="124" t="s">
        <v>107</v>
      </c>
      <c r="E78" s="124">
        <v>1.3</v>
      </c>
      <c r="F78" s="125" t="s">
        <v>108</v>
      </c>
      <c r="G78" s="126">
        <v>0.55000000000000004</v>
      </c>
      <c r="H78" s="124" t="s">
        <v>134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107</v>
      </c>
      <c r="E79" s="124">
        <v>1.3</v>
      </c>
      <c r="F79" s="125" t="s">
        <v>108</v>
      </c>
      <c r="G79" s="126">
        <v>0.55000000000000004</v>
      </c>
      <c r="H79" s="124" t="s">
        <v>124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107</v>
      </c>
      <c r="E80" s="124">
        <v>1.3</v>
      </c>
      <c r="F80" s="125" t="s">
        <v>108</v>
      </c>
      <c r="G80" s="126">
        <v>0.55000000000000004</v>
      </c>
      <c r="H80" s="124" t="s">
        <v>124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107</v>
      </c>
      <c r="E81" s="124">
        <v>1.56</v>
      </c>
      <c r="F81" s="125" t="s">
        <v>108</v>
      </c>
      <c r="G81" s="126">
        <v>0.43</v>
      </c>
      <c r="H81" s="124" t="s">
        <v>109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108</v>
      </c>
      <c r="G82" s="126">
        <v>0.55000000000000004</v>
      </c>
      <c r="H82" s="124" t="s">
        <v>124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107</v>
      </c>
      <c r="E83" s="124">
        <v>1.3</v>
      </c>
      <c r="F83" s="125" t="s">
        <v>108</v>
      </c>
      <c r="G83" s="126">
        <v>0.55000000000000004</v>
      </c>
      <c r="H83" s="124" t="s">
        <v>124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107</v>
      </c>
      <c r="E84" s="124">
        <v>1.3</v>
      </c>
      <c r="F84" s="125" t="s">
        <v>108</v>
      </c>
      <c r="G84" s="126">
        <v>0.55000000000000004</v>
      </c>
      <c r="H84" s="124" t="s">
        <v>124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107</v>
      </c>
      <c r="E85" s="124">
        <v>1.56</v>
      </c>
      <c r="F85" s="125" t="s">
        <v>108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107</v>
      </c>
      <c r="E86" s="124">
        <v>1.56</v>
      </c>
      <c r="F86" s="125" t="s">
        <v>108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108</v>
      </c>
      <c r="G87" s="255">
        <v>0.43</v>
      </c>
      <c r="H87" s="253" t="s">
        <v>109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67</v>
      </c>
      <c r="B88" s="130"/>
      <c r="C88" s="124">
        <v>0.42</v>
      </c>
      <c r="D88" s="124" t="s">
        <v>107</v>
      </c>
      <c r="E88" s="124">
        <v>1.3</v>
      </c>
      <c r="F88" s="125" t="s">
        <v>108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107</v>
      </c>
      <c r="E89" s="135">
        <v>1.56</v>
      </c>
      <c r="F89" s="135" t="s">
        <v>108</v>
      </c>
      <c r="G89" s="134"/>
      <c r="H89" s="134"/>
      <c r="I89" s="137"/>
    </row>
    <row r="93" spans="1:14" x14ac:dyDescent="0.35">
      <c r="A93" s="122" t="s">
        <v>68</v>
      </c>
    </row>
    <row r="94" spans="1:14" x14ac:dyDescent="0.35">
      <c r="A94" s="122" t="s">
        <v>69</v>
      </c>
    </row>
    <row r="95" spans="1:14" x14ac:dyDescent="0.35">
      <c r="A95" s="122" t="s">
        <v>70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3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1.85</v>
      </c>
      <c r="C6" s="147">
        <f ca="1">IF(OR('Données projet'!B9="",'Données projet'!C9="",'Données projet'!C9=0%),0,Calculateur!S3)</f>
        <v>323.20040177531774</v>
      </c>
      <c r="D6" s="147">
        <f>IF(OR('Données projet'!B9="",'Données projet'!C9="",'Données projet'!C9=0%),0,Calculateur!T3)</f>
        <v>402.87981443974337</v>
      </c>
      <c r="E6" s="147">
        <f ca="1">MIN(C6,D6)</f>
        <v>323.20040177531774</v>
      </c>
      <c r="F6" s="147">
        <f ca="1">E6*B6</f>
        <v>597.92074328433785</v>
      </c>
      <c r="G6" s="147">
        <f ca="1">F6*(100%-'Données projet'!$C$24)*(100%-'Données projet'!$C$25)*(100%-'Données projet'!$C$26)*(100%-'Données projet'!$C$27)</f>
        <v>457.40936861251851</v>
      </c>
      <c r="H6" s="148">
        <f>IF(OR('Données projet'!B9="",'Données projet'!C9="",'Données projet'!C9=0%),0,AVERAGE(Calculateur!$AC$3:$AC$33)*B6)</f>
        <v>24.085044747481501</v>
      </c>
      <c r="I6" s="149">
        <f>H6*(100%-'Données projet'!$C$24)*(100%-'Données projet'!$C$25)*(100%-'Données projet'!$C$26)*(100%-'Données projet'!$C$27)</f>
        <v>18.425059231823347</v>
      </c>
      <c r="J6" s="150">
        <f>IF(OR('Données projet'!B9="",'Données projet'!C9="",'Données projet'!C9=0%),0,SUM(Calculateur!$V$3:$V$33)*VLOOKUP('Données projet'!$B$9,Paramètres!$A$1:$I$89,9,0)*B6)</f>
        <v>158.80485384615386</v>
      </c>
      <c r="K6" s="151">
        <f>J6*(100%-'Données projet'!$C$24)*(100%-'Données projet'!$C$25)*(100%-'Données projet'!$C$26)*(100%-'Données projet'!$C$27)</f>
        <v>121.4857131923077</v>
      </c>
      <c r="L6" s="152">
        <f ca="1">G6+I6+K6</f>
        <v>597.3201410366496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laricio</v>
      </c>
      <c r="B7" s="154">
        <f>'Données projet'!D10</f>
        <v>2</v>
      </c>
      <c r="C7" s="147">
        <f ca="1">IF(OR('Données projet'!B10="",'Données projet'!C10="",'Données projet'!C10=0%),0,Calculateur!AN3)</f>
        <v>355.09162485318728</v>
      </c>
      <c r="D7" s="147">
        <f>IF(OR('Données projet'!B10="",'Données projet'!C10="",'Données projet'!C10=0%),0,Calculateur!AO3)</f>
        <v>320.06572891923685</v>
      </c>
      <c r="E7" s="147">
        <f t="shared" ref="E7:E15" ca="1" si="0">MIN(C7,D7)</f>
        <v>320.06572891923685</v>
      </c>
      <c r="F7" s="147">
        <f t="shared" ref="F7:F15" ca="1" si="1">E7*B7</f>
        <v>640.13145783847369</v>
      </c>
      <c r="G7" s="147">
        <f ca="1">F7*(100%-'Données projet'!$C$24)*(100%-'Données projet'!$C$25)*(100%-'Données projet'!$C$26)*(100%-'Données projet'!$C$27)</f>
        <v>489.7005652464324</v>
      </c>
      <c r="H7" s="155">
        <f>IF(OR('Données projet'!B10="",'Données projet'!C10="",'Données projet'!C10=0%),0,AVERAGE(Calculateur!$AX$3:$AX$33)*B7)</f>
        <v>16.663590778530512</v>
      </c>
      <c r="I7" s="149">
        <f>H7*(100%-'Données projet'!$C$24)*(100%-'Données projet'!$C$25)*(100%-'Données projet'!$C$26)*(100%-'Données projet'!$C$27)</f>
        <v>12.747646945575843</v>
      </c>
      <c r="J7" s="150">
        <f>IF(OR('Données projet'!B10="",'Données projet'!C10="",'Données projet'!C10=0%),0,SUM(Calculateur!$AQ$3:$AQ$33)*VLOOKUP('Données projet'!$B$10,Paramètres!$A$1:$I$89,9,0)*B7)</f>
        <v>122.82784615384614</v>
      </c>
      <c r="K7" s="151">
        <f>J7*(100%-'Données projet'!$C$24)*(100%-'Données projet'!$C$25)*(100%-'Données projet'!$C$26)*(100%-'Données projet'!$C$27)</f>
        <v>93.963302307692288</v>
      </c>
      <c r="L7" s="152">
        <f t="shared" ref="L7:L15" ca="1" si="2">G7+I7+K7</f>
        <v>596.41151449970062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pubescent</v>
      </c>
      <c r="B8" s="154">
        <f>'Données projet'!D11</f>
        <v>1.1500000000000001</v>
      </c>
      <c r="C8" s="147">
        <f ca="1">IF(OR('Données projet'!B11="",'Données projet'!C11="",'Données projet'!C11=0%),0,Calculateur!BI3)</f>
        <v>425.47148407510412</v>
      </c>
      <c r="D8" s="147">
        <f>IF(OR('Données projet'!B11="",'Données projet'!C11="",'Données projet'!C11=0%),0,Calculateur!BJ3)</f>
        <v>308.54448799922471</v>
      </c>
      <c r="E8" s="147">
        <f t="shared" ca="1" si="0"/>
        <v>308.54448799922471</v>
      </c>
      <c r="F8" s="147">
        <f t="shared" ca="1" si="1"/>
        <v>354.82616119910847</v>
      </c>
      <c r="G8" s="147">
        <f ca="1">F8*(100%-'Données projet'!$C$24)*(100%-'Données projet'!$C$25)*(100%-'Données projet'!$C$26)*(100%-'Données projet'!$C$27)</f>
        <v>271.44201331731796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271.44201331731796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1592.8783623219201</v>
      </c>
      <c r="G16" s="166">
        <f t="shared" ca="1" si="3"/>
        <v>1218.5519471762689</v>
      </c>
      <c r="H16" s="167">
        <f t="shared" si="3"/>
        <v>40.748635526012009</v>
      </c>
      <c r="I16" s="167">
        <f t="shared" si="3"/>
        <v>31.172706177399192</v>
      </c>
      <c r="J16" s="168">
        <f t="shared" si="3"/>
        <v>281.6327</v>
      </c>
      <c r="K16" s="168">
        <f t="shared" si="3"/>
        <v>215.44901549999997</v>
      </c>
      <c r="L16" s="169">
        <f t="shared" ca="1" si="3"/>
        <v>1465.1736688536682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zoomScale="80" zoomScaleNormal="80" workbookViewId="0">
      <selection activeCell="Q20" sqref="Q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292</v>
      </c>
      <c r="I4" s="258"/>
      <c r="K4" s="300" t="s">
        <v>293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53</v>
      </c>
      <c r="O7" s="247"/>
      <c r="P7" s="248"/>
      <c r="Q7" s="249"/>
      <c r="R7" s="292" t="s">
        <v>294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3657.3484574178765</v>
      </c>
      <c r="U10" s="178">
        <f>'Données projet'!D9</f>
        <v>1.85</v>
      </c>
      <c r="V10" s="177">
        <f>U10*T10</f>
        <v>6766.0946462230722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1217.599080020394</v>
      </c>
      <c r="U11" s="178">
        <f>'Données projet'!D10</f>
        <v>2</v>
      </c>
      <c r="V11" s="177">
        <f t="shared" ref="V11" si="0">U11*T11</f>
        <v>2435.198160040788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1645.2338235710599</v>
      </c>
      <c r="U12" s="178">
        <f>'Données projet'!D11</f>
        <v>1.1500000000000001</v>
      </c>
      <c r="V12" s="177">
        <f t="shared" ref="V12:V19" si="1">U12*T12</f>
        <v>1892.0188971067191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72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44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303"/>
      <c r="H16" s="190"/>
      <c r="I16" s="191"/>
      <c r="J16" s="202"/>
      <c r="K16" s="208"/>
      <c r="L16" s="300" t="s">
        <v>311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193</v>
      </c>
      <c r="C17" s="198" t="s">
        <v>193</v>
      </c>
      <c r="D17" s="197" t="s">
        <v>193</v>
      </c>
      <c r="E17" s="193"/>
      <c r="F17" s="230"/>
      <c r="G17" s="303"/>
      <c r="J17" s="202"/>
      <c r="K17" s="208"/>
      <c r="L17" s="260" t="s">
        <v>312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193</v>
      </c>
      <c r="C18" s="198" t="s">
        <v>193</v>
      </c>
      <c r="D18" s="197" t="s">
        <v>193</v>
      </c>
      <c r="E18" s="193"/>
      <c r="F18" s="230"/>
      <c r="G18" s="303"/>
      <c r="J18" s="202"/>
      <c r="K18" s="208"/>
      <c r="L18" s="260" t="s">
        <v>308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193</v>
      </c>
      <c r="C19" s="198" t="s">
        <v>193</v>
      </c>
      <c r="D19" s="197" t="s">
        <v>193</v>
      </c>
      <c r="E19" s="193"/>
      <c r="F19" s="230"/>
      <c r="G19" s="303"/>
      <c r="H19" s="212" t="s">
        <v>72</v>
      </c>
      <c r="I19" s="212" t="s">
        <v>313</v>
      </c>
      <c r="J19" s="93"/>
      <c r="K19" s="173"/>
      <c r="L19" s="300" t="s">
        <v>314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193</v>
      </c>
      <c r="C20" s="198" t="s">
        <v>193</v>
      </c>
      <c r="D20" s="197" t="s">
        <v>193</v>
      </c>
      <c r="E20" s="193"/>
      <c r="F20" s="230"/>
      <c r="G20" s="303"/>
      <c r="H20" s="190">
        <v>1</v>
      </c>
      <c r="I20" s="191">
        <v>4000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193</v>
      </c>
      <c r="C21" s="198" t="s">
        <v>193</v>
      </c>
      <c r="D21" s="197" t="s">
        <v>193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193</v>
      </c>
      <c r="C22" s="198" t="s">
        <v>193</v>
      </c>
      <c r="D22" s="197" t="s">
        <v>193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15</v>
      </c>
      <c r="B23" s="181">
        <f>'Données projet'!D36</f>
        <v>49.784615384615385</v>
      </c>
      <c r="C23" s="193">
        <v>10</v>
      </c>
      <c r="D23" s="182">
        <f>B23*C23</f>
        <v>497.84615384615387</v>
      </c>
      <c r="E23" s="193">
        <v>150</v>
      </c>
      <c r="F23" s="230"/>
      <c r="H23" s="190"/>
      <c r="I23" s="191"/>
      <c r="K23" s="208"/>
      <c r="L23" s="302" t="s">
        <v>315</v>
      </c>
      <c r="M23" s="302"/>
      <c r="N23" s="302"/>
      <c r="O23" s="23"/>
      <c r="P23" s="23"/>
      <c r="Q23" s="234"/>
      <c r="R23" s="23"/>
      <c r="S23" s="36" t="s">
        <v>316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-8045.4442774906674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20</v>
      </c>
      <c r="B24" s="181">
        <f>'Données projet'!D37</f>
        <v>48.723076923076924</v>
      </c>
      <c r="C24" s="193">
        <v>18</v>
      </c>
      <c r="D24" s="182">
        <f t="shared" ref="D24:D42" si="2">B24*C24</f>
        <v>877.01538461538462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26</v>
      </c>
      <c r="B25" s="181">
        <f>'Données projet'!D38</f>
        <v>46.984615384615381</v>
      </c>
      <c r="C25" s="193">
        <v>25</v>
      </c>
      <c r="D25" s="182">
        <f t="shared" si="2"/>
        <v>1174.6153846153845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299">
        <f ca="1">T23-T24</f>
        <v>-8045.4442774906674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30</v>
      </c>
      <c r="B26" s="181">
        <f>'Données projet'!D39</f>
        <v>0</v>
      </c>
      <c r="C26" s="193">
        <v>25</v>
      </c>
      <c r="D26" s="182">
        <f t="shared" si="2"/>
        <v>0</v>
      </c>
      <c r="E26" s="193">
        <v>150</v>
      </c>
      <c r="F26" s="233"/>
      <c r="G26" s="229"/>
      <c r="H26" s="190"/>
      <c r="I26" s="191"/>
      <c r="K26" s="208"/>
      <c r="L26" s="286" t="s">
        <v>320</v>
      </c>
      <c r="M26" s="287"/>
      <c r="N26" s="287"/>
      <c r="O26" s="287"/>
      <c r="P26" s="288"/>
      <c r="Q26" s="234"/>
      <c r="R26" s="23"/>
      <c r="S26" s="186" t="s">
        <v>321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32</v>
      </c>
      <c r="B27" s="181">
        <f>'Données projet'!D40</f>
        <v>64.523076923076914</v>
      </c>
      <c r="C27" s="193">
        <v>35</v>
      </c>
      <c r="D27" s="182">
        <f t="shared" si="2"/>
        <v>2258.3076923076919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322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40</v>
      </c>
      <c r="B28" s="181">
        <f>'Données projet'!D41</f>
        <v>92.661538461538456</v>
      </c>
      <c r="C28" s="193">
        <v>35</v>
      </c>
      <c r="D28" s="182">
        <f t="shared" si="2"/>
        <v>3243.1538461538457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48</v>
      </c>
      <c r="B29" s="181">
        <f>'Données projet'!D42</f>
        <v>83.969230769230762</v>
      </c>
      <c r="C29" s="193">
        <v>35</v>
      </c>
      <c r="D29" s="182">
        <f t="shared" si="2"/>
        <v>2938.9230769230767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56</v>
      </c>
      <c r="B30" s="181">
        <f>'Données projet'!D43</f>
        <v>446.47692307692301</v>
      </c>
      <c r="C30" s="193">
        <v>40</v>
      </c>
      <c r="D30" s="182">
        <f t="shared" si="2"/>
        <v>17859.076923076922</v>
      </c>
      <c r="E30" s="193">
        <v>150</v>
      </c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72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17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44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193</v>
      </c>
      <c r="C48" s="198" t="s">
        <v>193</v>
      </c>
      <c r="D48" s="197" t="s">
        <v>193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193</v>
      </c>
      <c r="C49" s="198" t="s">
        <v>193</v>
      </c>
      <c r="D49" s="197" t="s">
        <v>193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193</v>
      </c>
      <c r="C50" s="198" t="s">
        <v>193</v>
      </c>
      <c r="D50" s="197" t="s">
        <v>193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193</v>
      </c>
      <c r="C51" s="198" t="s">
        <v>193</v>
      </c>
      <c r="D51" s="197" t="s">
        <v>193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193</v>
      </c>
      <c r="C52" s="198" t="s">
        <v>193</v>
      </c>
      <c r="D52" s="197" t="s">
        <v>193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193</v>
      </c>
      <c r="C53" s="198" t="s">
        <v>193</v>
      </c>
      <c r="D53" s="197" t="s">
        <v>193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19</v>
      </c>
      <c r="B54" s="181">
        <f>'Données projet'!D62</f>
        <v>46.53846153846154</v>
      </c>
      <c r="C54" s="191">
        <v>10</v>
      </c>
      <c r="D54" s="179">
        <f>B54*C54</f>
        <v>465.38461538461542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24</v>
      </c>
      <c r="B55" s="181">
        <f>'Données projet'!D63</f>
        <v>40.41538461538461</v>
      </c>
      <c r="C55" s="191">
        <v>10</v>
      </c>
      <c r="D55" s="179">
        <f t="shared" ref="D55:D73" si="4">B55*C55</f>
        <v>404.15384615384608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55.869230769230761</v>
      </c>
      <c r="C56" s="191">
        <v>10</v>
      </c>
      <c r="D56" s="179">
        <f t="shared" si="4"/>
        <v>558.69230769230762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37</v>
      </c>
      <c r="B57" s="181">
        <f>'Données projet'!D65</f>
        <v>43.623076923076923</v>
      </c>
      <c r="C57" s="191">
        <v>15</v>
      </c>
      <c r="D57" s="179">
        <f t="shared" si="4"/>
        <v>654.34615384615381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46</v>
      </c>
      <c r="B58" s="181">
        <f>'Données projet'!D66</f>
        <v>72.561538461538461</v>
      </c>
      <c r="C58" s="191">
        <v>25</v>
      </c>
      <c r="D58" s="179">
        <f t="shared" si="4"/>
        <v>1814.0384615384614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60.092307692307692</v>
      </c>
      <c r="C59" s="191">
        <v>25</v>
      </c>
      <c r="D59" s="179">
        <f t="shared" si="4"/>
        <v>1502.3076923076924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66</v>
      </c>
      <c r="B60" s="181">
        <f>'Données projet'!D68</f>
        <v>68.146153846153851</v>
      </c>
      <c r="C60" s="191">
        <v>25</v>
      </c>
      <c r="D60" s="179">
        <f t="shared" si="4"/>
        <v>1703.6538461538462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76</v>
      </c>
      <c r="B61" s="181">
        <f>'Données projet'!D69</f>
        <v>520.22307692307686</v>
      </c>
      <c r="C61" s="191">
        <v>25</v>
      </c>
      <c r="D61" s="179">
        <f t="shared" si="4"/>
        <v>13005.576923076922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18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44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193</v>
      </c>
      <c r="C79" s="198" t="s">
        <v>193</v>
      </c>
      <c r="D79" s="197" t="s">
        <v>193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193</v>
      </c>
      <c r="C80" s="198" t="s">
        <v>193</v>
      </c>
      <c r="D80" s="197" t="s">
        <v>193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193</v>
      </c>
      <c r="C81" s="198" t="s">
        <v>193</v>
      </c>
      <c r="D81" s="197" t="s">
        <v>193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193</v>
      </c>
      <c r="C82" s="198" t="s">
        <v>193</v>
      </c>
      <c r="D82" s="197" t="s">
        <v>193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193</v>
      </c>
      <c r="C83" s="198" t="s">
        <v>193</v>
      </c>
      <c r="D83" s="197" t="s">
        <v>193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193</v>
      </c>
      <c r="C84" s="198" t="s">
        <v>193</v>
      </c>
      <c r="D84" s="197" t="s">
        <v>193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35</v>
      </c>
      <c r="B86" s="181">
        <f>'Données projet'!D89</f>
        <v>60.602564102564102</v>
      </c>
      <c r="C86" s="191">
        <v>10</v>
      </c>
      <c r="D86" s="179">
        <f t="shared" ref="D86:D104" si="6">B86*C86</f>
        <v>606.02564102564099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41</v>
      </c>
      <c r="B87" s="181">
        <f>'Données projet'!D90</f>
        <v>38.512820512820511</v>
      </c>
      <c r="C87" s="191">
        <v>10</v>
      </c>
      <c r="D87" s="179">
        <f t="shared" si="6"/>
        <v>385.12820512820508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48</v>
      </c>
      <c r="B88" s="181">
        <f>'Données projet'!D91</f>
        <v>48.025641025641022</v>
      </c>
      <c r="C88" s="191">
        <v>50</v>
      </c>
      <c r="D88" s="179">
        <f t="shared" si="6"/>
        <v>2401.2820512820513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55</v>
      </c>
      <c r="B89" s="181">
        <f>'Données projet'!D92</f>
        <v>45.147435897435898</v>
      </c>
      <c r="C89" s="191">
        <v>50</v>
      </c>
      <c r="D89" s="179">
        <f t="shared" si="6"/>
        <v>2257.3717948717949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63</v>
      </c>
      <c r="B90" s="181">
        <f>'Données projet'!D93</f>
        <v>41.724358974358978</v>
      </c>
      <c r="C90" s="191">
        <v>50</v>
      </c>
      <c r="D90" s="179">
        <f t="shared" si="6"/>
        <v>2086.2179487179487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str">
        <f>IF(O89+1&lt;=MIN('Données projet'!$E$9:$E$18),O89+1,"STOP")</f>
        <v>STOP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71</v>
      </c>
      <c r="B91" s="181">
        <f>'Données projet'!D94</f>
        <v>39.935897435897431</v>
      </c>
      <c r="C91" s="191">
        <v>100</v>
      </c>
      <c r="D91" s="179">
        <f t="shared" si="6"/>
        <v>3993.5897435897432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80</v>
      </c>
      <c r="B92" s="181">
        <f>'Données projet'!D95</f>
        <v>45.608974358974358</v>
      </c>
      <c r="C92" s="191">
        <v>100</v>
      </c>
      <c r="D92" s="179">
        <f t="shared" si="6"/>
        <v>4560.8974358974356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89</v>
      </c>
      <c r="B93" s="181">
        <f>'Données projet'!D96</f>
        <v>49.391025641025635</v>
      </c>
      <c r="C93" s="191">
        <v>150</v>
      </c>
      <c r="D93" s="179">
        <f t="shared" si="6"/>
        <v>7408.6538461538457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99</v>
      </c>
      <c r="B94" s="181">
        <f>'Données projet'!D97</f>
        <v>48.019230769230766</v>
      </c>
      <c r="C94" s="191">
        <v>150</v>
      </c>
      <c r="D94" s="179">
        <f t="shared" si="6"/>
        <v>7202.8846153846152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109</v>
      </c>
      <c r="B95" s="181">
        <f>'Données projet'!D98</f>
        <v>51.28846153846154</v>
      </c>
      <c r="C95" s="191">
        <v>150</v>
      </c>
      <c r="D95" s="179">
        <f t="shared" si="6"/>
        <v>7693.2692307692314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119</v>
      </c>
      <c r="B96" s="181">
        <f>'Données projet'!D99</f>
        <v>150.02564102564102</v>
      </c>
      <c r="C96" s="191">
        <v>200</v>
      </c>
      <c r="D96" s="179">
        <f t="shared" si="6"/>
        <v>30005.128205128203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123</v>
      </c>
      <c r="B97" s="181">
        <f>'Données projet'!D100</f>
        <v>77.17307692307692</v>
      </c>
      <c r="C97" s="191">
        <v>200</v>
      </c>
      <c r="D97" s="179">
        <f t="shared" si="6"/>
        <v>15434.615384615385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127</v>
      </c>
      <c r="B98" s="181">
        <f>'Données projet'!D101</f>
        <v>49.916666666666671</v>
      </c>
      <c r="C98" s="191">
        <v>200</v>
      </c>
      <c r="D98" s="179">
        <f t="shared" si="6"/>
        <v>9983.3333333333339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131</v>
      </c>
      <c r="B99" s="181">
        <f>'Données projet'!D102</f>
        <v>110.91025641025641</v>
      </c>
      <c r="C99" s="191">
        <v>200</v>
      </c>
      <c r="D99" s="179">
        <f t="shared" si="6"/>
        <v>22182.051282051281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19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44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193</v>
      </c>
      <c r="C110" s="198" t="s">
        <v>193</v>
      </c>
      <c r="D110" s="197" t="s">
        <v>193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193</v>
      </c>
      <c r="C111" s="198" t="s">
        <v>193</v>
      </c>
      <c r="D111" s="197" t="s">
        <v>193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193</v>
      </c>
      <c r="C112" s="198" t="s">
        <v>193</v>
      </c>
      <c r="D112" s="197" t="s">
        <v>193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193</v>
      </c>
      <c r="C113" s="198" t="s">
        <v>193</v>
      </c>
      <c r="D113" s="197" t="s">
        <v>193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193</v>
      </c>
      <c r="C114" s="198" t="s">
        <v>193</v>
      </c>
      <c r="D114" s="197" t="s">
        <v>193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193</v>
      </c>
      <c r="C115" s="198" t="s">
        <v>193</v>
      </c>
      <c r="D115" s="197" t="s">
        <v>193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20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44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193</v>
      </c>
      <c r="C141" s="198" t="s">
        <v>193</v>
      </c>
      <c r="D141" s="197" t="s">
        <v>193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193</v>
      </c>
      <c r="C142" s="198" t="s">
        <v>193</v>
      </c>
      <c r="D142" s="197" t="s">
        <v>193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193</v>
      </c>
      <c r="C143" s="198" t="s">
        <v>193</v>
      </c>
      <c r="D143" s="197" t="s">
        <v>193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193</v>
      </c>
      <c r="C144" s="198" t="s">
        <v>193</v>
      </c>
      <c r="D144" s="197" t="s">
        <v>193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193</v>
      </c>
      <c r="C145" s="198" t="s">
        <v>193</v>
      </c>
      <c r="D145" s="197" t="s">
        <v>193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193</v>
      </c>
      <c r="C146" s="198" t="s">
        <v>193</v>
      </c>
      <c r="D146" s="197" t="s">
        <v>193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21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44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193</v>
      </c>
      <c r="C172" s="198" t="s">
        <v>193</v>
      </c>
      <c r="D172" s="197" t="s">
        <v>193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193</v>
      </c>
      <c r="C173" s="198" t="s">
        <v>193</v>
      </c>
      <c r="D173" s="197" t="s">
        <v>193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193</v>
      </c>
      <c r="C174" s="198" t="s">
        <v>193</v>
      </c>
      <c r="D174" s="197" t="s">
        <v>193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193</v>
      </c>
      <c r="C175" s="198" t="s">
        <v>193</v>
      </c>
      <c r="D175" s="197" t="s">
        <v>193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193</v>
      </c>
      <c r="C176" s="198" t="s">
        <v>193</v>
      </c>
      <c r="D176" s="197" t="s">
        <v>193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193</v>
      </c>
      <c r="C177" s="198" t="s">
        <v>193</v>
      </c>
      <c r="D177" s="197" t="s">
        <v>193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22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44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193</v>
      </c>
      <c r="C203" s="198" t="s">
        <v>193</v>
      </c>
      <c r="D203" s="197" t="s">
        <v>193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193</v>
      </c>
      <c r="C204" s="198" t="s">
        <v>193</v>
      </c>
      <c r="D204" s="197" t="s">
        <v>193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193</v>
      </c>
      <c r="C205" s="198" t="s">
        <v>193</v>
      </c>
      <c r="D205" s="197" t="s">
        <v>193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193</v>
      </c>
      <c r="C206" s="198" t="s">
        <v>193</v>
      </c>
      <c r="D206" s="197" t="s">
        <v>193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193</v>
      </c>
      <c r="C207" s="198" t="s">
        <v>193</v>
      </c>
      <c r="D207" s="197" t="s">
        <v>193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193</v>
      </c>
      <c r="C208" s="198" t="s">
        <v>193</v>
      </c>
      <c r="D208" s="197" t="s">
        <v>193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23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44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193</v>
      </c>
      <c r="C234" s="198" t="s">
        <v>193</v>
      </c>
      <c r="D234" s="197" t="s">
        <v>193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193</v>
      </c>
      <c r="C235" s="198" t="s">
        <v>193</v>
      </c>
      <c r="D235" s="197" t="s">
        <v>193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193</v>
      </c>
      <c r="C236" s="198" t="s">
        <v>193</v>
      </c>
      <c r="D236" s="197" t="s">
        <v>193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193</v>
      </c>
      <c r="C237" s="198" t="s">
        <v>193</v>
      </c>
      <c r="D237" s="197" t="s">
        <v>193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193</v>
      </c>
      <c r="C238" s="198" t="s">
        <v>193</v>
      </c>
      <c r="D238" s="197" t="s">
        <v>193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193</v>
      </c>
      <c r="C239" s="198" t="s">
        <v>193</v>
      </c>
      <c r="D239" s="197" t="s">
        <v>193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24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44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193</v>
      </c>
      <c r="C265" s="198" t="s">
        <v>193</v>
      </c>
      <c r="D265" s="197" t="s">
        <v>193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193</v>
      </c>
      <c r="C266" s="198" t="s">
        <v>193</v>
      </c>
      <c r="D266" s="197" t="s">
        <v>193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193</v>
      </c>
      <c r="C267" s="198" t="s">
        <v>193</v>
      </c>
      <c r="D267" s="197" t="s">
        <v>193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193</v>
      </c>
      <c r="C268" s="198" t="s">
        <v>193</v>
      </c>
      <c r="D268" s="197" t="s">
        <v>193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193</v>
      </c>
      <c r="C269" s="198" t="s">
        <v>193</v>
      </c>
      <c r="D269" s="197" t="s">
        <v>193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193</v>
      </c>
      <c r="C270" s="198" t="s">
        <v>193</v>
      </c>
      <c r="D270" s="197" t="s">
        <v>193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25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44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193</v>
      </c>
      <c r="C296" s="198" t="s">
        <v>193</v>
      </c>
      <c r="D296" s="197" t="s">
        <v>193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193</v>
      </c>
      <c r="C297" s="198" t="s">
        <v>193</v>
      </c>
      <c r="D297" s="197" t="s">
        <v>193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193</v>
      </c>
      <c r="C298" s="198" t="s">
        <v>193</v>
      </c>
      <c r="D298" s="197" t="s">
        <v>193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193</v>
      </c>
      <c r="C299" s="198" t="s">
        <v>193</v>
      </c>
      <c r="D299" s="197" t="s">
        <v>193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193</v>
      </c>
      <c r="C300" s="198" t="s">
        <v>193</v>
      </c>
      <c r="D300" s="197" t="s">
        <v>193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193</v>
      </c>
      <c r="C301" s="198" t="s">
        <v>193</v>
      </c>
      <c r="D301" s="197" t="s">
        <v>193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8DD47451-53A2-495B-BACB-17906CADC9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DA67B0-4D1F-4B46-997B-DE54971E0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5FA4DC-1DF0-45FE-8E60-10AFB0CCCDAE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Nesrine Ahmed Tounsi</cp:lastModifiedBy>
  <cp:revision/>
  <dcterms:created xsi:type="dcterms:W3CDTF">2021-02-01T08:22:39Z</dcterms:created>
  <dcterms:modified xsi:type="dcterms:W3CDTF">2025-06-20T09:50:41Z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