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4 - STOCKEURS/02-FORET-VERGERS/2-NOTIFIE/381-B-AUDEVAL-GES(08)-BORNE-Chatry-VauxVillaines&amp;Neufmaison-4,15ha/"/>
    </mc:Choice>
  </mc:AlternateContent>
  <xr:revisionPtr revIDLastSave="0" documentId="13_ncr:1_{491FE0A2-5028-AA40-B712-887D3A9E742A}" xr6:coauthVersionLast="47" xr6:coauthVersionMax="47" xr10:uidLastSave="{00000000-0000-0000-0000-000000000000}"/>
  <bookViews>
    <workbookView xWindow="-10680" yWindow="-28300" windowWidth="27180" windowHeight="283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104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W20" i="2"/>
  <c r="EV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HG38" i="2"/>
  <c r="EA38" i="2"/>
  <c r="HH38" i="2"/>
  <c r="EX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EB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W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G140" i="2"/>
  <c r="EC140" i="2"/>
  <c r="FS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G150" i="2"/>
  <c r="FS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B154" i="2"/>
  <c r="HG154" i="2"/>
  <c r="HJ154" i="2" s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EA155" i="2"/>
  <c r="EW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H156" i="2" l="1"/>
  <c r="FS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EB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ED172" i="2" s="1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HH185" i="2"/>
  <c r="HG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R186" i="2"/>
  <c r="EW186" i="2"/>
  <c r="EA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B189" i="2" l="1"/>
  <c r="EV189" i="2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HH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HH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HH197" i="2"/>
  <c r="AA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EW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FS201" i="2" l="1"/>
  <c r="EB201" i="2"/>
  <c r="HG201" i="2"/>
  <c r="HH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W202" i="2" l="1"/>
  <c r="HH202" i="2"/>
  <c r="FR202" i="2"/>
  <c r="HG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56" i="2" l="1" a="1"/>
  <c r="DN56" i="2" s="1"/>
  <c r="DN155" i="2" a="1"/>
  <c r="DN155" i="2" s="1"/>
  <c r="FS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1" i="2" l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<sst xmlns="http://schemas.openxmlformats.org/spreadsheetml/2006/main" count="1171" uniqueCount="325">
  <si>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</si>
  <si>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</si>
  <si>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</si>
  <si>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</si>
  <si>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</si>
  <si>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</si>
  <si>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</si>
  <si>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</si>
  <si>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</si>
  <si>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</si>
  <si>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</si>
  <si>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</si>
  <si>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</si>
  <si>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</si>
  <si>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</si>
  <si>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</si>
  <si>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</si>
  <si>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</si>
  <si>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</si>
  <si>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</si>
  <si>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</si>
  <si>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</si>
  <si>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</si>
  <si>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</si>
  <si>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</si>
  <si>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</si>
  <si>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</si>
  <si>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</si>
  <si>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</si>
  <si>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</si>
  <si>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</si>
  <si>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</si>
  <si>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</si>
  <si>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</si>
  <si>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</si>
  <si>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</si>
  <si>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</si>
  <si>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</si>
  <si>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</si>
  <si>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</si>
  <si>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</si>
  <si>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</si>
  <si>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</si>
  <si>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</si>
  <si>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</si>
  <si>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</si>
  <si>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</si>
  <si>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</si>
  <si>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</si>
  <si>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</si>
  <si>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</si>
  <si>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</si>
  <si>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</si>
  <si>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</si>
  <si>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</si>
  <si>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</si>
  <si>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</si>
  <si>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</si>
  <si>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</si>
  <si>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</si>
  <si>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</si>
  <si>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</si>
  <si>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</si>
  <si>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</si>
  <si>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</si>
  <si>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</si>
  <si>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</si>
  <si>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</si>
  <si>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</si>
  <si>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</si>
  <si>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</si>
  <si>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</si>
  <si>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</si>
  <si>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</si>
  <si>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</si>
  <si>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</si>
  <si>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</si>
  <si>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</si>
  <si>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</si>
  <si>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</si>
  <si>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</si>
  <si>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</si>
  <si>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</si>
  <si>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</si>
  <si>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</si>
  <si>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</si>
  <si>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</si>
  <si>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</si>
  <si>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</si>
  <si>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</si>
  <si>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</si>
  <si>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</si>
  <si>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</si>
  <si>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</si>
  <si>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</si>
  <si>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</si>
  <si>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</si>
  <si>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</si>
  <si>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</si>
  <si>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</si>
  <si>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</si>
  <si>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</si>
  <si>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</si>
  <si>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</si>
  <si>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</si>
  <si>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</si>
  <si>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</si>
  <si>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</si>
  <si>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</si>
  <si>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</si>
  <si>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</si>
  <si>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</si>
  <si>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</si>
  <si>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</si>
  <si>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</si>
  <si>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</si>
  <si>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</si>
  <si>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</si>
  <si>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</si>
  <si>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</si>
  <si>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</si>
  <si>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</si>
  <si>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</si>
  <si>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</si>
  <si>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</si>
  <si>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</si>
  <si>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</si>
  <si>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</si>
  <si>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</si>
  <si>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</si>
  <si>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</si>
  <si>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</si>
  <si>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</si>
  <si>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</si>
  <si>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</si>
  <si>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</si>
  <si>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</si>
  <si>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</si>
  <si>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</si>
  <si>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</si>
  <si>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</si>
  <si>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</si>
  <si>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</si>
  <si>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</si>
  <si>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</si>
  <si>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</si>
  <si>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</si>
  <si>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</si>
  <si>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</si>
  <si>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</si>
  <si>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</si>
  <si>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</si>
  <si>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</si>
  <si>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</si>
  <si>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</si>
  <si>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</si>
  <si>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</si>
  <si>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</si>
  <si>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</si>
  <si>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</si>
  <si>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</si>
  <si>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</si>
  <si>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</si>
  <si>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</si>
  <si>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</si>
  <si>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</si>
  <si>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</si>
  <si>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</si>
  <si>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</si>
  <si>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</si>
  <si>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</si>
  <si>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</si>
  <si>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</si>
  <si>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</si>
  <si>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</si>
  <si>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</si>
  <si>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</si>
  <si>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</si>
  <si>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</si>
  <si>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</si>
  <si>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</si>
  <si>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</si>
  <si>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</si>
  <si>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</si>
  <si>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</si>
  <si>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</si>
  <si>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</si>
  <si>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</si>
  <si>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</si>
  <si>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</si>
  <si>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</si>
  <si>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</si>
  <si>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</si>
  <si>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</si>
  <si>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</si>
  <si>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</si>
  <si>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</si>
  <si>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</si>
  <si>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</si>
  <si>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</si>
  <si>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</si>
  <si>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</si>
  <si>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</si>
  <si>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</si>
  <si>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</si>
  <si>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</si>
  <si>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</si>
  <si>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</si>
  <si>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</si>
  <si>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</si>
  <si>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</si>
  <si>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</si>
  <si>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</si>
  <si>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</si>
  <si>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</si>
  <si>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</si>
  <si>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</si>
  <si>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</si>
  <si>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</si>
  <si>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</si>
  <si>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</si>
  <si>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</si>
  <si>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</si>
  <si>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</si>
  <si>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</si>
  <si>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</si>
  <si>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</si>
  <si>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</si>
  <si>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</si>
  <si>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</si>
  <si>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</si>
  <si>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</si>
  <si>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</si>
  <si>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</si>
  <si>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</si>
  <si>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</si>
  <si>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</si>
  <si>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</si>
  <si>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</si>
  <si>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</si>
  <si>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</si>
  <si>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</si>
  <si>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</si>
  <si>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</si>
  <si>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</si>
  <si>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</si>
  <si>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</si>
  <si>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</si>
  <si>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</si>
  <si>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</si>
  <si>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</si>
  <si>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</si>
  <si>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</si>
  <si>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</si>
  <si>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</si>
  <si>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</si>
  <si>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</si>
  <si>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</si>
  <si>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</si>
  <si>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</si>
  <si>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</si>
  <si>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</si>
  <si>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</si>
  <si>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</si>
  <si>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</si>
  <si>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</si>
  <si>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</si>
  <si>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</si>
  <si>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</si>
  <si>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</si>
  <si>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</si>
  <si>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</si>
  <si>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</si>
  <si>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</si>
  <si>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</si>
  <si>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</si>
  <si>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</si>
  <si>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</si>
  <si>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</si>
  <si>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</si>
  <si>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</si>
  <si>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</si>
  <si>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</si>
  <si>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</si>
  <si>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</si>
  <si>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</si>
  <si>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</si>
  <si>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</si>
  <si>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</si>
  <si>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</si>
  <si>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</si>
  <si>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</si>
  <si>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</si>
  <si>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</si>
  <si>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</si>
  <si>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</si>
  <si>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</si>
  <si>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</si>
  <si>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</si>
  <si>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</si>
  <si>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</si>
  <si>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</si>
  <si>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</si>
  <si>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</si>
  <si>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</si>
  <si>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</si>
  <si>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</si>
  <si>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</si>
  <si>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</si>
  <si>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</si>
  <si>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</si>
  <si>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</si>
  <si>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</si>
  <si>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</si>
  <si>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</si>
  <si>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</si>
  <si>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</si>
  <si>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</si>
  <si>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</si>
  <si>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</si>
  <si>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</si>
  <si>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</si>
  <si>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</si>
  <si>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</si>
  <si>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Table ONF National - Classe 1 (1/2/3) Forte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</si>
</sst>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</c:v>
                </c:pt>
                <c:pt idx="32">
                  <c:v>380.4892939371228</c:v>
                </c:pt>
                <c:pt idx="33">
                  <c:v>407.72413216850492</c:v>
                </c:pt>
                <c:pt idx="34">
                  <c:v>434.91968079517761</c:v>
                </c:pt>
                <c:pt idx="35">
                  <c:v>462.07873925701455</c:v>
                </c:pt>
                <c:pt idx="36">
                  <c:v>489.20375134717227</c:v>
                </c:pt>
                <c:pt idx="37">
                  <c:v>433.59961838636008</c:v>
                </c:pt>
                <c:pt idx="38">
                  <c:v>460.20839311111894</c:v>
                </c:pt>
                <c:pt idx="39">
                  <c:v>486.78434108389047</c:v>
                </c:pt>
                <c:pt idx="40">
                  <c:v>513.32950438861201</c:v>
                </c:pt>
                <c:pt idx="41">
                  <c:v>539.84569689767909</c:v>
                </c:pt>
                <c:pt idx="42">
                  <c:v>566.33453995655486</c:v>
                </c:pt>
                <c:pt idx="43">
                  <c:v>505.12943761341859</c:v>
                </c:pt>
                <c:pt idx="44">
                  <c:v>530.71596265986329</c:v>
                </c:pt>
                <c:pt idx="45">
                  <c:v>556.27653997817106</c:v>
                </c:pt>
                <c:pt idx="46">
                  <c:v>581.81252811346212</c:v>
                </c:pt>
                <c:pt idx="47">
                  <c:v>607.32515676835726</c:v>
                </c:pt>
                <c:pt idx="48">
                  <c:v>632.81554402908341</c:v>
                </c:pt>
                <c:pt idx="49">
                  <c:v>561.06523629540231</c:v>
                </c:pt>
                <c:pt idx="50">
                  <c:v>585.27746751979441</c:v>
                </c:pt>
                <c:pt idx="51">
                  <c:v>609.46883490395442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681.92681087155916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M57" sqref="M57:M58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3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18</v>
      </c>
      <c r="C9" s="35">
        <v>1</v>
      </c>
      <c r="D9" s="36">
        <f t="shared" ref="D9:D18" si="0">C9*$C$5</f>
        <v>3</v>
      </c>
      <c r="E9" s="37">
        <v>54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3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Douglas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4"/>
      <c r="J34" s="250" t="s">
        <v>324</v>
      </c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18</v>
      </c>
      <c r="B36" s="63">
        <v>182.89230769230767</v>
      </c>
      <c r="C36" s="63">
        <v>1</v>
      </c>
      <c r="D36" s="63">
        <v>69.284615384615378</v>
      </c>
      <c r="E36" s="54">
        <v>0</v>
      </c>
      <c r="F36" s="54">
        <v>0.2</v>
      </c>
      <c r="G36" s="54">
        <v>0.4</v>
      </c>
      <c r="H36" s="54">
        <v>0.4</v>
      </c>
      <c r="I36" s="52">
        <f>IFERROR(B36/A36,"")</f>
        <v>10.16068376068376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24</v>
      </c>
      <c r="B37" s="63">
        <v>237.56153846153845</v>
      </c>
      <c r="C37" s="63">
        <v>2</v>
      </c>
      <c r="D37" s="63">
        <v>42.661538461538463</v>
      </c>
      <c r="E37" s="54">
        <v>0</v>
      </c>
      <c r="F37" s="54">
        <v>0.4</v>
      </c>
      <c r="G37" s="54">
        <v>0.3</v>
      </c>
      <c r="H37" s="54">
        <v>0.3</v>
      </c>
      <c r="I37" s="56">
        <f t="shared" ref="I37:I55" si="1">IF(A37&lt;&gt;0,(B37-(B36-D36))/(A37-A36),"")</f>
        <v>20.658974358974358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30</v>
      </c>
      <c r="B38" s="63">
        <v>331.86923076923074</v>
      </c>
      <c r="C38" s="63">
        <v>3</v>
      </c>
      <c r="D38" s="63">
        <v>65.669230769230765</v>
      </c>
      <c r="E38" s="54">
        <v>0.2</v>
      </c>
      <c r="F38" s="54">
        <v>0.4</v>
      </c>
      <c r="G38" s="54">
        <v>0.2</v>
      </c>
      <c r="H38" s="54">
        <v>0.2</v>
      </c>
      <c r="I38" s="56">
        <f t="shared" si="1"/>
        <v>22.828205128205127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36</v>
      </c>
      <c r="B39" s="63">
        <v>403.50769230769225</v>
      </c>
      <c r="C39" s="63">
        <v>4</v>
      </c>
      <c r="D39" s="63">
        <v>69.3</v>
      </c>
      <c r="E39" s="54"/>
      <c r="F39" s="54"/>
      <c r="G39" s="54"/>
      <c r="H39" s="54"/>
      <c r="I39" s="52">
        <f t="shared" si="1"/>
        <v>22.884615384615376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42</v>
      </c>
      <c r="B40" s="63">
        <v>468.72307692307692</v>
      </c>
      <c r="C40" s="63">
        <v>5</v>
      </c>
      <c r="D40" s="63">
        <v>73.392307692307682</v>
      </c>
      <c r="E40" s="54"/>
      <c r="F40" s="54"/>
      <c r="G40" s="54"/>
      <c r="H40" s="54"/>
      <c r="I40" s="52">
        <f t="shared" si="1"/>
        <v>22.419230769230779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48</v>
      </c>
      <c r="B41" s="63">
        <v>525.0846153846154</v>
      </c>
      <c r="C41" s="63">
        <v>6</v>
      </c>
      <c r="D41" s="63">
        <v>81.330769230769235</v>
      </c>
      <c r="E41" s="54"/>
      <c r="F41" s="54"/>
      <c r="G41" s="54"/>
      <c r="H41" s="54"/>
      <c r="I41" s="56">
        <f t="shared" si="1"/>
        <v>21.625641025641027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54</v>
      </c>
      <c r="B42" s="63">
        <v>566.79999999999995</v>
      </c>
      <c r="C42" s="63">
        <v>7</v>
      </c>
      <c r="D42" s="63">
        <v>566.79999999999995</v>
      </c>
      <c r="E42" s="54"/>
      <c r="F42" s="54"/>
      <c r="G42" s="54"/>
      <c r="H42" s="54"/>
      <c r="I42" s="56">
        <f t="shared" si="1"/>
        <v>20.507692307692299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/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/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G13" sqref="G13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Douglas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/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/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335.04906256888819</v>
      </c>
      <c r="T3" s="62">
        <f>IF('Données projet'!E9&gt;30,$R$33-$H$33,LOOKUP('Données projet'!$E$9,$A$3:$A$203,R3:R203)-LOOKUP('Données projet'!$E$9,$A$3:$A$203,$H$3:$H$203))</f>
        <v>440.84111898279554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10.16068376068376</v>
      </c>
      <c r="N4" s="14">
        <f>IF('Données projet'!$A$36&gt;35,N3+M4-V3,IF(A4&lt;'Données projet'!$A$36,$K$205^A4,IF(A4='Données projet'!$A$36,'Données projet'!$B$36,N3+M4-V3)))</f>
        <v>1.3356034260773062</v>
      </c>
      <c r="O4" s="14">
        <f>N4*VLOOKUP('Données projet'!$B$9,Paramètres!$A$1:$I$89,3,0)*VLOOKUP('Données projet'!$B$9,Paramètres!$A$1:$I$89,5,0)</f>
        <v>0.7466023151772142</v>
      </c>
      <c r="P4" s="14">
        <f>EXP(-1.0587+0.8836*LN(O4)+0.284)</f>
        <v>0.35597032812689977</v>
      </c>
      <c r="Q4" s="22">
        <f t="shared" ref="Q4:Q34" si="2">(O4+P4)*0.475*44/12</f>
        <v>1.9203140204213316</v>
      </c>
      <c r="R4" s="62">
        <f t="shared" si="0"/>
        <v>259.80920290931022</v>
      </c>
      <c r="S4" s="62">
        <f ca="1">AVERAGE(OFFSET($R$3,0,0,'Données projet'!$E$9+1,1))-AVERAGE(OFFSET($H$3,0,0,'Données projet'!$E$9+1,1))</f>
        <v>335.04906256888819</v>
      </c>
      <c r="T4" s="62">
        <f>$T$3</f>
        <v>440.84111898279554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10.16068376068376</v>
      </c>
      <c r="N5" s="14">
        <f>IF('Données projet'!$A$36&gt;35,N4+M5-V4,IF(A5&lt;'Données projet'!$A$36,$K$205^A5,IF(A5='Données projet'!$A$36,'Données projet'!$B$36,N4+M5-V4)))</f>
        <v>1.7838365117494384</v>
      </c>
      <c r="O5" s="14">
        <f>N5*VLOOKUP('Données projet'!$B$9,Paramètres!$A$1:$I$89,3,0)*VLOOKUP('Données projet'!$B$9,Paramètres!$A$1:$I$89,5,0)</f>
        <v>0.99716461006793611</v>
      </c>
      <c r="P5" s="14">
        <f t="shared" ref="P5:P68" si="33">EXP(-1.0587+0.8836*LN(O5)+0.284)</f>
        <v>0.4596872513511342</v>
      </c>
      <c r="Q5" s="22">
        <f t="shared" si="2"/>
        <v>2.5373503253048804</v>
      </c>
      <c r="R5" s="62">
        <f t="shared" si="0"/>
        <v>261.64846143641603</v>
      </c>
      <c r="S5" s="62">
        <f ca="1">AVERAGE(OFFSET($R$3,0,0,'Données projet'!$E$9+1,1))-AVERAGE(OFFSET($H$3,0,0,'Données projet'!$E$9+1,1))</f>
        <v>335.04906256888819</v>
      </c>
      <c r="T5" s="62">
        <f t="shared" ref="T5:T68" si="34">$T$3</f>
        <v>440.84111898279554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10.16068376068376</v>
      </c>
      <c r="N6" s="14">
        <f>IF('Données projet'!$A$36&gt;35,N5+M6-V5,IF(A6&lt;'Données projet'!$A$36,$K$205^A6,IF(A6='Données projet'!$A$36,'Données projet'!$B$36,N5+M6-V5)))</f>
        <v>2.3824981566543406</v>
      </c>
      <c r="O6" s="14">
        <f>N6*VLOOKUP('Données projet'!$B$9,Paramètres!$A$1:$I$89,3,0)*VLOOKUP('Données projet'!$B$9,Paramètres!$A$1:$I$89,5,0)</f>
        <v>1.3318164695697763</v>
      </c>
      <c r="P6" s="14">
        <f t="shared" si="33"/>
        <v>0.59362354768914927</v>
      </c>
      <c r="Q6" s="22">
        <f t="shared" si="2"/>
        <v>3.3534746967259621</v>
      </c>
      <c r="R6" s="62">
        <f t="shared" si="0"/>
        <v>263.6868080300593</v>
      </c>
      <c r="S6" s="62">
        <f ca="1">AVERAGE(OFFSET($R$3,0,0,'Données projet'!$E$9+1,1))-AVERAGE(OFFSET($H$3,0,0,'Données projet'!$E$9+1,1))</f>
        <v>335.04906256888819</v>
      </c>
      <c r="T6" s="62">
        <f t="shared" si="34"/>
        <v>440.84111898279554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10.16068376068376</v>
      </c>
      <c r="N7" s="14">
        <f>IF('Données projet'!$A$36&gt;35,N6+M7-V6,IF(A7&lt;'Données projet'!$A$36,$K$205^A7,IF(A7='Données projet'!$A$36,'Données projet'!$B$36,N6+M7-V6)))</f>
        <v>3.1820727006504042</v>
      </c>
      <c r="O7" s="14">
        <f>N7*VLOOKUP('Données projet'!$B$9,Paramètres!$A$1:$I$89,3,0)*VLOOKUP('Données projet'!$B$9,Paramètres!$A$1:$I$89,5,0)</f>
        <v>1.7787786396635761</v>
      </c>
      <c r="P7" s="14">
        <f t="shared" si="33"/>
        <v>0.76658405325641277</v>
      </c>
      <c r="Q7" s="22">
        <f t="shared" si="2"/>
        <v>4.4331733568356464</v>
      </c>
      <c r="R7" s="62">
        <f t="shared" si="0"/>
        <v>265.9887289123912</v>
      </c>
      <c r="S7" s="62">
        <f ca="1">AVERAGE(OFFSET($R$3,0,0,'Données projet'!$E$9+1,1))-AVERAGE(OFFSET($H$3,0,0,'Données projet'!$E$9+1,1))</f>
        <v>335.04906256888819</v>
      </c>
      <c r="T7" s="62">
        <f t="shared" si="34"/>
        <v>440.84111898279554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10.16068376068376</v>
      </c>
      <c r="N8" s="14">
        <f>IF('Données projet'!$A$36&gt;35,N7+M8-V7,IF(A8&lt;'Données projet'!$A$36,$K$205^A8,IF(A8='Données projet'!$A$36,'Données projet'!$B$36,N7+M8-V7)))</f>
        <v>4.2499872010157462</v>
      </c>
      <c r="O8" s="14">
        <f>N8*VLOOKUP('Données projet'!$B$9,Paramètres!$A$1:$I$89,3,0)*VLOOKUP('Données projet'!$B$9,Paramètres!$A$1:$I$89,5,0)</f>
        <v>2.3757428453678022</v>
      </c>
      <c r="P8" s="14">
        <f t="shared" si="33"/>
        <v>0.98993901605593615</v>
      </c>
      <c r="Q8" s="22">
        <f t="shared" si="2"/>
        <v>5.8618959086463436</v>
      </c>
      <c r="R8" s="62">
        <f t="shared" si="0"/>
        <v>268.63967368642409</v>
      </c>
      <c r="S8" s="62">
        <f ca="1">AVERAGE(OFFSET($R$3,0,0,'Données projet'!$E$9+1,1))-AVERAGE(OFFSET($H$3,0,0,'Données projet'!$E$9+1,1))</f>
        <v>335.04906256888819</v>
      </c>
      <c r="T8" s="62">
        <f t="shared" si="34"/>
        <v>440.84111898279554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10.16068376068376</v>
      </c>
      <c r="N9" s="14">
        <f>IF('Données projet'!$A$36&gt;35,N8+M9-V8,IF(A9&lt;'Données projet'!$A$36,$K$205^A9,IF(A9='Données projet'!$A$36,'Données projet'!$B$36,N8+M9-V8)))</f>
        <v>5.6762974664613317</v>
      </c>
      <c r="O9" s="14">
        <f>N9*VLOOKUP('Données projet'!$B$9,Paramètres!$A$1:$I$89,3,0)*VLOOKUP('Données projet'!$B$9,Paramètres!$A$1:$I$89,5,0)</f>
        <v>3.1730502837518846</v>
      </c>
      <c r="P9" s="14">
        <f t="shared" si="33"/>
        <v>1.27837156453606</v>
      </c>
      <c r="Q9" s="22">
        <f t="shared" si="2"/>
        <v>7.7528930524348363</v>
      </c>
      <c r="R9" s="62">
        <f t="shared" si="0"/>
        <v>271.75289305243484</v>
      </c>
      <c r="S9" s="62">
        <f ca="1">AVERAGE(OFFSET($R$3,0,0,'Données projet'!$E$9+1,1))-AVERAGE(OFFSET($H$3,0,0,'Données projet'!$E$9+1,1))</f>
        <v>335.04906256888819</v>
      </c>
      <c r="T9" s="62">
        <f t="shared" si="34"/>
        <v>440.84111898279554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10.16068376068376</v>
      </c>
      <c r="N10" s="14">
        <f>IF('Données projet'!$A$36&gt;35,N9+M10-V9,IF(A10&lt;'Données projet'!$A$36,$K$205^A10,IF(A10='Données projet'!$A$36,'Données projet'!$B$36,N9+M10-V9)))</f>
        <v>7.5812823436396872</v>
      </c>
      <c r="O10" s="14">
        <f>N10*VLOOKUP('Données projet'!$B$9,Paramètres!$A$1:$I$89,3,0)*VLOOKUP('Données projet'!$B$9,Paramètres!$A$1:$I$89,5,0)</f>
        <v>4.2379368300945854</v>
      </c>
      <c r="P10" s="14">
        <f t="shared" si="33"/>
        <v>1.6508429615446465</v>
      </c>
      <c r="Q10" s="22">
        <f t="shared" si="2"/>
        <v>10.256291470438329</v>
      </c>
      <c r="R10" s="62">
        <f t="shared" si="0"/>
        <v>275.47851369266056</v>
      </c>
      <c r="S10" s="62">
        <f ca="1">AVERAGE(OFFSET($R$3,0,0,'Données projet'!$E$9+1,1))-AVERAGE(OFFSET($H$3,0,0,'Données projet'!$E$9+1,1))</f>
        <v>335.04906256888819</v>
      </c>
      <c r="T10" s="62">
        <f t="shared" si="34"/>
        <v>440.84111898279554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10.16068376068376</v>
      </c>
      <c r="N11" s="14">
        <f>IF('Données projet'!$A$36&gt;35,N10+M11-V10,IF(A11&lt;'Données projet'!$A$36,$K$205^A11,IF(A11='Données projet'!$A$36,'Données projet'!$B$36,N10+M11-V10)))</f>
        <v>10.125586672224557</v>
      </c>
      <c r="O11" s="14">
        <f>N11*VLOOKUP('Données projet'!$B$9,Paramètres!$A$1:$I$89,3,0)*VLOOKUP('Données projet'!$B$9,Paramètres!$A$1:$I$89,5,0)</f>
        <v>5.6602029497735273</v>
      </c>
      <c r="P11" s="14">
        <f t="shared" si="33"/>
        <v>2.1318390984944533</v>
      </c>
      <c r="Q11" s="22">
        <f t="shared" si="2"/>
        <v>13.571139900733398</v>
      </c>
      <c r="R11" s="62">
        <f t="shared" si="0"/>
        <v>280.01558434517784</v>
      </c>
      <c r="S11" s="62">
        <f ca="1">AVERAGE(OFFSET($R$3,0,0,'Données projet'!$E$9+1,1))-AVERAGE(OFFSET($H$3,0,0,'Données projet'!$E$9+1,1))</f>
        <v>335.04906256888819</v>
      </c>
      <c r="T11" s="62">
        <f t="shared" si="34"/>
        <v>440.84111898279554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10.16068376068376</v>
      </c>
      <c r="N12" s="14">
        <f>IF('Données projet'!$A$36&gt;35,N11+M12-V11,IF(A12&lt;'Données projet'!$A$36,$K$205^A12,IF(A12='Données projet'!$A$36,'Données projet'!$B$36,N11+M12-V11)))</f>
        <v>13.523768250465828</v>
      </c>
      <c r="O12" s="14">
        <f>N12*VLOOKUP('Données projet'!$B$9,Paramètres!$A$1:$I$89,3,0)*VLOOKUP('Données projet'!$B$9,Paramètres!$A$1:$I$89,5,0)</f>
        <v>7.5597864520103979</v>
      </c>
      <c r="P12" s="14">
        <f t="shared" si="33"/>
        <v>2.7529801730003816</v>
      </c>
      <c r="Q12" s="22">
        <f t="shared" si="2"/>
        <v>17.961401871893774</v>
      </c>
      <c r="R12" s="62">
        <f t="shared" si="0"/>
        <v>285.62806853856046</v>
      </c>
      <c r="S12" s="62">
        <f ca="1">AVERAGE(OFFSET($R$3,0,0,'Données projet'!$E$9+1,1))-AVERAGE(OFFSET($H$3,0,0,'Données projet'!$E$9+1,1))</f>
        <v>335.04906256888819</v>
      </c>
      <c r="T12" s="62">
        <f t="shared" si="34"/>
        <v>440.84111898279554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10.16068376068376</v>
      </c>
      <c r="N13" s="14">
        <f>IF('Données projet'!$A$36&gt;35,N12+M13-V12,IF(A13&lt;'Données projet'!$A$36,$K$205^A13,IF(A13='Données projet'!$A$36,'Données projet'!$B$36,N12+M13-V12)))</f>
        <v>18.062391208797656</v>
      </c>
      <c r="O13" s="14">
        <f>N13*VLOOKUP('Données projet'!$B$9,Paramètres!$A$1:$I$89,3,0)*VLOOKUP('Données projet'!$B$9,Paramètres!$A$1:$I$89,5,0)</f>
        <v>10.09687668571789</v>
      </c>
      <c r="P13" s="14">
        <f t="shared" si="33"/>
        <v>3.5550993685619052</v>
      </c>
      <c r="Q13" s="22">
        <f t="shared" si="2"/>
        <v>23.777191627870639</v>
      </c>
      <c r="R13" s="62">
        <f t="shared" si="0"/>
        <v>292.66608051675951</v>
      </c>
      <c r="S13" s="62">
        <f ca="1">AVERAGE(OFFSET($R$3,0,0,'Données projet'!$E$9+1,1))-AVERAGE(OFFSET($H$3,0,0,'Données projet'!$E$9+1,1))</f>
        <v>335.04906256888819</v>
      </c>
      <c r="T13" s="62">
        <f t="shared" si="34"/>
        <v>440.84111898279554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10.16068376068376</v>
      </c>
      <c r="N14" s="14">
        <f>IF('Données projet'!$A$36&gt;35,N13+M14-V13,IF(A14&lt;'Données projet'!$A$36,$K$205^A14,IF(A14='Données projet'!$A$36,'Données projet'!$B$36,N13+M14-V13)))</f>
        <v>24.124191581618767</v>
      </c>
      <c r="O14" s="14">
        <f>N14*VLOOKUP('Données projet'!$B$9,Paramètres!$A$1:$I$89,3,0)*VLOOKUP('Données projet'!$B$9,Paramètres!$A$1:$I$89,5,0)</f>
        <v>13.48542309412489</v>
      </c>
      <c r="P14" s="14">
        <f t="shared" si="33"/>
        <v>4.5909271865822117</v>
      </c>
      <c r="Q14" s="22">
        <f t="shared" si="2"/>
        <v>31.482976738898202</v>
      </c>
      <c r="R14" s="62">
        <f t="shared" si="0"/>
        <v>301.59408785000937</v>
      </c>
      <c r="S14" s="62">
        <f ca="1">AVERAGE(OFFSET($R$3,0,0,'Données projet'!$E$9+1,1))-AVERAGE(OFFSET($H$3,0,0,'Données projet'!$E$9+1,1))</f>
        <v>335.04906256888819</v>
      </c>
      <c r="T14" s="62">
        <f t="shared" si="34"/>
        <v>440.84111898279554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10.16068376068376</v>
      </c>
      <c r="N15" s="14">
        <f>IF('Données projet'!$A$36&gt;35,N14+M15-V14,IF(A15&lt;'Données projet'!$A$36,$K$205^A15,IF(A15='Données projet'!$A$36,'Données projet'!$B$36,N14+M15-V14)))</f>
        <v>32.220352927755336</v>
      </c>
      <c r="O15" s="14">
        <f>N15*VLOOKUP('Données projet'!$B$9,Paramètres!$A$1:$I$89,3,0)*VLOOKUP('Données projet'!$B$9,Paramètres!$A$1:$I$89,5,0)</f>
        <v>18.011177286615233</v>
      </c>
      <c r="P15" s="14">
        <f t="shared" si="33"/>
        <v>5.9285578959851977</v>
      </c>
      <c r="Q15" s="22">
        <f t="shared" si="2"/>
        <v>41.695038776362409</v>
      </c>
      <c r="R15" s="62">
        <f t="shared" si="0"/>
        <v>313.02837210969574</v>
      </c>
      <c r="S15" s="62">
        <f ca="1">AVERAGE(OFFSET($R$3,0,0,'Données projet'!$E$9+1,1))-AVERAGE(OFFSET($H$3,0,0,'Données projet'!$E$9+1,1))</f>
        <v>335.04906256888819</v>
      </c>
      <c r="T15" s="62">
        <f t="shared" si="34"/>
        <v>440.84111898279554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10.16068376068376</v>
      </c>
      <c r="N16" s="14">
        <f>IF('Données projet'!$A$36&gt;35,N15+M16-V15,IF(A16&lt;'Données projet'!$A$36,$K$205^A16,IF(A16='Données projet'!$A$36,'Données projet'!$B$36,N15+M16-V15)))</f>
        <v>43.033613759729988</v>
      </c>
      <c r="O16" s="14">
        <f>N16*VLOOKUP('Données projet'!$B$9,Paramètres!$A$1:$I$89,3,0)*VLOOKUP('Données projet'!$B$9,Paramètres!$A$1:$I$89,5,0)</f>
        <v>24.055790091689062</v>
      </c>
      <c r="P16" s="14">
        <f t="shared" si="33"/>
        <v>7.6559259813080898</v>
      </c>
      <c r="Q16" s="22">
        <f t="shared" si="2"/>
        <v>55.231238827136707</v>
      </c>
      <c r="R16" s="62">
        <f t="shared" si="0"/>
        <v>327.78679438269228</v>
      </c>
      <c r="S16" s="62">
        <f ca="1">AVERAGE(OFFSET($R$3,0,0,'Données projet'!$E$9+1,1))-AVERAGE(OFFSET($H$3,0,0,'Données projet'!$E$9+1,1))</f>
        <v>335.04906256888819</v>
      </c>
      <c r="T16" s="62">
        <f t="shared" si="34"/>
        <v>440.84111898279554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10.16068376068376</v>
      </c>
      <c r="N17" s="14">
        <f>IF('Données projet'!$A$36&gt;35,N16+M17-V16,IF(A17&lt;'Données projet'!$A$36,$K$205^A17,IF(A17='Données projet'!$A$36,'Données projet'!$B$36,N16+M17-V16)))</f>
        <v>57.475841973982881</v>
      </c>
      <c r="O17" s="14">
        <f>N17*VLOOKUP('Données projet'!$B$9,Paramètres!$A$1:$I$89,3,0)*VLOOKUP('Données projet'!$B$9,Paramètres!$A$1:$I$89,5,0)</f>
        <v>32.128995663456436</v>
      </c>
      <c r="P17" s="14">
        <f t="shared" si="33"/>
        <v>9.8865868664217604</v>
      </c>
      <c r="Q17" s="22">
        <f t="shared" si="2"/>
        <v>73.177139572871184</v>
      </c>
      <c r="R17" s="62">
        <f t="shared" si="0"/>
        <v>346.95491735064894</v>
      </c>
      <c r="S17" s="62">
        <f ca="1">AVERAGE(OFFSET($R$3,0,0,'Données projet'!$E$9+1,1))-AVERAGE(OFFSET($H$3,0,0,'Données projet'!$E$9+1,1))</f>
        <v>335.04906256888819</v>
      </c>
      <c r="T17" s="62">
        <f t="shared" si="34"/>
        <v>440.84111898279554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10.16068376068376</v>
      </c>
      <c r="N18" s="14">
        <f>IF('Données projet'!$A$36&gt;35,N17+M18-V17,IF(A18&lt;'Données projet'!$A$36,$K$205^A18,IF(A18='Données projet'!$A$36,'Données projet'!$B$36,N17+M18-V17)))</f>
        <v>76.764931457129379</v>
      </c>
      <c r="O18" s="14">
        <f>N18*VLOOKUP('Données projet'!$B$9,Paramètres!$A$1:$I$89,3,0)*VLOOKUP('Données projet'!$B$9,Paramètres!$A$1:$I$89,5,0)</f>
        <v>42.911596684535326</v>
      </c>
      <c r="P18" s="14">
        <f t="shared" si="33"/>
        <v>12.767181932785956</v>
      </c>
      <c r="Q18" s="22">
        <f t="shared" si="2"/>
        <v>96.97387275850123</v>
      </c>
      <c r="R18" s="62">
        <f t="shared" si="0"/>
        <v>371.97387275850122</v>
      </c>
      <c r="S18" s="62">
        <f ca="1">AVERAGE(OFFSET($R$3,0,0,'Données projet'!$E$9+1,1))-AVERAGE(OFFSET($H$3,0,0,'Données projet'!$E$9+1,1))</f>
        <v>335.04906256888819</v>
      </c>
      <c r="T18" s="62">
        <f t="shared" si="34"/>
        <v>440.84111898279554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10.16068376068376</v>
      </c>
      <c r="N19" s="14">
        <f>IF('Données projet'!$A$36&gt;35,N18+M19-V18,IF(A19&lt;'Données projet'!$A$36,$K$205^A19,IF(A19='Données projet'!$A$36,'Données projet'!$B$36,N18+M19-V18)))</f>
        <v>102.52750545673157</v>
      </c>
      <c r="O19" s="14">
        <f>N19*VLOOKUP('Données projet'!$B$9,Paramètres!$A$1:$I$89,3,0)*VLOOKUP('Données projet'!$B$9,Paramètres!$A$1:$I$89,5,0)</f>
        <v>57.312875550312953</v>
      </c>
      <c r="P19" s="14">
        <f t="shared" si="33"/>
        <v>16.487078574959277</v>
      </c>
      <c r="Q19" s="22">
        <f t="shared" si="2"/>
        <v>128.53492010151578</v>
      </c>
      <c r="R19" s="62">
        <f t="shared" si="0"/>
        <v>404.75714232373798</v>
      </c>
      <c r="S19" s="62">
        <f ca="1">AVERAGE(OFFSET($R$3,0,0,'Données projet'!$E$9+1,1))-AVERAGE(OFFSET($H$3,0,0,'Données projet'!$E$9+1,1))</f>
        <v>335.04906256888819</v>
      </c>
      <c r="T19" s="62">
        <f t="shared" si="34"/>
        <v>440.84111898279554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10.16068376068376</v>
      </c>
      <c r="N20" s="14">
        <f>IF('Données projet'!$A$36&gt;35,N19+M20-V19,IF(A20&lt;'Données projet'!$A$36,$K$205^A20,IF(A20='Données projet'!$A$36,'Données projet'!$B$36,N19+M20-V19)))</f>
        <v>136.93608755517039</v>
      </c>
      <c r="O20" s="14">
        <f>N20*VLOOKUP('Données projet'!$B$9,Paramètres!$A$1:$I$89,3,0)*VLOOKUP('Données projet'!$B$9,Paramètres!$A$1:$I$89,5,0)</f>
        <v>76.547272943340246</v>
      </c>
      <c r="P20" s="14">
        <f t="shared" si="33"/>
        <v>21.290819020824138</v>
      </c>
      <c r="Q20" s="22">
        <f t="shared" si="2"/>
        <v>170.40134350425296</v>
      </c>
      <c r="R20" s="62">
        <f t="shared" si="0"/>
        <v>447.84578794869742</v>
      </c>
      <c r="S20" s="62">
        <f ca="1">AVERAGE(OFFSET($R$3,0,0,'Données projet'!$E$9+1,1))-AVERAGE(OFFSET($H$3,0,0,'Données projet'!$E$9+1,1))</f>
        <v>335.04906256888819</v>
      </c>
      <c r="T20" s="62">
        <f t="shared" si="34"/>
        <v>440.84111898279554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182.89230769230767</v>
      </c>
      <c r="L21" s="13">
        <f>VLOOKUP(A21,'Données projet'!$A$35:$I$55,9,0)</f>
        <v>10.16068376068376</v>
      </c>
      <c r="M21" s="13">
        <f t="array" ref="M21">INDEX(L:L,MIN(IF(ISNUMBER(L21:L217),ROW(L21:L217),"")))</f>
        <v>10.16068376068376</v>
      </c>
      <c r="N21" s="14">
        <f>IF('Données projet'!$A$36&gt;35,N20+M21-V20,IF(A21&lt;'Données projet'!$A$36,$K$205^A21,IF(A21='Données projet'!$A$36,'Données projet'!$B$36,N20+M21-V20)))</f>
        <v>182.89230769230767</v>
      </c>
      <c r="O21" s="14">
        <f>N21*VLOOKUP('Données projet'!$B$9,Paramètres!$A$1:$I$89,3,0)*VLOOKUP('Données projet'!$B$9,Paramètres!$A$1:$I$89,5,0)</f>
        <v>102.23679999999999</v>
      </c>
      <c r="P21" s="14">
        <f t="shared" si="33"/>
        <v>27.494196289326943</v>
      </c>
      <c r="Q21" s="22">
        <f t="shared" si="2"/>
        <v>225.9481518705777</v>
      </c>
      <c r="R21" s="62">
        <f t="shared" si="0"/>
        <v>504.61481853724439</v>
      </c>
      <c r="S21" s="62">
        <f ca="1">AVERAGE(OFFSET($R$3,0,0,'Données projet'!$E$9+1,1))-AVERAGE(OFFSET($H$3,0,0,'Données projet'!$E$9+1,1))</f>
        <v>335.04906256888819</v>
      </c>
      <c r="T21" s="62">
        <f t="shared" si="34"/>
        <v>440.84111898279554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69.284615384615378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0.11000000000000001</v>
      </c>
      <c r="Y21" s="17">
        <f>IF(ISNA(VLOOKUP(A21,'Données projet'!$A$35:$I$55,7,0)),0%,VLOOKUP(A21,'Données projet'!$A$35:$I$55,7,0))</f>
        <v>0.4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5.6293247290914223</v>
      </c>
      <c r="AB21" s="23">
        <f>EXP(-LN(2)/2)*AB20+(1-EXP(-LN(2)/2))/(LN(2)/2)*V21*Y21*VLOOKUP('Données projet'!$B$9,Paramètres!$A$1:$I$89,3,0)*0.475*44/12</f>
        <v>17.540588042571912</v>
      </c>
      <c r="AC21" s="24">
        <f t="shared" si="3"/>
        <v>23.169912771663334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20.658974358974358</v>
      </c>
      <c r="N22" s="14">
        <f>IF('Données projet'!$A$36&gt;35,N21+M22-V21,IF(A22&lt;'Données projet'!$A$36,$K$205^A22,IF(A22='Données projet'!$A$36,'Données projet'!$B$36,N21+M22-V21)))</f>
        <v>134.26666666666665</v>
      </c>
      <c r="O22" s="14">
        <f>N22*VLOOKUP('Données projet'!$B$9,Paramètres!$A$1:$I$89,3,0)*VLOOKUP('Données projet'!$B$9,Paramètres!$A$1:$I$89,5,0)</f>
        <v>75.055066666666661</v>
      </c>
      <c r="P22" s="14">
        <f t="shared" si="33"/>
        <v>20.923669242672773</v>
      </c>
      <c r="Q22" s="22">
        <f t="shared" si="2"/>
        <v>167.1629650420995</v>
      </c>
      <c r="R22" s="62">
        <f t="shared" si="0"/>
        <v>447.05185393098839</v>
      </c>
      <c r="S22" s="62">
        <f ca="1">AVERAGE(OFFSET($R$3,0,0,'Données projet'!$E$9+1,1))-AVERAGE(OFFSET($H$3,0,0,'Données projet'!$E$9+1,1))</f>
        <v>335.04906256888819</v>
      </c>
      <c r="T22" s="62">
        <f t="shared" si="34"/>
        <v>440.84111898279554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5.4753905483410961</v>
      </c>
      <c r="AB22" s="23">
        <f>EXP(-LN(2)/2)*AB21+(1-EXP(-LN(2)/2))/(LN(2)/2)*V22*Y22*VLOOKUP('Données projet'!$B$9,Paramètres!$A$1:$I$89,3,0)*0.475*44/12</f>
        <v>12.403068750902269</v>
      </c>
      <c r="AC22" s="24">
        <f t="shared" si="3"/>
        <v>17.878459299243367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20.658974358974358</v>
      </c>
      <c r="N23" s="14">
        <f>IF('Données projet'!$A$36&gt;35,N22+M23-V22,IF(A23&lt;'Données projet'!$A$36,$K$205^A23,IF(A23='Données projet'!$A$36,'Données projet'!$B$36,N22+M23-V22)))</f>
        <v>154.925641025641</v>
      </c>
      <c r="O23" s="14">
        <f>N23*VLOOKUP('Données projet'!$B$9,Paramètres!$A$1:$I$89,3,0)*VLOOKUP('Données projet'!$B$9,Paramètres!$A$1:$I$89,5,0)</f>
        <v>86.603433333333314</v>
      </c>
      <c r="P23" s="14">
        <f t="shared" si="33"/>
        <v>23.744229853900279</v>
      </c>
      <c r="Q23" s="22">
        <f t="shared" si="2"/>
        <v>192.18884671776516</v>
      </c>
      <c r="R23" s="62">
        <f t="shared" si="0"/>
        <v>473.2999578288763</v>
      </c>
      <c r="S23" s="62">
        <f ca="1">AVERAGE(OFFSET($R$3,0,0,'Données projet'!$E$9+1,1))-AVERAGE(OFFSET($H$3,0,0,'Données projet'!$E$9+1,1))</f>
        <v>335.04906256888819</v>
      </c>
      <c r="T23" s="62">
        <f t="shared" si="34"/>
        <v>440.84111898279554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5.3256657058584338</v>
      </c>
      <c r="AB23" s="23">
        <f>EXP(-LN(2)/2)*AB22+(1-EXP(-LN(2)/2))/(LN(2)/2)*V23*Y23*VLOOKUP('Données projet'!$B$9,Paramètres!$A$1:$I$89,3,0)*0.475*44/12</f>
        <v>8.7702940212859577</v>
      </c>
      <c r="AC23" s="24">
        <f t="shared" si="3"/>
        <v>14.095959727144391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20.658974358974358</v>
      </c>
      <c r="N24" s="14">
        <f>IF('Données projet'!$A$36&gt;35,N23+M24-V23,IF(A24&lt;'Données projet'!$A$36,$K$205^A24,IF(A24='Données projet'!$A$36,'Données projet'!$B$36,N23+M24-V23)))</f>
        <v>175.58461538461535</v>
      </c>
      <c r="O24" s="14">
        <f>N24*VLOOKUP('Données projet'!$B$9,Paramètres!$A$1:$I$89,3,0)*VLOOKUP('Données projet'!$B$9,Paramètres!$A$1:$I$89,5,0)</f>
        <v>98.15179999999998</v>
      </c>
      <c r="P24" s="14">
        <f t="shared" si="33"/>
        <v>26.52121247620833</v>
      </c>
      <c r="Q24" s="22">
        <f t="shared" si="2"/>
        <v>217.13883006272945</v>
      </c>
      <c r="R24" s="62">
        <f t="shared" si="0"/>
        <v>499.4721633960628</v>
      </c>
      <c r="S24" s="62">
        <f ca="1">AVERAGE(OFFSET($R$3,0,0,'Données projet'!$E$9+1,1))-AVERAGE(OFFSET($H$3,0,0,'Données projet'!$E$9+1,1))</f>
        <v>335.04906256888819</v>
      </c>
      <c r="T24" s="62">
        <f t="shared" si="34"/>
        <v>440.84111898279554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5.1800350970671474</v>
      </c>
      <c r="AB24" s="23">
        <f>EXP(-LN(2)/2)*AB23+(1-EXP(-LN(2)/2))/(LN(2)/2)*V24*Y24*VLOOKUP('Données projet'!$B$9,Paramètres!$A$1:$I$89,3,0)*0.475*44/12</f>
        <v>6.2015343754511365</v>
      </c>
      <c r="AC24" s="24">
        <f t="shared" si="3"/>
        <v>11.381569472518283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20.658974358974358</v>
      </c>
      <c r="N25" s="14">
        <f>IF('Données projet'!$A$36&gt;35,N24+M25-V24,IF(A25&lt;'Données projet'!$A$36,$K$205^A25,IF(A25='Données projet'!$A$36,'Données projet'!$B$36,N24+M25-V24)))</f>
        <v>196.24358974358969</v>
      </c>
      <c r="O25" s="14">
        <f>N25*VLOOKUP('Données projet'!$B$9,Paramètres!$A$1:$I$89,3,0)*VLOOKUP('Données projet'!$B$9,Paramètres!$A$1:$I$89,5,0)</f>
        <v>109.70016666666663</v>
      </c>
      <c r="P25" s="14">
        <f t="shared" si="33"/>
        <v>29.260330282475415</v>
      </c>
      <c r="Q25" s="22">
        <f t="shared" si="2"/>
        <v>242.02286551975575</v>
      </c>
      <c r="R25" s="62">
        <f t="shared" si="0"/>
        <v>525.57842107531133</v>
      </c>
      <c r="S25" s="62">
        <f ca="1">AVERAGE(OFFSET($R$3,0,0,'Données projet'!$E$9+1,1))-AVERAGE(OFFSET($H$3,0,0,'Données projet'!$E$9+1,1))</f>
        <v>335.04906256888819</v>
      </c>
      <c r="T25" s="62">
        <f t="shared" si="34"/>
        <v>440.84111898279554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5.0383867649316398</v>
      </c>
      <c r="AB25" s="23">
        <f>EXP(-LN(2)/2)*AB24+(1-EXP(-LN(2)/2))/(LN(2)/2)*V25*Y25*VLOOKUP('Données projet'!$B$9,Paramètres!$A$1:$I$89,3,0)*0.475*44/12</f>
        <v>4.3851470106429797</v>
      </c>
      <c r="AC25" s="24">
        <f t="shared" si="3"/>
        <v>9.4235337755746187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20.658974358974358</v>
      </c>
      <c r="N26" s="14">
        <f>IF('Données projet'!$A$36&gt;35,N25+M26-V25,IF(A26&lt;'Données projet'!$A$36,$K$205^A26,IF(A26='Données projet'!$A$36,'Données projet'!$B$36,N25+M26-V25)))</f>
        <v>216.90256410256404</v>
      </c>
      <c r="O26" s="14">
        <f>N26*VLOOKUP('Données projet'!$B$9,Paramètres!$A$1:$I$89,3,0)*VLOOKUP('Données projet'!$B$9,Paramètres!$A$1:$I$89,5,0)</f>
        <v>121.2485333333333</v>
      </c>
      <c r="P26" s="14">
        <f t="shared" si="33"/>
        <v>31.966023537079113</v>
      </c>
      <c r="Q26" s="22">
        <f t="shared" si="2"/>
        <v>266.84868654930165</v>
      </c>
      <c r="R26" s="62">
        <f t="shared" si="0"/>
        <v>551.62646432707947</v>
      </c>
      <c r="S26" s="62">
        <f ca="1">AVERAGE(OFFSET($R$3,0,0,'Données projet'!$E$9+1,1))-AVERAGE(OFFSET($H$3,0,0,'Données projet'!$E$9+1,1))</f>
        <v>335.04906256888819</v>
      </c>
      <c r="T26" s="62">
        <f t="shared" si="34"/>
        <v>440.84111898279554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4.9006118138873394</v>
      </c>
      <c r="AB26" s="23">
        <f>EXP(-LN(2)/2)*AB25+(1-EXP(-LN(2)/2))/(LN(2)/2)*V26*Y26*VLOOKUP('Données projet'!$B$9,Paramètres!$A$1:$I$89,3,0)*0.475*44/12</f>
        <v>3.1007671877255687</v>
      </c>
      <c r="AC26" s="24">
        <f t="shared" si="3"/>
        <v>8.0013790016129072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>
        <f>VLOOKUP(A27,'Données projet'!$A$35:$I$55,2,0)</f>
        <v>237.56153846153845</v>
      </c>
      <c r="L27" s="13">
        <f>VLOOKUP(A27,'Données projet'!$A$35:$I$55,9,0)</f>
        <v>20.658974358974358</v>
      </c>
      <c r="M27" s="13">
        <f t="array" ref="M27">INDEX(L:L,MIN(IF(ISNUMBER(L27:L223),ROW(L27:L223),"")))</f>
        <v>20.658974358974358</v>
      </c>
      <c r="N27" s="14">
        <f>IF('Données projet'!$A$36&gt;35,N26+M27-V26,IF(A27&lt;'Données projet'!$A$36,$K$205^A27,IF(A27='Données projet'!$A$36,'Données projet'!$B$36,N26+M27-V26)))</f>
        <v>237.56153846153839</v>
      </c>
      <c r="O27" s="14">
        <f>N27*VLOOKUP('Données projet'!$B$9,Paramètres!$A$1:$I$89,3,0)*VLOOKUP('Données projet'!$B$9,Paramètres!$A$1:$I$89,5,0)</f>
        <v>132.79689999999997</v>
      </c>
      <c r="P27" s="14">
        <f t="shared" si="33"/>
        <v>34.641837967861036</v>
      </c>
      <c r="Q27" s="22">
        <f t="shared" si="2"/>
        <v>291.62246862735793</v>
      </c>
      <c r="R27" s="62">
        <f t="shared" si="0"/>
        <v>577.62246862735788</v>
      </c>
      <c r="S27" s="62">
        <f ca="1">AVERAGE(OFFSET($R$3,0,0,'Données projet'!$E$9+1,1))-AVERAGE(OFFSET($H$3,0,0,'Données projet'!$E$9+1,1))</f>
        <v>335.04906256888819</v>
      </c>
      <c r="T27" s="62">
        <f t="shared" si="34"/>
        <v>440.84111898279554</v>
      </c>
      <c r="U27" s="16">
        <f>IF(ISNA(VLOOKUP(A27,'Données projet'!$A$35:$I$55,3,0)),0,VLOOKUP(A27,'Données projet'!$A$35:$I$55,3,0))</f>
        <v>2</v>
      </c>
      <c r="V27" s="16">
        <f>IF(ISNA(VLOOKUP(A27,'Données projet'!$A$35:$I$55,4,0)),0,VLOOKUP(A27,'Données projet'!$A$35:$I$55,4,0))</f>
        <v>42.661538461538463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0.22000000000000003</v>
      </c>
      <c r="Y27" s="17">
        <f>IF(ISNA(VLOOKUP(A27,'Données projet'!$A$35:$I$55,7,0)),0%,VLOOKUP(A27,'Données projet'!$A$35:$I$55,7,0))</f>
        <v>0.3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11.699042418173251</v>
      </c>
      <c r="AB27" s="23">
        <f>EXP(-LN(2)/2)*AB26+(1-EXP(-LN(2)/2))/(LN(2)/2)*V27*Y27*VLOOKUP('Données projet'!$B$9,Paramètres!$A$1:$I$89,3,0)*0.475*44/12</f>
        <v>10.292948320806987</v>
      </c>
      <c r="AC27" s="24">
        <f t="shared" si="3"/>
        <v>21.991990738980238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22.828205128205127</v>
      </c>
      <c r="N28" s="14">
        <f>IF('Données projet'!$A$36&gt;35,N27+M28-V27,IF(A28&lt;'Données projet'!$A$36,$K$205^A28,IF(A28='Données projet'!$A$36,'Données projet'!$B$36,N27+M28-V27)))</f>
        <v>217.72820512820502</v>
      </c>
      <c r="O28" s="14">
        <f>N28*VLOOKUP('Données projet'!$B$9,Paramètres!$A$1:$I$89,3,0)*VLOOKUP('Données projet'!$B$9,Paramètres!$A$1:$I$89,5,0)</f>
        <v>121.71006666666661</v>
      </c>
      <c r="P28" s="14">
        <f t="shared" si="33"/>
        <v>32.073515207801002</v>
      </c>
      <c r="Q28" s="22">
        <f t="shared" si="2"/>
        <v>267.83973843136442</v>
      </c>
      <c r="R28" s="62">
        <f t="shared" si="0"/>
        <v>555.06196065358665</v>
      </c>
      <c r="S28" s="62">
        <f ca="1">AVERAGE(OFFSET($R$3,0,0,'Données projet'!$E$9+1,1))-AVERAGE(OFFSET($H$3,0,0,'Données projet'!$E$9+1,1))</f>
        <v>335.04906256888819</v>
      </c>
      <c r="T28" s="62">
        <f t="shared" si="34"/>
        <v>440.84111898279554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11.379131488022402</v>
      </c>
      <c r="AB28" s="23">
        <f>EXP(-LN(2)/2)*AB27+(1-EXP(-LN(2)/2))/(LN(2)/2)*V28*Y28*VLOOKUP('Données projet'!$B$9,Paramètres!$A$1:$I$89,3,0)*0.475*44/12</f>
        <v>7.2782135560453085</v>
      </c>
      <c r="AC28" s="24">
        <f t="shared" si="3"/>
        <v>18.657345044067711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22.828205128205127</v>
      </c>
      <c r="N29" s="14">
        <f>IF('Données projet'!$A$36&gt;35,N28+M29-V28,IF(A29&lt;'Données projet'!$A$36,$K$205^A29,IF(A29='Données projet'!$A$36,'Données projet'!$B$36,N28+M29-V28)))</f>
        <v>240.55641025641015</v>
      </c>
      <c r="O29" s="14">
        <f>N29*VLOOKUP('Données projet'!$B$9,Paramètres!$A$1:$I$89,3,0)*VLOOKUP('Données projet'!$B$9,Paramètres!$A$1:$I$89,5,0)</f>
        <v>134.47103333333328</v>
      </c>
      <c r="P29" s="14">
        <f t="shared" si="33"/>
        <v>35.027441907439481</v>
      </c>
      <c r="Q29" s="22">
        <f t="shared" si="2"/>
        <v>295.20984437767919</v>
      </c>
      <c r="R29" s="62">
        <f t="shared" si="0"/>
        <v>583.65428882212359</v>
      </c>
      <c r="S29" s="62">
        <f ca="1">AVERAGE(OFFSET($R$3,0,0,'Données projet'!$E$9+1,1))-AVERAGE(OFFSET($H$3,0,0,'Données projet'!$E$9+1,1))</f>
        <v>335.04906256888819</v>
      </c>
      <c r="T29" s="62">
        <f t="shared" si="34"/>
        <v>440.84111898279554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11.067968539079912</v>
      </c>
      <c r="AB29" s="23">
        <f>EXP(-LN(2)/2)*AB28+(1-EXP(-LN(2)/2))/(LN(2)/2)*V29*Y29*VLOOKUP('Données projet'!$B$9,Paramètres!$A$1:$I$89,3,0)*0.475*44/12</f>
        <v>5.1464741604034945</v>
      </c>
      <c r="AC29" s="24">
        <f t="shared" si="3"/>
        <v>16.214442699483406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22.828205128205127</v>
      </c>
      <c r="N30" s="14">
        <f>IF('Données projet'!$A$36&gt;35,N29+M30-V29,IF(A30&lt;'Données projet'!$A$36,$K$205^A30,IF(A30='Données projet'!$A$36,'Données projet'!$B$36,N29+M30-V29)))</f>
        <v>263.38461538461524</v>
      </c>
      <c r="O30" s="14">
        <f>N30*VLOOKUP('Données projet'!$B$9,Paramètres!$A$1:$I$89,3,0)*VLOOKUP('Données projet'!$B$9,Paramètres!$A$1:$I$89,5,0)</f>
        <v>147.23199999999994</v>
      </c>
      <c r="P30" s="14">
        <f t="shared" si="33"/>
        <v>37.948867426510738</v>
      </c>
      <c r="Q30" s="22">
        <f t="shared" si="2"/>
        <v>322.52334410117277</v>
      </c>
      <c r="R30" s="62">
        <f t="shared" si="0"/>
        <v>612.19001076783945</v>
      </c>
      <c r="S30" s="62">
        <f ca="1">AVERAGE(OFFSET($R$3,0,0,'Données projet'!$E$9+1,1))-AVERAGE(OFFSET($H$3,0,0,'Données projet'!$E$9+1,1))</f>
        <v>335.04906256888819</v>
      </c>
      <c r="T30" s="62">
        <f t="shared" si="34"/>
        <v>440.84111898279554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10.765314357339602</v>
      </c>
      <c r="AB30" s="23">
        <f>EXP(-LN(2)/2)*AB29+(1-EXP(-LN(2)/2))/(LN(2)/2)*V30*Y30*VLOOKUP('Données projet'!$B$9,Paramètres!$A$1:$I$89,3,0)*0.475*44/12</f>
        <v>3.6391067780226547</v>
      </c>
      <c r="AC30" s="24">
        <f t="shared" si="3"/>
        <v>14.404421135362256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22.828205128205127</v>
      </c>
      <c r="N31" s="14">
        <f>IF('Données projet'!$A$36&gt;35,N30+M31-V30,IF(A31&lt;'Données projet'!$A$36,$K$205^A31,IF(A31='Données projet'!$A$36,'Données projet'!$B$36,N30+M31-V30)))</f>
        <v>286.21282051282037</v>
      </c>
      <c r="O31" s="14">
        <f>N31*VLOOKUP('Données projet'!$B$9,Paramètres!$A$1:$I$89,3,0)*VLOOKUP('Données projet'!$B$9,Paramètres!$A$1:$I$89,5,0)</f>
        <v>159.99296666666658</v>
      </c>
      <c r="P31" s="14">
        <f t="shared" si="33"/>
        <v>40.840929014671453</v>
      </c>
      <c r="Q31" s="22">
        <f t="shared" si="2"/>
        <v>349.785701644997</v>
      </c>
      <c r="R31" s="62">
        <f t="shared" si="0"/>
        <v>640.67459053388586</v>
      </c>
      <c r="S31" s="62">
        <f ca="1">AVERAGE(OFFSET($R$3,0,0,'Données projet'!$E$9+1,1))-AVERAGE(OFFSET($H$3,0,0,'Données projet'!$E$9+1,1))</f>
        <v>335.04906256888819</v>
      </c>
      <c r="T31" s="62">
        <f t="shared" si="34"/>
        <v>440.84111898279554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10.470936270114873</v>
      </c>
      <c r="AB31" s="23">
        <f>EXP(-LN(2)/2)*AB30+(1-EXP(-LN(2)/2))/(LN(2)/2)*V31*Y31*VLOOKUP('Données projet'!$B$9,Paramètres!$A$1:$I$89,3,0)*0.475*44/12</f>
        <v>2.5732370802017472</v>
      </c>
      <c r="AC31" s="24">
        <f t="shared" si="3"/>
        <v>13.044173350316619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22.828205128205127</v>
      </c>
      <c r="N32" s="14">
        <f>IF('Données projet'!$A$36&gt;35,N31+M32-V31,IF(A32&lt;'Données projet'!$A$36,$K$205^A32,IF(A32='Données projet'!$A$36,'Données projet'!$B$36,N31+M32-V31)))</f>
        <v>309.0410256410255</v>
      </c>
      <c r="O32" s="14">
        <f>N32*VLOOKUP('Données projet'!$B$9,Paramètres!$A$1:$I$89,3,0)*VLOOKUP('Données projet'!$B$9,Paramètres!$A$1:$I$89,5,0)</f>
        <v>172.75393333333326</v>
      </c>
      <c r="P32" s="14">
        <f t="shared" si="33"/>
        <v>43.706234996805463</v>
      </c>
      <c r="Q32" s="22">
        <f t="shared" si="2"/>
        <v>377.00145984165829</v>
      </c>
      <c r="R32" s="62">
        <f t="shared" si="0"/>
        <v>669.11257095276937</v>
      </c>
      <c r="S32" s="62">
        <f ca="1">AVERAGE(OFFSET($R$3,0,0,'Données projet'!$E$9+1,1))-AVERAGE(OFFSET($H$3,0,0,'Données projet'!$E$9+1,1))</f>
        <v>335.04906256888819</v>
      </c>
      <c r="T32" s="62">
        <f t="shared" si="34"/>
        <v>440.84111898279554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10.184607967165975</v>
      </c>
      <c r="AB32" s="23">
        <f>EXP(-LN(2)/2)*AB31+(1-EXP(-LN(2)/2))/(LN(2)/2)*V32*Y32*VLOOKUP('Données projet'!$B$9,Paramètres!$A$1:$I$89,3,0)*0.475*44/12</f>
        <v>1.8195533890113273</v>
      </c>
      <c r="AC32" s="24">
        <f t="shared" si="3"/>
        <v>12.004161356177303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331.86923076923074</v>
      </c>
      <c r="L33" s="13">
        <f>VLOOKUP(A33,'Données projet'!$A$35:$I$55,9,0)</f>
        <v>22.828205128205127</v>
      </c>
      <c r="M33" s="13">
        <f t="array" ref="M33">INDEX(L:L,MIN(IF(ISNUMBER(L33:L229),ROW(L33:L229),"")))</f>
        <v>22.828205128205127</v>
      </c>
      <c r="N33" s="14">
        <f>IF('Données projet'!$A$36&gt;35,N32+M33-V32,IF(A33&lt;'Données projet'!$A$36,$K$205^A33,IF(A33='Données projet'!$A$36,'Données projet'!$B$36,N32+M33-V32)))</f>
        <v>331.86923076923063</v>
      </c>
      <c r="O33" s="14">
        <f>N33*VLOOKUP('Données projet'!$B$9,Paramètres!$A$1:$I$89,3,0)*VLOOKUP('Données projet'!$B$9,Paramètres!$A$1:$I$89,5,0)</f>
        <v>185.5148999999999</v>
      </c>
      <c r="P33" s="14">
        <f t="shared" si="33"/>
        <v>46.546986497298995</v>
      </c>
      <c r="Q33" s="22">
        <f t="shared" si="2"/>
        <v>404.17445231612891</v>
      </c>
      <c r="R33" s="62">
        <f t="shared" si="0"/>
        <v>697.50778564946222</v>
      </c>
      <c r="S33" s="62">
        <f ca="1">AVERAGE(OFFSET($R$3,0,0,'Données projet'!$E$9+1,1))-AVERAGE(OFFSET($H$3,0,0,'Données projet'!$E$9+1,1))</f>
        <v>335.04906256888819</v>
      </c>
      <c r="T33" s="62">
        <f t="shared" si="34"/>
        <v>440.84111898279554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65.669230769230765</v>
      </c>
      <c r="W33" s="17">
        <f>IF(ISNA(VLOOKUP(A33,'Données projet'!$A$35:$I$55,5,0)),0%,VLOOKUP(A33,'Données projet'!$A$35:$I$55,5,0)*VLOOKUP('Données projet'!$B$9,Paramètres!$A$1:$I$89,7,0))</f>
        <v>0.11000000000000001</v>
      </c>
      <c r="X33" s="17">
        <f>IF(ISNA(VLOOKUP(A33,'Données projet'!$A$35:$I$55,6,0)),0%,VLOOKUP(A33,'Données projet'!$A$35:$I$55,6,0)*VLOOKUP('Données projet'!$B$9,Paramètres!$A$1:$I$89,7,0))</f>
        <v>0.22000000000000003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5.3566685976293194</v>
      </c>
      <c r="AA33" s="23">
        <f>EXP(-LN(2)/25)*AA32+(1-EXP(-LN(2)/25))/(LN(2)/25)*Calculateur!V33*Calculateur!X33*VLOOKUP('Données projet'!$B$9,Paramètres!$A$1:$I$89,3,0)*0.475*44/12</f>
        <v>20.577264031337968</v>
      </c>
      <c r="AB33" s="23">
        <f>EXP(-LN(2)/2)*AB32+(1-EXP(-LN(2)/2))/(LN(2)/2)*V33*Y33*VLOOKUP('Données projet'!$B$9,Paramètres!$A$1:$I$89,3,0)*0.475*44/12</f>
        <v>9.5992642667266299</v>
      </c>
      <c r="AC33" s="24">
        <f t="shared" si="3"/>
        <v>35.533196895693919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22.884615384615376</v>
      </c>
      <c r="N34" s="14">
        <f>IF('Données projet'!$A$36&gt;35,N33+M34-V33,IF(A34&lt;'Données projet'!$A$36,$K$205^A34,IF(A34='Données projet'!$A$36,'Données projet'!$B$36,N33+M34-V33)))</f>
        <v>289.08461538461523</v>
      </c>
      <c r="O34" s="14">
        <f>N34*VLOOKUP('Données projet'!$B$9,Paramètres!$A$1:$I$89,3,0)*VLOOKUP('Données projet'!$B$9,Paramètres!$A$1:$I$89,5,0)</f>
        <v>161.59829999999991</v>
      </c>
      <c r="P34" s="14">
        <f t="shared" si="33"/>
        <v>41.202807619439696</v>
      </c>
      <c r="Q34" s="22">
        <f t="shared" si="2"/>
        <v>353.2119291038573</v>
      </c>
      <c r="R34" s="62">
        <f t="shared" si="0"/>
        <v>646.54526243719056</v>
      </c>
      <c r="S34" s="62">
        <f ca="1">AVERAGE(OFFSET($R$3,0,0,'Données projet'!$E$9+1,1))-AVERAGE(OFFSET($H$3,0,0,'Données projet'!$E$9+1,1))</f>
        <v>335.04906256888819</v>
      </c>
      <c r="T34" s="62">
        <f t="shared" si="34"/>
        <v>440.84111898279554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5.251627593675039</v>
      </c>
      <c r="AA34" s="23">
        <f>EXP(-LN(2)/25)*AA33+(1-EXP(-LN(2)/25))/(LN(2)/25)*Calculateur!V34*Calculateur!X34*VLOOKUP('Données projet'!$B$9,Paramètres!$A$1:$I$89,3,0)*0.475*44/12</f>
        <v>20.014577664289746</v>
      </c>
      <c r="AB34" s="23">
        <f>EXP(-LN(2)/2)*AB33+(1-EXP(-LN(2)/2))/(LN(2)/2)*V34*Y34*VLOOKUP('Données projet'!$B$9,Paramètres!$A$1:$I$89,3,0)*0.475*44/12</f>
        <v>6.7877048574041119</v>
      </c>
      <c r="AC34" s="24">
        <f t="shared" si="3"/>
        <v>32.053910115368893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22.884615384615376</v>
      </c>
      <c r="N35" s="14">
        <f>IF('Données projet'!$A$36&gt;35,N34+M35-V34,IF(A35&lt;'Données projet'!$A$36,$K$205^A35,IF(A35='Données projet'!$A$36,'Données projet'!$B$36,N34+M35-V34)))</f>
        <v>311.96923076923059</v>
      </c>
      <c r="O35" s="14">
        <f>N35*VLOOKUP('Données projet'!$B$9,Paramètres!$A$1:$I$89,3,0)*VLOOKUP('Données projet'!$B$9,Paramètres!$A$1:$I$89,5,0)</f>
        <v>174.39079999999993</v>
      </c>
      <c r="P35" s="14">
        <f t="shared" si="33"/>
        <v>44.071952499783528</v>
      </c>
      <c r="Q35" s="22">
        <f t="shared" ref="Q35:Q66" si="53">(O35+P35)*0.475*44/12</f>
        <v>380.4892939371228</v>
      </c>
      <c r="R35" s="62">
        <f t="shared" si="0"/>
        <v>673.82262727045611</v>
      </c>
      <c r="S35" s="62">
        <f ca="1">AVERAGE(OFFSET($R$3,0,0,'Données projet'!$E$9+1,1))-AVERAGE(OFFSET($H$3,0,0,'Données projet'!$E$9+1,1))</f>
        <v>335.04906256888819</v>
      </c>
      <c r="T35" s="62">
        <f t="shared" si="34"/>
        <v>440.84111898279554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5.148646379739616</v>
      </c>
      <c r="AA35" s="23">
        <f>EXP(-LN(2)/25)*AA34+(1-EXP(-LN(2)/25))/(LN(2)/25)*Calculateur!V35*Calculateur!X35*VLOOKUP('Données projet'!$B$9,Paramètres!$A$1:$I$89,3,0)*0.475*44/12</f>
        <v>19.467277985538846</v>
      </c>
      <c r="AB35" s="23">
        <f>EXP(-LN(2)/2)*AB34+(1-EXP(-LN(2)/2))/(LN(2)/2)*V35*Y35*VLOOKUP('Données projet'!$B$9,Paramètres!$A$1:$I$89,3,0)*0.475*44/12</f>
        <v>4.7996321333633158</v>
      </c>
      <c r="AC35" s="24">
        <f t="shared" si="3"/>
        <v>29.415556498641777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22.884615384615376</v>
      </c>
      <c r="N36" s="14">
        <f>IF('Données projet'!$A$36&gt;35,N35+M36-V35,IF(A36&lt;'Données projet'!$A$36,$K$205^A36,IF(A36='Données projet'!$A$36,'Données projet'!$B$36,N35+M36-V35)))</f>
        <v>334.85384615384595</v>
      </c>
      <c r="O36" s="14">
        <f>N36*VLOOKUP('Données projet'!$B$9,Paramètres!$A$1:$I$89,3,0)*VLOOKUP('Données projet'!$B$9,Paramètres!$A$1:$I$89,5,0)</f>
        <v>187.18329999999989</v>
      </c>
      <c r="P36" s="14">
        <f t="shared" si="33"/>
        <v>46.91668019244311</v>
      </c>
      <c r="Q36" s="22">
        <f t="shared" si="53"/>
        <v>407.72413216850492</v>
      </c>
      <c r="R36" s="62">
        <f t="shared" si="0"/>
        <v>701.05746550183824</v>
      </c>
      <c r="S36" s="62">
        <f ca="1">AVERAGE(OFFSET($R$3,0,0,'Données projet'!$E$9+1,1))-AVERAGE(OFFSET($H$3,0,0,'Données projet'!$E$9+1,1))</f>
        <v>335.04906256888819</v>
      </c>
      <c r="T36" s="62">
        <f t="shared" si="34"/>
        <v>440.84111898279554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5.0476845645971284</v>
      </c>
      <c r="AA36" s="23">
        <f>EXP(-LN(2)/25)*AA35+(1-EXP(-LN(2)/25))/(LN(2)/25)*Calculateur!V36*Calculateur!X36*VLOOKUP('Données projet'!$B$9,Paramètres!$A$1:$I$89,3,0)*0.475*44/12</f>
        <v>18.93494424528463</v>
      </c>
      <c r="AB36" s="23">
        <f>EXP(-LN(2)/2)*AB35+(1-EXP(-LN(2)/2))/(LN(2)/2)*V36*Y36*VLOOKUP('Données projet'!$B$9,Paramètres!$A$1:$I$89,3,0)*0.475*44/12</f>
        <v>3.3938524287020568</v>
      </c>
      <c r="AC36" s="24">
        <f t="shared" si="3"/>
        <v>27.376481238583818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22.884615384615376</v>
      </c>
      <c r="N37" s="14">
        <f>IF('Données projet'!$A$36&gt;35,N36+M37-V36,IF(A37&lt;'Données projet'!$A$36,$K$205^A37,IF(A37='Données projet'!$A$36,'Données projet'!$B$36,N36+M37-V36)))</f>
        <v>357.73846153846131</v>
      </c>
      <c r="O37" s="14">
        <f>N37*VLOOKUP('Données projet'!$B$9,Paramètres!$A$1:$I$89,3,0)*VLOOKUP('Données projet'!$B$9,Paramètres!$A$1:$I$89,5,0)</f>
        <v>199.97579999999988</v>
      </c>
      <c r="P37" s="14">
        <f t="shared" si="33"/>
        <v>49.738849260389202</v>
      </c>
      <c r="Q37" s="22">
        <f t="shared" si="53"/>
        <v>434.91968079517761</v>
      </c>
      <c r="R37" s="62">
        <f t="shared" si="0"/>
        <v>728.25301412851093</v>
      </c>
      <c r="S37" s="62">
        <f ca="1">AVERAGE(OFFSET($R$3,0,0,'Données projet'!$E$9+1,1))-AVERAGE(OFFSET($H$3,0,0,'Données projet'!$E$9+1,1))</f>
        <v>335.04906256888819</v>
      </c>
      <c r="T37" s="62">
        <f t="shared" si="34"/>
        <v>440.84111898279554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4.9487025490689582</v>
      </c>
      <c r="AA37" s="23">
        <f>EXP(-LN(2)/25)*AA36+(1-EXP(-LN(2)/25))/(LN(2)/25)*Calculateur!V37*Calculateur!X37*VLOOKUP('Données projet'!$B$9,Paramètres!$A$1:$I$89,3,0)*0.475*44/12</f>
        <v>18.41716719915188</v>
      </c>
      <c r="AB37" s="23">
        <f>EXP(-LN(2)/2)*AB36+(1-EXP(-LN(2)/2))/(LN(2)/2)*V37*Y37*VLOOKUP('Données projet'!$B$9,Paramètres!$A$1:$I$89,3,0)*0.475*44/12</f>
        <v>2.3998160666816584</v>
      </c>
      <c r="AC37" s="24">
        <f t="shared" si="3"/>
        <v>25.765685814902497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22.884615384615376</v>
      </c>
      <c r="N38" s="14">
        <f>IF('Données projet'!$A$36&gt;35,N37+M38-V37,IF(A38&lt;'Données projet'!$A$36,$K$205^A38,IF(A38='Données projet'!$A$36,'Données projet'!$B$36,N37+M38-V37)))</f>
        <v>380.62307692307667</v>
      </c>
      <c r="O38" s="14">
        <f>N38*VLOOKUP('Données projet'!$B$9,Paramètres!$A$1:$I$89,3,0)*VLOOKUP('Données projet'!$B$9,Paramètres!$A$1:$I$89,5,0)</f>
        <v>212.76829999999987</v>
      </c>
      <c r="P38" s="14">
        <f t="shared" si="33"/>
        <v>52.540067037520458</v>
      </c>
      <c r="Q38" s="22">
        <f t="shared" si="53"/>
        <v>462.07873925701455</v>
      </c>
      <c r="R38" s="62">
        <f t="shared" si="0"/>
        <v>755.41207259034786</v>
      </c>
      <c r="S38" s="62">
        <f ca="1">AVERAGE(OFFSET($R$3,0,0,'Données projet'!$E$9+1,1))-AVERAGE(OFFSET($H$3,0,0,'Données projet'!$E$9+1,1))</f>
        <v>335.04906256888819</v>
      </c>
      <c r="T38" s="62">
        <f t="shared" si="34"/>
        <v>440.84111898279554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4.851661510492228</v>
      </c>
      <c r="AA38" s="23">
        <f>EXP(-LN(2)/25)*AA37+(1-EXP(-LN(2)/25))/(LN(2)/25)*Calculateur!V38*Calculateur!X38*VLOOKUP('Données projet'!$B$9,Paramètres!$A$1:$I$89,3,0)*0.475*44/12</f>
        <v>17.913548793574343</v>
      </c>
      <c r="AB38" s="23">
        <f>EXP(-LN(2)/2)*AB37+(1-EXP(-LN(2)/2))/(LN(2)/2)*V38*Y38*VLOOKUP('Données projet'!$B$9,Paramètres!$A$1:$I$89,3,0)*0.475*44/12</f>
        <v>1.6969262143510286</v>
      </c>
      <c r="AC38" s="24">
        <f t="shared" si="3"/>
        <v>24.462136518417598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403.50769230769225</v>
      </c>
      <c r="L39" s="13">
        <f>VLOOKUP(A39,'Données projet'!$A$35:$I$55,9,0)</f>
        <v>22.884615384615376</v>
      </c>
      <c r="M39" s="13">
        <f t="array" ref="M39">INDEX(L:L,MIN(IF(ISNUMBER(L39:L235),ROW(L39:L235),"")))</f>
        <v>22.884615384615376</v>
      </c>
      <c r="N39" s="14">
        <f>IF('Données projet'!$A$36&gt;35,N38+M39-V38,IF(A39&lt;'Données projet'!$A$36,$K$205^A39,IF(A39='Données projet'!$A$36,'Données projet'!$B$36,N38+M39-V38)))</f>
        <v>403.50769230769203</v>
      </c>
      <c r="O39" s="14">
        <f>N39*VLOOKUP('Données projet'!$B$9,Paramètres!$A$1:$I$89,3,0)*VLOOKUP('Données projet'!$B$9,Paramètres!$A$1:$I$89,5,0)</f>
        <v>225.56079999999986</v>
      </c>
      <c r="P39" s="14">
        <f t="shared" si="33"/>
        <v>55.321736658663617</v>
      </c>
      <c r="Q39" s="22">
        <f t="shared" si="53"/>
        <v>489.20375134717227</v>
      </c>
      <c r="R39" s="62">
        <f t="shared" si="0"/>
        <v>782.53708468050559</v>
      </c>
      <c r="S39" s="62">
        <f ca="1">AVERAGE(OFFSET($R$3,0,0,'Données projet'!$E$9+1,1))-AVERAGE(OFFSET($H$3,0,0,'Données projet'!$E$9+1,1))</f>
        <v>335.04906256888819</v>
      </c>
      <c r="T39" s="62">
        <f t="shared" si="34"/>
        <v>440.84111898279554</v>
      </c>
      <c r="U39" s="16">
        <f>IF(ISNA(VLOOKUP(A39,'Données projet'!$A$35:$I$55,3,0)),0,VLOOKUP(A39,'Données projet'!$A$35:$I$55,3,0))</f>
        <v>4</v>
      </c>
      <c r="V39" s="16">
        <f>IF(ISNA(VLOOKUP(A39,'Données projet'!$A$35:$I$55,4,0)),0,VLOOKUP(A39,'Données projet'!$A$35:$I$55,4,0))</f>
        <v>69.3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4.7565233874927983</v>
      </c>
      <c r="AA39" s="23">
        <f>EXP(-LN(2)/25)*AA38+(1-EXP(-LN(2)/25))/(LN(2)/25)*Calculateur!V39*Calculateur!X39*VLOOKUP('Données projet'!$B$9,Paramètres!$A$1:$I$89,3,0)*0.475*44/12</f>
        <v>17.423701859781463</v>
      </c>
      <c r="AB39" s="23">
        <f>EXP(-LN(2)/2)*AB38+(1-EXP(-LN(2)/2))/(LN(2)/2)*V39*Y39*VLOOKUP('Données projet'!$B$9,Paramètres!$A$1:$I$89,3,0)*0.475*44/12</f>
        <v>1.1999080333408294</v>
      </c>
      <c r="AC39" s="24">
        <f t="shared" si="3"/>
        <v>23.380133280615091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22.419230769230779</v>
      </c>
      <c r="N40" s="14">
        <f>IF('Données projet'!$A$36&gt;35,N39+M40-V39,IF(A40&lt;'Données projet'!$A$36,$K$205^A40,IF(A40='Données projet'!$A$36,'Données projet'!$B$36,N39+M40-V39)))</f>
        <v>356.62692307692276</v>
      </c>
      <c r="O40" s="14">
        <f>N40*VLOOKUP('Données projet'!$B$9,Paramètres!$A$1:$I$89,3,0)*VLOOKUP('Données projet'!$B$9,Paramètres!$A$1:$I$89,5,0)</f>
        <v>199.35444999999984</v>
      </c>
      <c r="P40" s="14">
        <f t="shared" si="33"/>
        <v>49.602268690733197</v>
      </c>
      <c r="Q40" s="22">
        <f t="shared" si="53"/>
        <v>433.59961838636008</v>
      </c>
      <c r="R40" s="62">
        <f t="shared" si="0"/>
        <v>726.93295171969339</v>
      </c>
      <c r="S40" s="62">
        <f ca="1">AVERAGE(OFFSET($R$3,0,0,'Données projet'!$E$9+1,1))-AVERAGE(OFFSET($H$3,0,0,'Données projet'!$E$9+1,1))</f>
        <v>335.04906256888819</v>
      </c>
      <c r="T40" s="62">
        <f t="shared" si="34"/>
        <v>440.84111898279554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4.6632508650568623</v>
      </c>
      <c r="AA40" s="23">
        <f>EXP(-LN(2)/25)*AA39+(1-EXP(-LN(2)/25))/(LN(2)/25)*Calculateur!V40*Calculateur!X40*VLOOKUP('Données projet'!$B$9,Paramètres!$A$1:$I$89,3,0)*0.475*44/12</f>
        <v>16.947249816153082</v>
      </c>
      <c r="AB40" s="23">
        <f>EXP(-LN(2)/2)*AB39+(1-EXP(-LN(2)/2))/(LN(2)/2)*V40*Y40*VLOOKUP('Données projet'!$B$9,Paramètres!$A$1:$I$89,3,0)*0.475*44/12</f>
        <v>0.84846310717551454</v>
      </c>
      <c r="AC40" s="24">
        <f t="shared" si="3"/>
        <v>22.458963788385461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22.419230769230779</v>
      </c>
      <c r="N41" s="14">
        <f>IF('Données projet'!$A$36&gt;35,N40+M41-V40,IF(A41&lt;'Données projet'!$A$36,$K$205^A41,IF(A41='Données projet'!$A$36,'Données projet'!$B$36,N40+M41-V40)))</f>
        <v>379.04615384615352</v>
      </c>
      <c r="O41" s="14">
        <f>N41*VLOOKUP('Données projet'!$B$9,Paramètres!$A$1:$I$89,3,0)*VLOOKUP('Données projet'!$B$9,Paramètres!$A$1:$I$89,5,0)</f>
        <v>211.88679999999982</v>
      </c>
      <c r="P41" s="14">
        <f t="shared" si="33"/>
        <v>52.347684082939267</v>
      </c>
      <c r="Q41" s="22">
        <f t="shared" si="53"/>
        <v>460.20839311111894</v>
      </c>
      <c r="R41" s="62">
        <f t="shared" si="0"/>
        <v>753.54172644445225</v>
      </c>
      <c r="S41" s="62">
        <f ca="1">AVERAGE(OFFSET($R$3,0,0,'Données projet'!$E$9+1,1))-AVERAGE(OFFSET($H$3,0,0,'Données projet'!$E$9+1,1))</f>
        <v>335.04906256888819</v>
      </c>
      <c r="T41" s="62">
        <f t="shared" si="34"/>
        <v>440.84111898279554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4.5718073598952733</v>
      </c>
      <c r="AA41" s="23">
        <f>EXP(-LN(2)/25)*AA40+(1-EXP(-LN(2)/25))/(LN(2)/25)*Calculateur!V41*Calculateur!X41*VLOOKUP('Données projet'!$B$9,Paramètres!$A$1:$I$89,3,0)*0.475*44/12</f>
        <v>16.483826378713243</v>
      </c>
      <c r="AB41" s="23">
        <f>EXP(-LN(2)/2)*AB40+(1-EXP(-LN(2)/2))/(LN(2)/2)*V41*Y41*VLOOKUP('Données projet'!$B$9,Paramètres!$A$1:$I$89,3,0)*0.475*44/12</f>
        <v>0.59995401667041481</v>
      </c>
      <c r="AC41" s="24">
        <f t="shared" si="3"/>
        <v>21.655587755278933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22.419230769230779</v>
      </c>
      <c r="N42" s="14">
        <f>IF('Données projet'!$A$36&gt;35,N41+M42-V41,IF(A42&lt;'Données projet'!$A$36,$K$205^A42,IF(A42='Données projet'!$A$36,'Données projet'!$B$36,N41+M42-V41)))</f>
        <v>401.46538461538432</v>
      </c>
      <c r="O42" s="14">
        <f>N42*VLOOKUP('Données projet'!$B$9,Paramètres!$A$1:$I$89,3,0)*VLOOKUP('Données projet'!$B$9,Paramètres!$A$1:$I$89,5,0)</f>
        <v>224.41914999999986</v>
      </c>
      <c r="P42" s="14">
        <f t="shared" si="33"/>
        <v>55.074251579267411</v>
      </c>
      <c r="Q42" s="22">
        <f t="shared" si="53"/>
        <v>486.78434108389047</v>
      </c>
      <c r="R42" s="62">
        <f t="shared" si="0"/>
        <v>780.11767441722372</v>
      </c>
      <c r="S42" s="62">
        <f ca="1">AVERAGE(OFFSET($R$3,0,0,'Données projet'!$E$9+1,1))-AVERAGE(OFFSET($H$3,0,0,'Données projet'!$E$9+1,1))</f>
        <v>335.04906256888819</v>
      </c>
      <c r="T42" s="62">
        <f t="shared" si="34"/>
        <v>440.84111898279554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4.4821570060948721</v>
      </c>
      <c r="AA42" s="23">
        <f>EXP(-LN(2)/25)*AA41+(1-EXP(-LN(2)/25))/(LN(2)/25)*Calculateur!V42*Calculateur!X42*VLOOKUP('Données projet'!$B$9,Paramètres!$A$1:$I$89,3,0)*0.475*44/12</f>
        <v>16.033075279540576</v>
      </c>
      <c r="AB42" s="23">
        <f>EXP(-LN(2)/2)*AB41+(1-EXP(-LN(2)/2))/(LN(2)/2)*V42*Y42*VLOOKUP('Données projet'!$B$9,Paramètres!$A$1:$I$89,3,0)*0.475*44/12</f>
        <v>0.42423155358775733</v>
      </c>
      <c r="AC42" s="24">
        <f t="shared" si="3"/>
        <v>20.939463839223205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22.419230769230779</v>
      </c>
      <c r="N43" s="14">
        <f>IF('Données projet'!$A$36&gt;35,N42+M43-V42,IF(A43&lt;'Données projet'!$A$36,$K$205^A43,IF(A43='Données projet'!$A$36,'Données projet'!$B$36,N42+M43-V42)))</f>
        <v>423.88461538461513</v>
      </c>
      <c r="O43" s="14">
        <f>N43*VLOOKUP('Données projet'!$B$9,Paramètres!$A$1:$I$89,3,0)*VLOOKUP('Données projet'!$B$9,Paramètres!$A$1:$I$89,5,0)</f>
        <v>236.95149999999987</v>
      </c>
      <c r="P43" s="14">
        <f t="shared" si="33"/>
        <v>57.783143668102703</v>
      </c>
      <c r="Q43" s="22">
        <f t="shared" si="53"/>
        <v>513.32950438861201</v>
      </c>
      <c r="R43" s="62">
        <f t="shared" si="0"/>
        <v>806.66283772194538</v>
      </c>
      <c r="S43" s="62">
        <f ca="1">AVERAGE(OFFSET($R$3,0,0,'Données projet'!$E$9+1,1))-AVERAGE(OFFSET($H$3,0,0,'Données projet'!$E$9+1,1))</f>
        <v>335.04906256888819</v>
      </c>
      <c r="T43" s="62">
        <f t="shared" si="34"/>
        <v>440.84111898279554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4.3942646410511808</v>
      </c>
      <c r="AA43" s="23">
        <f>EXP(-LN(2)/25)*AA42+(1-EXP(-LN(2)/25))/(LN(2)/25)*Calculateur!V43*Calculateur!X43*VLOOKUP('Données projet'!$B$9,Paramètres!$A$1:$I$89,3,0)*0.475*44/12</f>
        <v>15.594649992878754</v>
      </c>
      <c r="AB43" s="23">
        <f>EXP(-LN(2)/2)*AB42+(1-EXP(-LN(2)/2))/(LN(2)/2)*V43*Y43*VLOOKUP('Données projet'!$B$9,Paramètres!$A$1:$I$89,3,0)*0.475*44/12</f>
        <v>0.29997700833520746</v>
      </c>
      <c r="AC43" s="24">
        <f t="shared" si="3"/>
        <v>20.288891642265142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22.419230769230779</v>
      </c>
      <c r="N44" s="14">
        <f>IF('Données projet'!$A$36&gt;35,N43+M44-V43,IF(A44&lt;'Données projet'!$A$36,$K$205^A44,IF(A44='Données projet'!$A$36,'Données projet'!$B$36,N43+M44-V43)))</f>
        <v>446.30384615384594</v>
      </c>
      <c r="O44" s="14">
        <f>N44*VLOOKUP('Données projet'!$B$9,Paramètres!$A$1:$I$89,3,0)*VLOOKUP('Données projet'!$B$9,Paramètres!$A$1:$I$89,5,0)</f>
        <v>249.4838499999999</v>
      </c>
      <c r="P44" s="14">
        <f t="shared" si="33"/>
        <v>60.475401807280001</v>
      </c>
      <c r="Q44" s="22">
        <f t="shared" si="53"/>
        <v>539.84569689767909</v>
      </c>
      <c r="R44" s="62">
        <f t="shared" si="0"/>
        <v>833.17903023101235</v>
      </c>
      <c r="S44" s="62">
        <f ca="1">AVERAGE(OFFSET($R$3,0,0,'Données projet'!$E$9+1,1))-AVERAGE(OFFSET($H$3,0,0,'Données projet'!$E$9+1,1))</f>
        <v>335.04906256888819</v>
      </c>
      <c r="T44" s="62">
        <f t="shared" si="34"/>
        <v>440.84111898279554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4.3080957916769469</v>
      </c>
      <c r="AA44" s="23">
        <f>EXP(-LN(2)/25)*AA43+(1-EXP(-LN(2)/25))/(LN(2)/25)*Calculateur!V44*Calculateur!X44*VLOOKUP('Données projet'!$B$9,Paramètres!$A$1:$I$89,3,0)*0.475*44/12</f>
        <v>15.168213468736484</v>
      </c>
      <c r="AB44" s="23">
        <f>EXP(-LN(2)/2)*AB43+(1-EXP(-LN(2)/2))/(LN(2)/2)*V44*Y44*VLOOKUP('Données projet'!$B$9,Paramètres!$A$1:$I$89,3,0)*0.475*44/12</f>
        <v>0.21211577679387869</v>
      </c>
      <c r="AC44" s="24">
        <f t="shared" si="3"/>
        <v>19.68842503720731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468.72307692307692</v>
      </c>
      <c r="L45" s="13">
        <f>VLOOKUP(A45,'Données projet'!$A$35:$I$55,9,0)</f>
        <v>22.419230769230779</v>
      </c>
      <c r="M45" s="13">
        <f t="array" ref="M45">INDEX(L:L,MIN(IF(ISNUMBER(L45:L241),ROW(L45:L241),"")))</f>
        <v>22.419230769230779</v>
      </c>
      <c r="N45" s="14">
        <f>IF('Données projet'!$A$36&gt;35,N44+M45-V44,IF(A45&lt;'Données projet'!$A$36,$K$205^A45,IF(A45='Données projet'!$A$36,'Données projet'!$B$36,N44+M45-V44)))</f>
        <v>468.72307692307675</v>
      </c>
      <c r="O45" s="14">
        <f>N45*VLOOKUP('Données projet'!$B$9,Paramètres!$A$1:$I$89,3,0)*VLOOKUP('Données projet'!$B$9,Paramètres!$A$1:$I$89,5,0)</f>
        <v>262.01619999999991</v>
      </c>
      <c r="P45" s="14">
        <f t="shared" si="33"/>
        <v>63.151956912854573</v>
      </c>
      <c r="Q45" s="22">
        <f t="shared" si="53"/>
        <v>566.33453995655486</v>
      </c>
      <c r="R45" s="62">
        <f t="shared" si="0"/>
        <v>859.66787328988812</v>
      </c>
      <c r="S45" s="62">
        <f ca="1">AVERAGE(OFFSET($R$3,0,0,'Données projet'!$E$9+1,1))-AVERAGE(OFFSET($H$3,0,0,'Données projet'!$E$9+1,1))</f>
        <v>335.04906256888819</v>
      </c>
      <c r="T45" s="62">
        <f t="shared" si="34"/>
        <v>440.84111898279554</v>
      </c>
      <c r="U45" s="16">
        <f>IF(ISNA(VLOOKUP(A45,'Données projet'!$A$35:$I$55,3,0)),0,VLOOKUP(A45,'Données projet'!$A$35:$I$55,3,0))</f>
        <v>5</v>
      </c>
      <c r="V45" s="16">
        <f>IF(ISNA(VLOOKUP(A45,'Données projet'!$A$35:$I$55,4,0)),0,VLOOKUP(A45,'Données projet'!$A$35:$I$55,4,0))</f>
        <v>73.392307692307682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4.2236166608811327</v>
      </c>
      <c r="AA45" s="23">
        <f>EXP(-LN(2)/25)*AA44+(1-EXP(-LN(2)/25))/(LN(2)/25)*Calculateur!V45*Calculateur!X45*VLOOKUP('Données projet'!$B$9,Paramètres!$A$1:$I$89,3,0)*0.475*44/12</f>
        <v>14.753437873772207</v>
      </c>
      <c r="AB45" s="23">
        <f>EXP(-LN(2)/2)*AB44+(1-EXP(-LN(2)/2))/(LN(2)/2)*V45*Y45*VLOOKUP('Données projet'!$B$9,Paramètres!$A$1:$I$89,3,0)*0.475*44/12</f>
        <v>0.14998850416760373</v>
      </c>
      <c r="AC45" s="24">
        <f t="shared" si="3"/>
        <v>19.127043038820943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21.625641025641027</v>
      </c>
      <c r="N46" s="14">
        <f>IF('Données projet'!$A$36&gt;35,N45+M46-V45,IF(A46&lt;'Données projet'!$A$36,$K$205^A46,IF(A46='Données projet'!$A$36,'Données projet'!$B$36,N45+M46-V45)))</f>
        <v>416.95641025641009</v>
      </c>
      <c r="O46" s="14">
        <f>N46*VLOOKUP('Données projet'!$B$9,Paramètres!$A$1:$I$89,3,0)*VLOOKUP('Données projet'!$B$9,Paramètres!$A$1:$I$89,5,0)</f>
        <v>233.07863333333327</v>
      </c>
      <c r="P46" s="14">
        <f t="shared" si="33"/>
        <v>56.947838023653489</v>
      </c>
      <c r="Q46" s="22">
        <f t="shared" si="53"/>
        <v>505.12943761341859</v>
      </c>
      <c r="R46" s="62">
        <f t="shared" si="0"/>
        <v>798.4627709467519</v>
      </c>
      <c r="S46" s="62">
        <f ca="1">AVERAGE(OFFSET($R$3,0,0,'Données projet'!$E$9+1,1))-AVERAGE(OFFSET($H$3,0,0,'Données projet'!$E$9+1,1))</f>
        <v>335.04906256888819</v>
      </c>
      <c r="T46" s="62">
        <f t="shared" si="34"/>
        <v>440.84111898279554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4.1407941143130431</v>
      </c>
      <c r="AA46" s="23">
        <f>EXP(-LN(2)/25)*AA45+(1-EXP(-LN(2)/25))/(LN(2)/25)*Calculateur!V46*Calculateur!X46*VLOOKUP('Données projet'!$B$9,Paramètres!$A$1:$I$89,3,0)*0.475*44/12</f>
        <v>14.350004339264327</v>
      </c>
      <c r="AB46" s="23">
        <f>EXP(-LN(2)/2)*AB45+(1-EXP(-LN(2)/2))/(LN(2)/2)*V46*Y46*VLOOKUP('Données projet'!$B$9,Paramètres!$A$1:$I$89,3,0)*0.475*44/12</f>
        <v>0.10605788839693935</v>
      </c>
      <c r="AC46" s="24">
        <f t="shared" si="3"/>
        <v>18.596856341974309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21.625641025641027</v>
      </c>
      <c r="N47" s="14">
        <f>IF('Données projet'!$A$36&gt;35,N46+M47-V46,IF(A47&lt;'Données projet'!$A$36,$K$205^A47,IF(A47='Données projet'!$A$36,'Données projet'!$B$36,N46+M47-V46)))</f>
        <v>438.58205128205111</v>
      </c>
      <c r="O47" s="14">
        <f>N47*VLOOKUP('Données projet'!$B$9,Paramètres!$A$1:$I$89,3,0)*VLOOKUP('Données projet'!$B$9,Paramètres!$A$1:$I$89,5,0)</f>
        <v>245.16736666666657</v>
      </c>
      <c r="P47" s="14">
        <f t="shared" si="33"/>
        <v>59.549932468183236</v>
      </c>
      <c r="Q47" s="22">
        <f t="shared" si="53"/>
        <v>530.71596265986329</v>
      </c>
      <c r="R47" s="62">
        <f t="shared" si="0"/>
        <v>824.04929599319667</v>
      </c>
      <c r="S47" s="62">
        <f ca="1">AVERAGE(OFFSET($R$3,0,0,'Données projet'!$E$9+1,1))-AVERAGE(OFFSET($H$3,0,0,'Données projet'!$E$9+1,1))</f>
        <v>335.04906256888819</v>
      </c>
      <c r="T47" s="62">
        <f t="shared" si="34"/>
        <v>440.84111898279554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4.0595956673663887</v>
      </c>
      <c r="AA47" s="23">
        <f>EXP(-LN(2)/25)*AA46+(1-EXP(-LN(2)/25))/(LN(2)/25)*Calculateur!V47*Calculateur!X47*VLOOKUP('Données projet'!$B$9,Paramètres!$A$1:$I$89,3,0)*0.475*44/12</f>
        <v>13.957602715973213</v>
      </c>
      <c r="AB47" s="23">
        <f>EXP(-LN(2)/2)*AB46+(1-EXP(-LN(2)/2))/(LN(2)/2)*V47*Y47*VLOOKUP('Données projet'!$B$9,Paramètres!$A$1:$I$89,3,0)*0.475*44/12</f>
        <v>7.4994252083801866E-2</v>
      </c>
      <c r="AC47" s="24">
        <f t="shared" si="3"/>
        <v>18.092192635423402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21.625641025641027</v>
      </c>
      <c r="N48" s="14">
        <f>IF('Données projet'!$A$36&gt;35,N47+M48-V47,IF(A48&lt;'Données projet'!$A$36,$K$205^A48,IF(A48='Données projet'!$A$36,'Données projet'!$B$36,N47+M48-V47)))</f>
        <v>460.20769230769213</v>
      </c>
      <c r="O48" s="14">
        <f>N48*VLOOKUP('Données projet'!$B$9,Paramètres!$A$1:$I$89,3,0)*VLOOKUP('Données projet'!$B$9,Paramètres!$A$1:$I$89,5,0)</f>
        <v>257.25609999999995</v>
      </c>
      <c r="P48" s="14">
        <f t="shared" si="33"/>
        <v>62.137128695600659</v>
      </c>
      <c r="Q48" s="22">
        <f t="shared" si="53"/>
        <v>556.27653997817106</v>
      </c>
      <c r="R48" s="62">
        <f t="shared" si="0"/>
        <v>849.60987331150432</v>
      </c>
      <c r="S48" s="62">
        <f ca="1">AVERAGE(OFFSET($R$3,0,0,'Données projet'!$E$9+1,1))-AVERAGE(OFFSET($H$3,0,0,'Données projet'!$E$9+1,1))</f>
        <v>335.04906256888819</v>
      </c>
      <c r="T48" s="62">
        <f t="shared" si="34"/>
        <v>440.84111898279554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3.9799894724381955</v>
      </c>
      <c r="AA48" s="23">
        <f>EXP(-LN(2)/25)*AA47+(1-EXP(-LN(2)/25))/(LN(2)/25)*Calculateur!V48*Calculateur!X48*VLOOKUP('Données projet'!$B$9,Paramètres!$A$1:$I$89,3,0)*0.475*44/12</f>
        <v>13.5759313357065</v>
      </c>
      <c r="AB48" s="23">
        <f>EXP(-LN(2)/2)*AB47+(1-EXP(-LN(2)/2))/(LN(2)/2)*V48*Y48*VLOOKUP('Données projet'!$B$9,Paramètres!$A$1:$I$89,3,0)*0.475*44/12</f>
        <v>5.3028944198469673E-2</v>
      </c>
      <c r="AC48" s="24">
        <f t="shared" si="3"/>
        <v>17.608949752343165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21.625641025641027</v>
      </c>
      <c r="N49" s="14">
        <f>IF('Données projet'!$A$36&gt;35,N48+M49-V48,IF(A49&lt;'Données projet'!$A$36,$K$205^A49,IF(A49='Données projet'!$A$36,'Données projet'!$B$36,N48+M49-V48)))</f>
        <v>481.83333333333314</v>
      </c>
      <c r="O49" s="14">
        <f>N49*VLOOKUP('Données projet'!$B$9,Paramètres!$A$1:$I$89,3,0)*VLOOKUP('Données projet'!$B$9,Paramètres!$A$1:$I$89,5,0)</f>
        <v>269.34483333333321</v>
      </c>
      <c r="P49" s="14">
        <f t="shared" si="33"/>
        <v>64.710206731812519</v>
      </c>
      <c r="Q49" s="22">
        <f t="shared" si="53"/>
        <v>581.81252811346212</v>
      </c>
      <c r="R49" s="62">
        <f t="shared" si="0"/>
        <v>875.14586144679538</v>
      </c>
      <c r="S49" s="62">
        <f ca="1">AVERAGE(OFFSET($R$3,0,0,'Données projet'!$E$9+1,1))-AVERAGE(OFFSET($H$3,0,0,'Données projet'!$E$9+1,1))</f>
        <v>335.04906256888819</v>
      </c>
      <c r="T49" s="62">
        <f t="shared" si="34"/>
        <v>440.84111898279554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3.9019443064375596</v>
      </c>
      <c r="AA49" s="23">
        <f>EXP(-LN(2)/25)*AA48+(1-EXP(-LN(2)/25))/(LN(2)/25)*Calculateur!V49*Calculateur!X49*VLOOKUP('Données projet'!$B$9,Paramètres!$A$1:$I$89,3,0)*0.475*44/12</f>
        <v>13.204696779404404</v>
      </c>
      <c r="AB49" s="23">
        <f>EXP(-LN(2)/2)*AB48+(1-EXP(-LN(2)/2))/(LN(2)/2)*V49*Y49*VLOOKUP('Données projet'!$B$9,Paramètres!$A$1:$I$89,3,0)*0.475*44/12</f>
        <v>3.7497126041900933E-2</v>
      </c>
      <c r="AC49" s="24">
        <f t="shared" si="3"/>
        <v>17.144138211883867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21.625641025641027</v>
      </c>
      <c r="N50" s="14">
        <f>IF('Données projet'!$A$36&gt;35,N49+M50-V49,IF(A50&lt;'Données projet'!$A$36,$K$205^A50,IF(A50='Données projet'!$A$36,'Données projet'!$B$36,N49+M50-V49)))</f>
        <v>503.45897435897416</v>
      </c>
      <c r="O50" s="14">
        <f>N50*VLOOKUP('Données projet'!$B$9,Paramètres!$A$1:$I$89,3,0)*VLOOKUP('Données projet'!$B$9,Paramètres!$A$1:$I$89,5,0)</f>
        <v>281.43356666666659</v>
      </c>
      <c r="P50" s="14">
        <f t="shared" si="33"/>
        <v>67.26987262617007</v>
      </c>
      <c r="Q50" s="22">
        <f t="shared" si="53"/>
        <v>607.32515676835726</v>
      </c>
      <c r="R50" s="62">
        <f t="shared" si="0"/>
        <v>900.65849010169063</v>
      </c>
      <c r="S50" s="62">
        <f ca="1">AVERAGE(OFFSET($R$3,0,0,'Données projet'!$E$9+1,1))-AVERAGE(OFFSET($H$3,0,0,'Données projet'!$E$9+1,1))</f>
        <v>335.04906256888819</v>
      </c>
      <c r="T50" s="62">
        <f t="shared" si="34"/>
        <v>440.84111898279554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3.8254295585393452</v>
      </c>
      <c r="AA50" s="23">
        <f>EXP(-LN(2)/25)*AA49+(1-EXP(-LN(2)/25))/(LN(2)/25)*Calculateur!V50*Calculateur!X50*VLOOKUP('Données projet'!$B$9,Paramètres!$A$1:$I$89,3,0)*0.475*44/12</f>
        <v>12.843613651566766</v>
      </c>
      <c r="AB50" s="23">
        <f>EXP(-LN(2)/2)*AB49+(1-EXP(-LN(2)/2))/(LN(2)/2)*V50*Y50*VLOOKUP('Données projet'!$B$9,Paramètres!$A$1:$I$89,3,0)*0.475*44/12</f>
        <v>2.6514472099234836E-2</v>
      </c>
      <c r="AC50" s="24">
        <f t="shared" si="3"/>
        <v>16.695557682205344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525.0846153846154</v>
      </c>
      <c r="L51" s="13">
        <f>VLOOKUP(A51,'Données projet'!$A$35:$I$55,9,0)</f>
        <v>21.625641025641027</v>
      </c>
      <c r="M51" s="13">
        <f t="array" ref="M51">INDEX(L:L,MIN(IF(ISNUMBER(L51:L247),ROW(L51:L247),"")))</f>
        <v>21.625641025641027</v>
      </c>
      <c r="N51" s="14">
        <f>IF('Données projet'!$A$36&gt;35,N50+M51-V50,IF(A51&lt;'Données projet'!$A$36,$K$205^A51,IF(A51='Données projet'!$A$36,'Données projet'!$B$36,N50+M51-V50)))</f>
        <v>525.08461538461518</v>
      </c>
      <c r="O51" s="14">
        <f>N51*VLOOKUP('Données projet'!$B$9,Paramètres!$A$1:$I$89,3,0)*VLOOKUP('Données projet'!$B$9,Paramètres!$A$1:$I$89,5,0)</f>
        <v>293.52229999999986</v>
      </c>
      <c r="P51" s="14">
        <f t="shared" si="33"/>
        <v>69.816768342057628</v>
      </c>
      <c r="Q51" s="22">
        <f t="shared" si="53"/>
        <v>632.81554402908341</v>
      </c>
      <c r="R51" s="62">
        <f t="shared" si="0"/>
        <v>926.14887736241667</v>
      </c>
      <c r="S51" s="62">
        <f ca="1">AVERAGE(OFFSET($R$3,0,0,'Données projet'!$E$9+1,1))-AVERAGE(OFFSET($H$3,0,0,'Données projet'!$E$9+1,1))</f>
        <v>335.04906256888819</v>
      </c>
      <c r="T51" s="62">
        <f t="shared" si="34"/>
        <v>440.84111898279554</v>
      </c>
      <c r="U51" s="16">
        <f>IF(ISNA(VLOOKUP(A51,'Données projet'!$A$35:$I$55,3,0)),0,VLOOKUP(A51,'Données projet'!$A$35:$I$55,3,0))</f>
        <v>6</v>
      </c>
      <c r="V51" s="16">
        <f>IF(ISNA(VLOOKUP(A51,'Données projet'!$A$35:$I$55,4,0)),0,VLOOKUP(A51,'Données projet'!$A$35:$I$55,4,0))</f>
        <v>81.330769230769235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3.750415218178027</v>
      </c>
      <c r="AA51" s="23">
        <f>EXP(-LN(2)/25)*AA50+(1-EXP(-LN(2)/25))/(LN(2)/25)*Calculateur!V51*Calculateur!X51*VLOOKUP('Données projet'!$B$9,Paramètres!$A$1:$I$89,3,0)*0.475*44/12</f>
        <v>12.492404360848386</v>
      </c>
      <c r="AB51" s="23">
        <f>EXP(-LN(2)/2)*AB50+(1-EXP(-LN(2)/2))/(LN(2)/2)*V51*Y51*VLOOKUP('Données projet'!$B$9,Paramètres!$A$1:$I$89,3,0)*0.475*44/12</f>
        <v>1.8748563020950466E-2</v>
      </c>
      <c r="AC51" s="24">
        <f t="shared" si="3"/>
        <v>16.261568142047363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20.507692307692299</v>
      </c>
      <c r="N52" s="14">
        <f>IF('Données projet'!$A$36&gt;35,N51+M52-V51,IF(A52&lt;'Données projet'!$A$36,$K$205^A52,IF(A52='Données projet'!$A$36,'Données projet'!$B$36,N51+M52-V51)))</f>
        <v>464.26153846153824</v>
      </c>
      <c r="O52" s="14">
        <f>N52*VLOOKUP('Données projet'!$B$9,Paramètres!$A$1:$I$89,3,0)*VLOOKUP('Données projet'!$B$9,Paramètres!$A$1:$I$89,5,0)</f>
        <v>259.52219999999988</v>
      </c>
      <c r="P52" s="14">
        <f t="shared" si="33"/>
        <v>62.620519404058868</v>
      </c>
      <c r="Q52" s="22">
        <f t="shared" si="53"/>
        <v>561.06523629540231</v>
      </c>
      <c r="R52" s="62">
        <f t="shared" si="0"/>
        <v>854.39856962873569</v>
      </c>
      <c r="S52" s="62">
        <f ca="1">AVERAGE(OFFSET($R$3,0,0,'Données projet'!$E$9+1,1))-AVERAGE(OFFSET($H$3,0,0,'Données projet'!$E$9+1,1))</f>
        <v>335.04906256888819</v>
      </c>
      <c r="T52" s="62">
        <f t="shared" si="34"/>
        <v>440.84111898279554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3.6768718632769644</v>
      </c>
      <c r="AA52" s="23">
        <f>EXP(-LN(2)/25)*AA51+(1-EXP(-LN(2)/25))/(LN(2)/25)*Calculateur!V52*Calculateur!X52*VLOOKUP('Données projet'!$B$9,Paramètres!$A$1:$I$89,3,0)*0.475*44/12</f>
        <v>12.150798906653995</v>
      </c>
      <c r="AB52" s="23">
        <f>EXP(-LN(2)/2)*AB51+(1-EXP(-LN(2)/2))/(LN(2)/2)*V52*Y52*VLOOKUP('Données projet'!$B$9,Paramètres!$A$1:$I$89,3,0)*0.475*44/12</f>
        <v>1.3257236049617418E-2</v>
      </c>
      <c r="AC52" s="24">
        <f t="shared" si="3"/>
        <v>15.840928005980576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20.507692307692299</v>
      </c>
      <c r="N53" s="14">
        <f>IF('Données projet'!$A$36&gt;35,N52+M53-V52,IF(A53&lt;'Données projet'!$A$36,$K$205^A53,IF(A53='Données projet'!$A$36,'Données projet'!$B$36,N52+M53-V52)))</f>
        <v>484.76923076923055</v>
      </c>
      <c r="O53" s="14">
        <f>N53*VLOOKUP('Données projet'!$B$9,Paramètres!$A$1:$I$89,3,0)*VLOOKUP('Données projet'!$B$9,Paramètres!$A$1:$I$89,5,0)</f>
        <v>270.98599999999988</v>
      </c>
      <c r="P53" s="14">
        <f t="shared" si="33"/>
        <v>65.058478958733772</v>
      </c>
      <c r="Q53" s="22">
        <f t="shared" si="53"/>
        <v>585.27746751979441</v>
      </c>
      <c r="R53" s="62">
        <f t="shared" si="0"/>
        <v>878.61080085312778</v>
      </c>
      <c r="S53" s="62">
        <f ca="1">AVERAGE(OFFSET($R$3,0,0,'Données projet'!$E$9+1,1))-AVERAGE(OFFSET($H$3,0,0,'Données projet'!$E$9+1,1))</f>
        <v>335.04906256888819</v>
      </c>
      <c r="T53" s="62">
        <f t="shared" si="34"/>
        <v>440.84111898279554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3.6047706487084943</v>
      </c>
      <c r="AA53" s="23">
        <f>EXP(-LN(2)/25)*AA52+(1-EXP(-LN(2)/25))/(LN(2)/25)*Calculateur!V53*Calculateur!X53*VLOOKUP('Données projet'!$B$9,Paramètres!$A$1:$I$89,3,0)*0.475*44/12</f>
        <v>11.818534671568798</v>
      </c>
      <c r="AB53" s="23">
        <f>EXP(-LN(2)/2)*AB52+(1-EXP(-LN(2)/2))/(LN(2)/2)*V53*Y53*VLOOKUP('Données projet'!$B$9,Paramètres!$A$1:$I$89,3,0)*0.475*44/12</f>
        <v>9.3742815104752332E-3</v>
      </c>
      <c r="AC53" s="24">
        <f t="shared" si="3"/>
        <v>15.432679601787768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20.507692307692299</v>
      </c>
      <c r="N54" s="14">
        <f>IF('Données projet'!$A$36&gt;35,N53+M54-V53,IF(A54&lt;'Données projet'!$A$36,$K$205^A54,IF(A54='Données projet'!$A$36,'Données projet'!$B$36,N53+M54-V53)))</f>
        <v>505.27692307692286</v>
      </c>
      <c r="O54" s="14">
        <f>N54*VLOOKUP('Données projet'!$B$9,Paramètres!$A$1:$I$89,3,0)*VLOOKUP('Données projet'!$B$9,Paramètres!$A$1:$I$89,5,0)</f>
        <v>282.44979999999987</v>
      </c>
      <c r="P54" s="14">
        <f t="shared" si="33"/>
        <v>67.484459274997945</v>
      </c>
      <c r="Q54" s="22">
        <f t="shared" si="53"/>
        <v>609.46883490395442</v>
      </c>
      <c r="R54" s="62">
        <f t="shared" si="0"/>
        <v>902.80216823728779</v>
      </c>
      <c r="S54" s="62">
        <f ca="1">AVERAGE(OFFSET($R$3,0,0,'Données projet'!$E$9+1,1))-AVERAGE(OFFSET($H$3,0,0,'Données projet'!$E$9+1,1))</f>
        <v>335.04906256888819</v>
      </c>
      <c r="T54" s="62">
        <f t="shared" si="34"/>
        <v>440.84111898279554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3.5340832949803134</v>
      </c>
      <c r="AA54" s="23">
        <f>EXP(-LN(2)/25)*AA53+(1-EXP(-LN(2)/25))/(LN(2)/25)*Calculateur!V54*Calculateur!X54*VLOOKUP('Données projet'!$B$9,Paramètres!$A$1:$I$89,3,0)*0.475*44/12</f>
        <v>11.495356219465023</v>
      </c>
      <c r="AB54" s="23">
        <f>EXP(-LN(2)/2)*AB53+(1-EXP(-LN(2)/2))/(LN(2)/2)*V54*Y54*VLOOKUP('Données projet'!$B$9,Paramètres!$A$1:$I$89,3,0)*0.475*44/12</f>
        <v>6.6286180248087091E-3</v>
      </c>
      <c r="AC54" s="24">
        <f t="shared" si="3"/>
        <v>15.036068132470145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20.507692307692299</v>
      </c>
      <c r="N55" s="14">
        <f>IF('Données projet'!$A$36&gt;35,N54+M55-V54,IF(A55&lt;'Données projet'!$A$36,$K$205^A55,IF(A55='Données projet'!$A$36,'Données projet'!$B$36,N54+M55-V54)))</f>
        <v>525.78461538461511</v>
      </c>
      <c r="O55" s="14">
        <f>N55*VLOOKUP('Données projet'!$B$9,Paramètres!$A$1:$I$89,3,0)*VLOOKUP('Données projet'!$B$9,Paramètres!$A$1:$I$89,5,0)</f>
        <v>293.91359999999986</v>
      </c>
      <c r="P55" s="14">
        <f t="shared" si="33"/>
        <v>69.899002171586702</v>
      </c>
      <c r="Q55" s="22">
        <f t="shared" si="53"/>
        <v>633.64028211551329</v>
      </c>
      <c r="R55" s="62">
        <f t="shared" si="0"/>
        <v>926.97361544884666</v>
      </c>
      <c r="S55" s="62">
        <f ca="1">AVERAGE(OFFSET($R$3,0,0,'Données projet'!$E$9+1,1))-AVERAGE(OFFSET($H$3,0,0,'Données projet'!$E$9+1,1))</f>
        <v>335.04906256888819</v>
      </c>
      <c r="T55" s="62">
        <f t="shared" si="34"/>
        <v>440.84111898279554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3.4647820771437137</v>
      </c>
      <c r="AA55" s="23">
        <f>EXP(-LN(2)/25)*AA54+(1-EXP(-LN(2)/25))/(LN(2)/25)*Calculateur!V55*Calculateur!X55*VLOOKUP('Données projet'!$B$9,Paramètres!$A$1:$I$89,3,0)*0.475*44/12</f>
        <v>11.181015099129242</v>
      </c>
      <c r="AB55" s="23">
        <f>EXP(-LN(2)/2)*AB54+(1-EXP(-LN(2)/2))/(LN(2)/2)*V55*Y55*VLOOKUP('Données projet'!$B$9,Paramètres!$A$1:$I$89,3,0)*0.475*44/12</f>
        <v>4.6871407552376166E-3</v>
      </c>
      <c r="AC55" s="24">
        <f t="shared" si="3"/>
        <v>14.650484317028193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20.507692307692299</v>
      </c>
      <c r="N56" s="14">
        <f>IF('Données projet'!$A$36&gt;35,N55+M56-V55,IF(A56&lt;'Données projet'!$A$36,$K$205^A56,IF(A56='Données projet'!$A$36,'Données projet'!$B$36,N55+M56-V55)))</f>
        <v>546.29230769230742</v>
      </c>
      <c r="O56" s="14">
        <f>N56*VLOOKUP('Données projet'!$B$9,Paramètres!$A$1:$I$89,3,0)*VLOOKUP('Données projet'!$B$9,Paramètres!$A$1:$I$89,5,0)</f>
        <v>305.37739999999985</v>
      </c>
      <c r="P56" s="14">
        <f t="shared" si="33"/>
        <v>72.302604807906476</v>
      </c>
      <c r="Q56" s="22">
        <f t="shared" si="53"/>
        <v>657.79267504043685</v>
      </c>
      <c r="R56" s="62">
        <f t="shared" si="0"/>
        <v>951.12600837377022</v>
      </c>
      <c r="S56" s="62">
        <f ca="1">AVERAGE(OFFSET($R$3,0,0,'Données projet'!$E$9+1,1))-AVERAGE(OFFSET($H$3,0,0,'Données projet'!$E$9+1,1))</f>
        <v>335.04906256888819</v>
      </c>
      <c r="T56" s="62">
        <f t="shared" si="34"/>
        <v>440.84111898279554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3.3968398139193208</v>
      </c>
      <c r="AA56" s="23">
        <f>EXP(-LN(2)/25)*AA55+(1-EXP(-LN(2)/25))/(LN(2)/25)*Calculateur!V56*Calculateur!X56*VLOOKUP('Données projet'!$B$9,Paramètres!$A$1:$I$89,3,0)*0.475*44/12</f>
        <v>10.875269653259524</v>
      </c>
      <c r="AB56" s="23">
        <f>EXP(-LN(2)/2)*AB55+(1-EXP(-LN(2)/2))/(LN(2)/2)*V56*Y56*VLOOKUP('Données projet'!$B$9,Paramètres!$A$1:$I$89,3,0)*0.475*44/12</f>
        <v>3.3143090124043545E-3</v>
      </c>
      <c r="AC56" s="24">
        <f t="shared" si="3"/>
        <v>14.27542377619125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566.79999999999995</v>
      </c>
      <c r="L57" s="13">
        <f>VLOOKUP(A57,'Données projet'!$A$35:$I$55,9,0)</f>
        <v>20.507692307692299</v>
      </c>
      <c r="M57" s="13">
        <f t="array" ref="M57">INDEX(L:L,MIN(IF(ISNUMBER(L57:L253),ROW(L57:L253),"")))</f>
        <v>20.507692307692299</v>
      </c>
      <c r="N57" s="14">
        <f>IF('Données projet'!$A$36&gt;35,N56+M57-V56,IF(A57&lt;'Données projet'!$A$36,$K$205^A57,IF(A57='Données projet'!$A$36,'Données projet'!$B$36,N56+M57-V56)))</f>
        <v>566.79999999999973</v>
      </c>
      <c r="O57" s="14">
        <f>N57*VLOOKUP('Données projet'!$B$9,Paramètres!$A$1:$I$89,3,0)*VLOOKUP('Données projet'!$B$9,Paramètres!$A$1:$I$89,5,0)</f>
        <v>316.84119999999984</v>
      </c>
      <c r="P57" s="14">
        <f t="shared" si="33"/>
        <v>74.695724902330795</v>
      </c>
      <c r="Q57" s="22">
        <f t="shared" si="53"/>
        <v>681.92681087155916</v>
      </c>
      <c r="R57" s="62">
        <f t="shared" si="0"/>
        <v>975.26014420489241</v>
      </c>
      <c r="S57" s="62">
        <f ca="1">AVERAGE(OFFSET($R$3,0,0,'Données projet'!$E$9+1,1))-AVERAGE(OFFSET($H$3,0,0,'Données projet'!$E$9+1,1))</f>
        <v>335.04906256888819</v>
      </c>
      <c r="T57" s="62">
        <f t="shared" si="34"/>
        <v>440.84111898279554</v>
      </c>
      <c r="U57" s="16">
        <f>IF(ISNA(VLOOKUP(A57,'Données projet'!$A$35:$I$55,3,0)),0,VLOOKUP(A57,'Données projet'!$A$35:$I$55,3,0))</f>
        <v>7</v>
      </c>
      <c r="V57" s="16">
        <f>IF(ISNA(VLOOKUP(A57,'Données projet'!$A$35:$I$55,4,0)),0,VLOOKUP(A57,'Données projet'!$A$35:$I$55,4,0))</f>
        <v>566.79999999999995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3.3302298570360693</v>
      </c>
      <c r="AA57" s="23">
        <f>EXP(-LN(2)/25)*AA56+(1-EXP(-LN(2)/25))/(LN(2)/25)*Calculateur!V57*Calculateur!X57*VLOOKUP('Données projet'!$B$9,Paramètres!$A$1:$I$89,3,0)*0.475*44/12</f>
        <v>10.577884832685568</v>
      </c>
      <c r="AB57" s="23">
        <f>EXP(-LN(2)/2)*AB56+(1-EXP(-LN(2)/2))/(LN(2)/2)*V57*Y57*VLOOKUP('Données projet'!$B$9,Paramètres!$A$1:$I$89,3,0)*0.475*44/12</f>
        <v>2.3435703776188083E-3</v>
      </c>
      <c r="AC57" s="24">
        <f t="shared" si="3"/>
        <v>13.910458260099256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-2.2737367544323206E-13</v>
      </c>
      <c r="O58" s="14">
        <f>N58*VLOOKUP('Données projet'!$B$9,Paramètres!$A$1:$I$89,3,0)*VLOOKUP('Données projet'!$B$9,Paramètres!$A$1:$I$89,5,0)</f>
        <v>-1.2710188457276673E-13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335.04906256888819</v>
      </c>
      <c r="T58" s="62">
        <f t="shared" si="34"/>
        <v>440.84111898279554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3.2649260807792366</v>
      </c>
      <c r="AA58" s="23">
        <f>EXP(-LN(2)/25)*AA57+(1-EXP(-LN(2)/25))/(LN(2)/25)*Calculateur!V58*Calculateur!X58*VLOOKUP('Données projet'!$B$9,Paramètres!$A$1:$I$89,3,0)*0.475*44/12</f>
        <v>10.288632015668993</v>
      </c>
      <c r="AB58" s="23">
        <f>EXP(-LN(2)/2)*AB57+(1-EXP(-LN(2)/2))/(LN(2)/2)*V58*Y58*VLOOKUP('Données projet'!$B$9,Paramètres!$A$1:$I$89,3,0)*0.475*44/12</f>
        <v>1.6571545062021773E-3</v>
      </c>
      <c r="AC58" s="24">
        <f t="shared" si="3"/>
        <v>13.555215250954431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-2.2737367544323206E-13</v>
      </c>
      <c r="O59" s="14">
        <f>N59*VLOOKUP('Données projet'!$B$9,Paramètres!$A$1:$I$89,3,0)*VLOOKUP('Données projet'!$B$9,Paramètres!$A$1:$I$89,5,0)</f>
        <v>-1.2710188457276673E-13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335.04906256888819</v>
      </c>
      <c r="T59" s="62">
        <f t="shared" si="34"/>
        <v>440.84111898279554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3.20090287174343</v>
      </c>
      <c r="AA59" s="23">
        <f>EXP(-LN(2)/25)*AA58+(1-EXP(-LN(2)/25))/(LN(2)/25)*Calculateur!V59*Calculateur!X59*VLOOKUP('Données projet'!$B$9,Paramètres!$A$1:$I$89,3,0)*0.475*44/12</f>
        <v>10.007288832144882</v>
      </c>
      <c r="AB59" s="23">
        <f>EXP(-LN(2)/2)*AB58+(1-EXP(-LN(2)/2))/(LN(2)/2)*V59*Y59*VLOOKUP('Données projet'!$B$9,Paramètres!$A$1:$I$89,3,0)*0.475*44/12</f>
        <v>1.1717851888094041E-3</v>
      </c>
      <c r="AC59" s="24">
        <f t="shared" si="3"/>
        <v>13.209363489077122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-2.2737367544323206E-13</v>
      </c>
      <c r="O60" s="14">
        <f>N60*VLOOKUP('Données projet'!$B$9,Paramètres!$A$1:$I$89,3,0)*VLOOKUP('Données projet'!$B$9,Paramètres!$A$1:$I$89,5,0)</f>
        <v>-1.2710188457276673E-13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335.04906256888819</v>
      </c>
      <c r="T60" s="62">
        <f t="shared" si="34"/>
        <v>440.84111898279554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3.1381351187865136</v>
      </c>
      <c r="AA60" s="23">
        <f>EXP(-LN(2)/25)*AA59+(1-EXP(-LN(2)/25))/(LN(2)/25)*Calculateur!V60*Calculateur!X60*VLOOKUP('Données projet'!$B$9,Paramètres!$A$1:$I$89,3,0)*0.475*44/12</f>
        <v>9.733638992769432</v>
      </c>
      <c r="AB60" s="23">
        <f>EXP(-LN(2)/2)*AB59+(1-EXP(-LN(2)/2))/(LN(2)/2)*V60*Y60*VLOOKUP('Données projet'!$B$9,Paramètres!$A$1:$I$89,3,0)*0.475*44/12</f>
        <v>8.2857725310108864E-4</v>
      </c>
      <c r="AC60" s="24">
        <f t="shared" si="3"/>
        <v>12.872602688809046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-2.2737367544323206E-13</v>
      </c>
      <c r="O61" s="14">
        <f>N61*VLOOKUP('Données projet'!$B$9,Paramètres!$A$1:$I$89,3,0)*VLOOKUP('Données projet'!$B$9,Paramètres!$A$1:$I$89,5,0)</f>
        <v>-1.2710188457276673E-13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335.04906256888819</v>
      </c>
      <c r="T61" s="62">
        <f t="shared" si="34"/>
        <v>440.84111898279554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3.0765982031805335</v>
      </c>
      <c r="AA61" s="23">
        <f>EXP(-LN(2)/25)*AA60+(1-EXP(-LN(2)/25))/(LN(2)/25)*Calculateur!V61*Calculateur!X61*VLOOKUP('Données projet'!$B$9,Paramètres!$A$1:$I$89,3,0)*0.475*44/12</f>
        <v>9.4674721226423237</v>
      </c>
      <c r="AB61" s="23">
        <f>EXP(-LN(2)/2)*AB60+(1-EXP(-LN(2)/2))/(LN(2)/2)*V61*Y61*VLOOKUP('Données projet'!$B$9,Paramètres!$A$1:$I$89,3,0)*0.475*44/12</f>
        <v>5.8589259440470207E-4</v>
      </c>
      <c r="AC61" s="24">
        <f t="shared" si="3"/>
        <v>12.544656218417263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-2.2737367544323206E-13</v>
      </c>
      <c r="O62" s="14">
        <f>N62*VLOOKUP('Données projet'!$B$9,Paramètres!$A$1:$I$89,3,0)*VLOOKUP('Données projet'!$B$9,Paramètres!$A$1:$I$89,5,0)</f>
        <v>-1.2710188457276673E-13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335.04906256888819</v>
      </c>
      <c r="T62" s="62">
        <f t="shared" si="34"/>
        <v>440.84111898279554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3.0162679889557742</v>
      </c>
      <c r="AA62" s="23">
        <f>EXP(-LN(2)/25)*AA61+(1-EXP(-LN(2)/25))/(LN(2)/25)*Calculateur!V62*Calculateur!X62*VLOOKUP('Données projet'!$B$9,Paramètres!$A$1:$I$89,3,0)*0.475*44/12</f>
        <v>9.2085835995759489</v>
      </c>
      <c r="AB62" s="23">
        <f>EXP(-LN(2)/2)*AB61+(1-EXP(-LN(2)/2))/(LN(2)/2)*V62*Y62*VLOOKUP('Données projet'!$B$9,Paramètres!$A$1:$I$89,3,0)*0.475*44/12</f>
        <v>4.1428862655054432E-4</v>
      </c>
      <c r="AC62" s="24">
        <f t="shared" si="3"/>
        <v>12.225265877158275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-2.2737367544323206E-13</v>
      </c>
      <c r="O63" s="14">
        <f>N63*VLOOKUP('Données projet'!$B$9,Paramètres!$A$1:$I$89,3,0)*VLOOKUP('Données projet'!$B$9,Paramètres!$A$1:$I$89,5,0)</f>
        <v>-1.2710188457276673E-13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335.04906256888819</v>
      </c>
      <c r="T63" s="62">
        <f t="shared" si="34"/>
        <v>440.84111898279554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2.9571208134341651</v>
      </c>
      <c r="AA63" s="23">
        <f>EXP(-LN(2)/25)*AA62+(1-EXP(-LN(2)/25))/(LN(2)/25)*Calculateur!V63*Calculateur!X63*VLOOKUP('Données projet'!$B$9,Paramètres!$A$1:$I$89,3,0)*0.475*44/12</f>
        <v>8.9567743967871802</v>
      </c>
      <c r="AB63" s="23">
        <f>EXP(-LN(2)/2)*AB62+(1-EXP(-LN(2)/2))/(LN(2)/2)*V63*Y63*VLOOKUP('Données projet'!$B$9,Paramètres!$A$1:$I$89,3,0)*0.475*44/12</f>
        <v>2.9294629720235104E-4</v>
      </c>
      <c r="AC63" s="24">
        <f t="shared" si="3"/>
        <v>11.914188156518547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-2.2737367544323206E-13</v>
      </c>
      <c r="O64" s="14">
        <f>N64*VLOOKUP('Données projet'!$B$9,Paramètres!$A$1:$I$89,3,0)*VLOOKUP('Données projet'!$B$9,Paramètres!$A$1:$I$89,5,0)</f>
        <v>-1.2710188457276673E-13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335.04906256888819</v>
      </c>
      <c r="T64" s="62">
        <f t="shared" si="34"/>
        <v>440.84111898279554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2.89913347794832</v>
      </c>
      <c r="AA64" s="23">
        <f>EXP(-LN(2)/25)*AA63+(1-EXP(-LN(2)/25))/(LN(2)/25)*Calculateur!V64*Calculateur!X64*VLOOKUP('Données projet'!$B$9,Paramètres!$A$1:$I$89,3,0)*0.475*44/12</f>
        <v>8.7118509298907405</v>
      </c>
      <c r="AB64" s="23">
        <f>EXP(-LN(2)/2)*AB63+(1-EXP(-LN(2)/2))/(LN(2)/2)*V64*Y64*VLOOKUP('Données projet'!$B$9,Paramètres!$A$1:$I$89,3,0)*0.475*44/12</f>
        <v>2.0714431327527216E-4</v>
      </c>
      <c r="AC64" s="24">
        <f t="shared" si="3"/>
        <v>11.611191552152336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-2.2737367544323206E-13</v>
      </c>
      <c r="O65" s="14">
        <f>N65*VLOOKUP('Données projet'!$B$9,Paramètres!$A$1:$I$89,3,0)*VLOOKUP('Données projet'!$B$9,Paramètres!$A$1:$I$89,5,0)</f>
        <v>-1.2710188457276673E-13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335.04906256888819</v>
      </c>
      <c r="T65" s="62">
        <f t="shared" si="34"/>
        <v>440.84111898279554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2.8422832387425703</v>
      </c>
      <c r="AA65" s="23">
        <f>EXP(-LN(2)/25)*AA64+(1-EXP(-LN(2)/25))/(LN(2)/25)*Calculateur!V65*Calculateur!X65*VLOOKUP('Données projet'!$B$9,Paramètres!$A$1:$I$89,3,0)*0.475*44/12</f>
        <v>8.4736249080765482</v>
      </c>
      <c r="AB65" s="23">
        <f>EXP(-LN(2)/2)*AB64+(1-EXP(-LN(2)/2))/(LN(2)/2)*V65*Y65*VLOOKUP('Données projet'!$B$9,Paramètres!$A$1:$I$89,3,0)*0.475*44/12</f>
        <v>1.4647314860117552E-4</v>
      </c>
      <c r="AC65" s="24">
        <f t="shared" si="3"/>
        <v>11.316054619967721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-2.2737367544323206E-13</v>
      </c>
      <c r="O66" s="14">
        <f>N66*VLOOKUP('Données projet'!$B$9,Paramètres!$A$1:$I$89,3,0)*VLOOKUP('Données projet'!$B$9,Paramètres!$A$1:$I$89,5,0)</f>
        <v>-1.2710188457276673E-13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335.04906256888819</v>
      </c>
      <c r="T66" s="62">
        <f t="shared" si="34"/>
        <v>440.84111898279554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2.7865477980524234</v>
      </c>
      <c r="AA66" s="23">
        <f>EXP(-LN(2)/25)*AA65+(1-EXP(-LN(2)/25))/(LN(2)/25)*Calculateur!V66*Calculateur!X66*VLOOKUP('Données projet'!$B$9,Paramètres!$A$1:$I$89,3,0)*0.475*44/12</f>
        <v>8.2419131893566284</v>
      </c>
      <c r="AB66" s="23">
        <f>EXP(-LN(2)/2)*AB65+(1-EXP(-LN(2)/2))/(LN(2)/2)*V66*Y66*VLOOKUP('Données projet'!$B$9,Paramètres!$A$1:$I$89,3,0)*0.475*44/12</f>
        <v>1.0357215663763608E-4</v>
      </c>
      <c r="AC66" s="24">
        <f t="shared" si="3"/>
        <v>11.028564559565689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-2.2737367544323206E-13</v>
      </c>
      <c r="O67" s="14">
        <f>N67*VLOOKUP('Données projet'!$B$9,Paramètres!$A$1:$I$89,3,0)*VLOOKUP('Données projet'!$B$9,Paramètres!$A$1:$I$89,5,0)</f>
        <v>-1.2710188457276673E-13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335.04906256888819</v>
      </c>
      <c r="T67" s="62">
        <f t="shared" si="34"/>
        <v>440.84111898279554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2.7319052953589478</v>
      </c>
      <c r="AA67" s="23">
        <f>EXP(-LN(2)/25)*AA66+(1-EXP(-LN(2)/25))/(LN(2)/25)*Calculateur!V67*Calculateur!X67*VLOOKUP('Données projet'!$B$9,Paramètres!$A$1:$I$89,3,0)*0.475*44/12</f>
        <v>8.0165376397702932</v>
      </c>
      <c r="AB67" s="23">
        <f>EXP(-LN(2)/2)*AB66+(1-EXP(-LN(2)/2))/(LN(2)/2)*V67*Y67*VLOOKUP('Données projet'!$B$9,Paramètres!$A$1:$I$89,3,0)*0.475*44/12</f>
        <v>7.3236574300587759E-5</v>
      </c>
      <c r="AC67" s="24">
        <f t="shared" si="3"/>
        <v>10.748516171703541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-2.2737367544323206E-13</v>
      </c>
      <c r="O68" s="14">
        <f>N68*VLOOKUP('Données projet'!$B$9,Paramètres!$A$1:$I$89,3,0)*VLOOKUP('Données projet'!$B$9,Paramètres!$A$1:$I$89,5,0)</f>
        <v>-1.2710188457276673E-13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335.04906256888819</v>
      </c>
      <c r="T68" s="62">
        <f t="shared" si="34"/>
        <v>440.84111898279554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2.6783342988146557</v>
      </c>
      <c r="AA68" s="23">
        <f>EXP(-LN(2)/25)*AA67+(1-EXP(-LN(2)/25))/(LN(2)/25)*Calculateur!V68*Calculateur!X68*VLOOKUP('Données projet'!$B$9,Paramètres!$A$1:$I$89,3,0)*0.475*44/12</f>
        <v>7.7973249964393823</v>
      </c>
      <c r="AB68" s="23">
        <f>EXP(-LN(2)/2)*AB67+(1-EXP(-LN(2)/2))/(LN(2)/2)*V68*Y68*VLOOKUP('Données projet'!$B$9,Paramètres!$A$1:$I$89,3,0)*0.475*44/12</f>
        <v>5.178607831881804E-5</v>
      </c>
      <c r="AC68" s="24">
        <f t="shared" ref="AC68:AC131" si="57">SUM(Z68:AB68)</f>
        <v>10.475711081332356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-2.2737367544323206E-13</v>
      </c>
      <c r="O69" s="14">
        <f>N69*VLOOKUP('Données projet'!$B$9,Paramètres!$A$1:$I$89,3,0)*VLOOKUP('Données projet'!$B$9,Paramètres!$A$1:$I$89,5,0)</f>
        <v>-1.2710188457276673E-13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335.04906256888819</v>
      </c>
      <c r="T69" s="62">
        <f t="shared" ref="T69:T132" si="88">$T$3</f>
        <v>440.84111898279554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2.6258137968375159</v>
      </c>
      <c r="AA69" s="23">
        <f>EXP(-LN(2)/25)*AA68+(1-EXP(-LN(2)/25))/(LN(2)/25)*Calculateur!V69*Calculateur!X69*VLOOKUP('Données projet'!$B$9,Paramètres!$A$1:$I$89,3,0)*0.475*44/12</f>
        <v>7.5841067343682464</v>
      </c>
      <c r="AB69" s="23">
        <f>EXP(-LN(2)/2)*AB68+(1-EXP(-LN(2)/2))/(LN(2)/2)*V69*Y69*VLOOKUP('Données projet'!$B$9,Paramètres!$A$1:$I$89,3,0)*0.475*44/12</f>
        <v>3.661828715029388E-5</v>
      </c>
      <c r="AC69" s="24">
        <f t="shared" si="57"/>
        <v>10.209957149492913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-2.2737367544323206E-13</v>
      </c>
      <c r="O70" s="14">
        <f>N70*VLOOKUP('Données projet'!$B$9,Paramètres!$A$1:$I$89,3,0)*VLOOKUP('Données projet'!$B$9,Paramètres!$A$1:$I$89,5,0)</f>
        <v>-1.2710188457276673E-13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335.04906256888819</v>
      </c>
      <c r="T70" s="62">
        <f t="shared" si="88"/>
        <v>440.84111898279554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2.5743231898698045</v>
      </c>
      <c r="AA70" s="23">
        <f>EXP(-LN(2)/25)*AA69+(1-EXP(-LN(2)/25))/(LN(2)/25)*Calculateur!V70*Calculateur!X70*VLOOKUP('Données projet'!$B$9,Paramètres!$A$1:$I$89,3,0)*0.475*44/12</f>
        <v>7.3767189368861077</v>
      </c>
      <c r="AB70" s="23">
        <f>EXP(-LN(2)/2)*AB69+(1-EXP(-LN(2)/2))/(LN(2)/2)*V70*Y70*VLOOKUP('Données projet'!$B$9,Paramètres!$A$1:$I$89,3,0)*0.475*44/12</f>
        <v>2.589303915940902E-5</v>
      </c>
      <c r="AC70" s="24">
        <f t="shared" si="57"/>
        <v>9.9510680197950716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-2.2737367544323206E-13</v>
      </c>
      <c r="O71" s="14">
        <f>N71*VLOOKUP('Données projet'!$B$9,Paramètres!$A$1:$I$89,3,0)*VLOOKUP('Données projet'!$B$9,Paramètres!$A$1:$I$89,5,0)</f>
        <v>-1.2710188457276673E-13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335.04906256888819</v>
      </c>
      <c r="T71" s="62">
        <f t="shared" si="88"/>
        <v>440.84111898279554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2.5238422822985607</v>
      </c>
      <c r="AA71" s="23">
        <f>EXP(-LN(2)/25)*AA70+(1-EXP(-LN(2)/25))/(LN(2)/25)*Calculateur!V71*Calculateur!X71*VLOOKUP('Données projet'!$B$9,Paramètres!$A$1:$I$89,3,0)*0.475*44/12</f>
        <v>7.175002169632168</v>
      </c>
      <c r="AB71" s="23">
        <f>EXP(-LN(2)/2)*AB70+(1-EXP(-LN(2)/2))/(LN(2)/2)*V71*Y71*VLOOKUP('Données projet'!$B$9,Paramètres!$A$1:$I$89,3,0)*0.475*44/12</f>
        <v>1.830914357514694E-5</v>
      </c>
      <c r="AC71" s="24">
        <f t="shared" si="57"/>
        <v>9.6988627610743041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-2.2737367544323206E-13</v>
      </c>
      <c r="O72" s="14">
        <f>N72*VLOOKUP('Données projet'!$B$9,Paramètres!$A$1:$I$89,3,0)*VLOOKUP('Données projet'!$B$9,Paramètres!$A$1:$I$89,5,0)</f>
        <v>-1.2710188457276673E-13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335.04906256888819</v>
      </c>
      <c r="T72" s="62">
        <f t="shared" si="88"/>
        <v>440.84111898279554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2.4743512745344756</v>
      </c>
      <c r="AA72" s="23">
        <f>EXP(-LN(2)/25)*AA71+(1-EXP(-LN(2)/25))/(LN(2)/25)*Calculateur!V72*Calculateur!X72*VLOOKUP('Données projet'!$B$9,Paramètres!$A$1:$I$89,3,0)*0.475*44/12</f>
        <v>6.9788013579866108</v>
      </c>
      <c r="AB72" s="23">
        <f>EXP(-LN(2)/2)*AB71+(1-EXP(-LN(2)/2))/(LN(2)/2)*V72*Y72*VLOOKUP('Données projet'!$B$9,Paramètres!$A$1:$I$89,3,0)*0.475*44/12</f>
        <v>1.294651957970451E-5</v>
      </c>
      <c r="AC72" s="24">
        <f t="shared" si="57"/>
        <v>9.4531655790406646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-2.2737367544323206E-13</v>
      </c>
      <c r="O73" s="14">
        <f>N73*VLOOKUP('Données projet'!$B$9,Paramètres!$A$1:$I$89,3,0)*VLOOKUP('Données projet'!$B$9,Paramètres!$A$1:$I$89,5,0)</f>
        <v>-1.2710188457276673E-13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335.04906256888819</v>
      </c>
      <c r="T73" s="62">
        <f t="shared" si="88"/>
        <v>440.84111898279554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2.4258307552461105</v>
      </c>
      <c r="AA73" s="23">
        <f>EXP(-LN(2)/25)*AA72+(1-EXP(-LN(2)/25))/(LN(2)/25)*Calculateur!V73*Calculateur!X73*VLOOKUP('Données projet'!$B$9,Paramètres!$A$1:$I$89,3,0)*0.475*44/12</f>
        <v>6.7879656678532534</v>
      </c>
      <c r="AB73" s="23">
        <f>EXP(-LN(2)/2)*AB72+(1-EXP(-LN(2)/2))/(LN(2)/2)*V73*Y73*VLOOKUP('Données projet'!$B$9,Paramètres!$A$1:$I$89,3,0)*0.475*44/12</f>
        <v>9.1545717875734699E-6</v>
      </c>
      <c r="AC73" s="24">
        <f t="shared" si="57"/>
        <v>9.2138055776711507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projet'!$B$9,Paramètres!$A$1:$I$89,3,0)*VLOOKUP('Données projet'!$B$9,Paramètres!$A$1:$I$89,5,0)</f>
        <v>-1.2710188457276673E-13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335.04906256888819</v>
      </c>
      <c r="T74" s="62">
        <f t="shared" si="88"/>
        <v>440.84111898279554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2.3782616937463956</v>
      </c>
      <c r="AA74" s="23">
        <f>EXP(-LN(2)/25)*AA73+(1-EXP(-LN(2)/25))/(LN(2)/25)*Calculateur!V74*Calculateur!X74*VLOOKUP('Données projet'!$B$9,Paramètres!$A$1:$I$89,3,0)*0.475*44/12</f>
        <v>6.6023483897022057</v>
      </c>
      <c r="AB74" s="23">
        <f>EXP(-LN(2)/2)*AB73+(1-EXP(-LN(2)/2))/(LN(2)/2)*V74*Y74*VLOOKUP('Données projet'!$B$9,Paramètres!$A$1:$I$89,3,0)*0.475*44/12</f>
        <v>6.473259789852255E-6</v>
      </c>
      <c r="AC74" s="24">
        <f t="shared" si="57"/>
        <v>8.9806165567083909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projet'!$B$9,Paramètres!$A$1:$I$89,3,0)*VLOOKUP('Données projet'!$B$9,Paramètres!$A$1:$I$89,5,0)</f>
        <v>-1.2710188457276673E-13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335.04906256888819</v>
      </c>
      <c r="T75" s="62">
        <f t="shared" si="88"/>
        <v>440.84111898279554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2.3316254325284276</v>
      </c>
      <c r="AA75" s="23">
        <f>EXP(-LN(2)/25)*AA74+(1-EXP(-LN(2)/25))/(LN(2)/25)*Calculateur!V75*Calculateur!X75*VLOOKUP('Données projet'!$B$9,Paramètres!$A$1:$I$89,3,0)*0.475*44/12</f>
        <v>6.4218068257833867</v>
      </c>
      <c r="AB75" s="23">
        <f>EXP(-LN(2)/2)*AB74+(1-EXP(-LN(2)/2))/(LN(2)/2)*V75*Y75*VLOOKUP('Données projet'!$B$9,Paramètres!$A$1:$I$89,3,0)*0.475*44/12</f>
        <v>4.577285893786735E-6</v>
      </c>
      <c r="AC75" s="24">
        <f t="shared" si="57"/>
        <v>8.753436835597709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projet'!$B$9,Paramètres!$A$1:$I$89,3,0)*VLOOKUP('Données projet'!$B$9,Paramètres!$A$1:$I$89,5,0)</f>
        <v>-1.2710188457276673E-13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335.04906256888819</v>
      </c>
      <c r="T76" s="62">
        <f t="shared" si="88"/>
        <v>440.84111898279554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2.2859036799476331</v>
      </c>
      <c r="AA76" s="23">
        <f>EXP(-LN(2)/25)*AA75+(1-EXP(-LN(2)/25))/(LN(2)/25)*Calculateur!V76*Calculateur!X76*VLOOKUP('Données projet'!$B$9,Paramètres!$A$1:$I$89,3,0)*0.475*44/12</f>
        <v>6.2462021804241958</v>
      </c>
      <c r="AB76" s="23">
        <f>EXP(-LN(2)/2)*AB75+(1-EXP(-LN(2)/2))/(LN(2)/2)*V76*Y76*VLOOKUP('Données projet'!$B$9,Paramètres!$A$1:$I$89,3,0)*0.475*44/12</f>
        <v>3.2366298949261275E-6</v>
      </c>
      <c r="AC76" s="24">
        <f t="shared" si="57"/>
        <v>8.5321090970017242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projet'!$B$9,Paramètres!$A$1:$I$89,3,0)*VLOOKUP('Données projet'!$B$9,Paramètres!$A$1:$I$89,5,0)</f>
        <v>-1.2710188457276673E-13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335.04906256888819</v>
      </c>
      <c r="T77" s="62">
        <f t="shared" si="88"/>
        <v>440.84111898279554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2.2410785030474325</v>
      </c>
      <c r="AA77" s="23">
        <f>EXP(-LN(2)/25)*AA76+(1-EXP(-LN(2)/25))/(LN(2)/25)*Calculateur!V77*Calculateur!X77*VLOOKUP('Données projet'!$B$9,Paramètres!$A$1:$I$89,3,0)*0.475*44/12</f>
        <v>6.075399453326999</v>
      </c>
      <c r="AB77" s="23">
        <f>EXP(-LN(2)/2)*AB76+(1-EXP(-LN(2)/2))/(LN(2)/2)*V77*Y77*VLOOKUP('Données projet'!$B$9,Paramètres!$A$1:$I$89,3,0)*0.475*44/12</f>
        <v>2.2886429468933675E-6</v>
      </c>
      <c r="AC77" s="24">
        <f t="shared" si="57"/>
        <v>8.3164802450173774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projet'!$B$9,Paramètres!$A$1:$I$89,3,0)*VLOOKUP('Données projet'!$B$9,Paramètres!$A$1:$I$89,5,0)</f>
        <v>-1.2710188457276673E-13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335.04906256888819</v>
      </c>
      <c r="T78" s="62">
        <f t="shared" si="88"/>
        <v>440.84111898279554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2.1971323205255868</v>
      </c>
      <c r="AA78" s="23">
        <f>EXP(-LN(2)/25)*AA77+(1-EXP(-LN(2)/25))/(LN(2)/25)*Calculateur!V78*Calculateur!X78*VLOOKUP('Données projet'!$B$9,Paramètres!$A$1:$I$89,3,0)*0.475*44/12</f>
        <v>5.9092673357844001</v>
      </c>
      <c r="AB78" s="23">
        <f>EXP(-LN(2)/2)*AB77+(1-EXP(-LN(2)/2))/(LN(2)/2)*V78*Y78*VLOOKUP('Données projet'!$B$9,Paramètres!$A$1:$I$89,3,0)*0.475*44/12</f>
        <v>1.6183149474630637E-6</v>
      </c>
      <c r="AC78" s="24">
        <f t="shared" si="57"/>
        <v>8.1064012746249343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projet'!$B$9,Paramètres!$A$1:$I$89,3,0)*VLOOKUP('Données projet'!$B$9,Paramètres!$A$1:$I$89,5,0)</f>
        <v>-1.2710188457276673E-13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335.04906256888819</v>
      </c>
      <c r="T79" s="62">
        <f t="shared" si="88"/>
        <v>440.84111898279554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2.1540478958384699</v>
      </c>
      <c r="AA79" s="23">
        <f>EXP(-LN(2)/25)*AA78+(1-EXP(-LN(2)/25))/(LN(2)/25)*Calculateur!V79*Calculateur!X79*VLOOKUP('Données projet'!$B$9,Paramètres!$A$1:$I$89,3,0)*0.475*44/12</f>
        <v>5.7476781097325125</v>
      </c>
      <c r="AB79" s="23">
        <f>EXP(-LN(2)/2)*AB78+(1-EXP(-LN(2)/2))/(LN(2)/2)*V79*Y79*VLOOKUP('Données projet'!$B$9,Paramètres!$A$1:$I$89,3,0)*0.475*44/12</f>
        <v>1.1443214734466837E-6</v>
      </c>
      <c r="AC79" s="24">
        <f t="shared" si="57"/>
        <v>7.9017271498924551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projet'!$B$9,Paramètres!$A$1:$I$89,3,0)*VLOOKUP('Données projet'!$B$9,Paramètres!$A$1:$I$89,5,0)</f>
        <v>-1.2710188457276673E-13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335.04906256888819</v>
      </c>
      <c r="T80" s="62">
        <f t="shared" si="88"/>
        <v>440.84111898279554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2.1118083304405633</v>
      </c>
      <c r="AA80" s="23">
        <f>EXP(-LN(2)/25)*AA79+(1-EXP(-LN(2)/25))/(LN(2)/25)*Calculateur!V80*Calculateur!X80*VLOOKUP('Données projet'!$B$9,Paramètres!$A$1:$I$89,3,0)*0.475*44/12</f>
        <v>5.5905075495646219</v>
      </c>
      <c r="AB80" s="23">
        <f>EXP(-LN(2)/2)*AB79+(1-EXP(-LN(2)/2))/(LN(2)/2)*V80*Y80*VLOOKUP('Données projet'!$B$9,Paramètres!$A$1:$I$89,3,0)*0.475*44/12</f>
        <v>8.0915747373153187E-7</v>
      </c>
      <c r="AC80" s="24">
        <f t="shared" si="57"/>
        <v>7.7023166891626591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projet'!$B$9,Paramètres!$A$1:$I$89,3,0)*VLOOKUP('Données projet'!$B$9,Paramètres!$A$1:$I$89,5,0)</f>
        <v>-1.2710188457276673E-13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335.04906256888819</v>
      </c>
      <c r="T81" s="62">
        <f t="shared" si="88"/>
        <v>440.84111898279554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2.0703970571565184</v>
      </c>
      <c r="AA81" s="23">
        <f>EXP(-LN(2)/25)*AA80+(1-EXP(-LN(2)/25))/(LN(2)/25)*Calculateur!V81*Calculateur!X81*VLOOKUP('Données projet'!$B$9,Paramètres!$A$1:$I$89,3,0)*0.475*44/12</f>
        <v>5.4376348266297629</v>
      </c>
      <c r="AB81" s="23">
        <f>EXP(-LN(2)/2)*AB80+(1-EXP(-LN(2)/2))/(LN(2)/2)*V81*Y81*VLOOKUP('Données projet'!$B$9,Paramètres!$A$1:$I$89,3,0)*0.475*44/12</f>
        <v>5.7216073672334187E-7</v>
      </c>
      <c r="AC81" s="24">
        <f t="shared" si="57"/>
        <v>7.508032455947018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projet'!$B$9,Paramètres!$A$1:$I$89,3,0)*VLOOKUP('Données projet'!$B$9,Paramètres!$A$1:$I$89,5,0)</f>
        <v>-1.2710188457276673E-13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335.04906256888819</v>
      </c>
      <c r="T82" s="62">
        <f t="shared" si="88"/>
        <v>440.84111898279554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2.0297978336831912</v>
      </c>
      <c r="AA82" s="23">
        <f>EXP(-LN(2)/25)*AA81+(1-EXP(-LN(2)/25))/(LN(2)/25)*Calculateur!V82*Calculateur!X82*VLOOKUP('Données projet'!$B$9,Paramètres!$A$1:$I$89,3,0)*0.475*44/12</f>
        <v>5.2889424163427847</v>
      </c>
      <c r="AB82" s="23">
        <f>EXP(-LN(2)/2)*AB81+(1-EXP(-LN(2)/2))/(LN(2)/2)*V82*Y82*VLOOKUP('Données projet'!$B$9,Paramètres!$A$1:$I$89,3,0)*0.475*44/12</f>
        <v>4.0457873686576594E-7</v>
      </c>
      <c r="AC82" s="24">
        <f t="shared" si="57"/>
        <v>7.3187406546047127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projet'!$B$9,Paramètres!$A$1:$I$89,3,0)*VLOOKUP('Données projet'!$B$9,Paramètres!$A$1:$I$89,5,0)</f>
        <v>-1.2710188457276673E-13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335.04906256888819</v>
      </c>
      <c r="T83" s="62">
        <f t="shared" si="88"/>
        <v>440.84111898279554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1.9899947362190946</v>
      </c>
      <c r="AA83" s="23">
        <f>EXP(-LN(2)/25)*AA82+(1-EXP(-LN(2)/25))/(LN(2)/25)*Calculateur!V83*Calculateur!X83*VLOOKUP('Données projet'!$B$9,Paramètres!$A$1:$I$89,3,0)*0.475*44/12</f>
        <v>5.1443160078344974</v>
      </c>
      <c r="AB83" s="23">
        <f>EXP(-LN(2)/2)*AB82+(1-EXP(-LN(2)/2))/(LN(2)/2)*V83*Y83*VLOOKUP('Données projet'!$B$9,Paramètres!$A$1:$I$89,3,0)*0.475*44/12</f>
        <v>2.8608036836167093E-7</v>
      </c>
      <c r="AC83" s="24">
        <f t="shared" si="57"/>
        <v>7.1343110301339605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projet'!$B$9,Paramètres!$A$1:$I$89,3,0)*VLOOKUP('Données projet'!$B$9,Paramètres!$A$1:$I$89,5,0)</f>
        <v>-1.2710188457276673E-13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335.04906256888819</v>
      </c>
      <c r="T84" s="62">
        <f t="shared" si="88"/>
        <v>440.84111898279554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1.9509721532187767</v>
      </c>
      <c r="AA84" s="23">
        <f>EXP(-LN(2)/25)*AA83+(1-EXP(-LN(2)/25))/(LN(2)/25)*Calculateur!V84*Calculateur!X84*VLOOKUP('Données projet'!$B$9,Paramètres!$A$1:$I$89,3,0)*0.475*44/12</f>
        <v>5.0036444160724418</v>
      </c>
      <c r="AB84" s="23">
        <f>EXP(-LN(2)/2)*AB83+(1-EXP(-LN(2)/2))/(LN(2)/2)*V84*Y84*VLOOKUP('Données projet'!$B$9,Paramètres!$A$1:$I$89,3,0)*0.475*44/12</f>
        <v>2.0228936843288297E-7</v>
      </c>
      <c r="AC84" s="24">
        <f t="shared" si="57"/>
        <v>6.9546167715805867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projet'!$B$9,Paramètres!$A$1:$I$89,3,0)*VLOOKUP('Données projet'!$B$9,Paramètres!$A$1:$I$89,5,0)</f>
        <v>-1.2710188457276673E-13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335.04906256888819</v>
      </c>
      <c r="T85" s="62">
        <f t="shared" si="88"/>
        <v>440.84111898279554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1.9127147792696697</v>
      </c>
      <c r="AA85" s="23">
        <f>EXP(-LN(2)/25)*AA84+(1-EXP(-LN(2)/25))/(LN(2)/25)*Calculateur!V85*Calculateur!X85*VLOOKUP('Données projet'!$B$9,Paramètres!$A$1:$I$89,3,0)*0.475*44/12</f>
        <v>4.8668194963847169</v>
      </c>
      <c r="AB85" s="23">
        <f>EXP(-LN(2)/2)*AB84+(1-EXP(-LN(2)/2))/(LN(2)/2)*V85*Y85*VLOOKUP('Données projet'!$B$9,Paramètres!$A$1:$I$89,3,0)*0.475*44/12</f>
        <v>1.4304018418083547E-7</v>
      </c>
      <c r="AC85" s="24">
        <f t="shared" si="57"/>
        <v>6.7795344186945705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projet'!$B$9,Paramètres!$A$1:$I$89,3,0)*VLOOKUP('Données projet'!$B$9,Paramètres!$A$1:$I$89,5,0)</f>
        <v>-1.2710188457276673E-13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335.04906256888819</v>
      </c>
      <c r="T86" s="62">
        <f t="shared" si="88"/>
        <v>440.84111898279554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1.8752076090890106</v>
      </c>
      <c r="AA86" s="23">
        <f>EXP(-LN(2)/25)*AA85+(1-EXP(-LN(2)/25))/(LN(2)/25)*Calculateur!V86*Calculateur!X86*VLOOKUP('Données projet'!$B$9,Paramètres!$A$1:$I$89,3,0)*0.475*44/12</f>
        <v>4.7337360613211628</v>
      </c>
      <c r="AB86" s="23">
        <f>EXP(-LN(2)/2)*AB85+(1-EXP(-LN(2)/2))/(LN(2)/2)*V86*Y86*VLOOKUP('Données projet'!$B$9,Paramètres!$A$1:$I$89,3,0)*0.475*44/12</f>
        <v>1.0114468421644148E-7</v>
      </c>
      <c r="AC86" s="24">
        <f t="shared" si="57"/>
        <v>6.6089437715548582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projet'!$B$9,Paramètres!$A$1:$I$89,3,0)*VLOOKUP('Données projet'!$B$9,Paramètres!$A$1:$I$89,5,0)</f>
        <v>-1.2710188457276673E-13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335.04906256888819</v>
      </c>
      <c r="T87" s="62">
        <f t="shared" si="88"/>
        <v>440.84111898279554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1.8384359316384793</v>
      </c>
      <c r="AA87" s="23">
        <f>EXP(-LN(2)/25)*AA86+(1-EXP(-LN(2)/25))/(LN(2)/25)*Calculateur!V87*Calculateur!X87*VLOOKUP('Données projet'!$B$9,Paramètres!$A$1:$I$89,3,0)*0.475*44/12</f>
        <v>4.6042917997879753</v>
      </c>
      <c r="AB87" s="23">
        <f>EXP(-LN(2)/2)*AB86+(1-EXP(-LN(2)/2))/(LN(2)/2)*V87*Y87*VLOOKUP('Données projet'!$B$9,Paramètres!$A$1:$I$89,3,0)*0.475*44/12</f>
        <v>7.1520092090417734E-8</v>
      </c>
      <c r="AC87" s="24">
        <f t="shared" si="57"/>
        <v>6.4427278029465471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projet'!$B$9,Paramètres!$A$1:$I$89,3,0)*VLOOKUP('Données projet'!$B$9,Paramètres!$A$1:$I$89,5,0)</f>
        <v>-1.2710188457276673E-13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335.04906256888819</v>
      </c>
      <c r="T88" s="62">
        <f t="shared" si="88"/>
        <v>440.84111898279554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1.8023853243542443</v>
      </c>
      <c r="AA88" s="23">
        <f>EXP(-LN(2)/25)*AA87+(1-EXP(-LN(2)/25))/(LN(2)/25)*Calculateur!V88*Calculateur!X88*VLOOKUP('Données projet'!$B$9,Paramètres!$A$1:$I$89,3,0)*0.475*44/12</f>
        <v>4.478387198393591</v>
      </c>
      <c r="AB88" s="23">
        <f>EXP(-LN(2)/2)*AB87+(1-EXP(-LN(2)/2))/(LN(2)/2)*V88*Y88*VLOOKUP('Données projet'!$B$9,Paramètres!$A$1:$I$89,3,0)*0.475*44/12</f>
        <v>5.0572342108220742E-8</v>
      </c>
      <c r="AC88" s="24">
        <f t="shared" si="57"/>
        <v>6.2807725733201769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projet'!$B$9,Paramètres!$A$1:$I$89,3,0)*VLOOKUP('Données projet'!$B$9,Paramètres!$A$1:$I$89,5,0)</f>
        <v>-1.2710188457276673E-13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335.04906256888819</v>
      </c>
      <c r="T89" s="62">
        <f t="shared" si="88"/>
        <v>440.84111898279554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1.767041647490154</v>
      </c>
      <c r="AA89" s="23">
        <f>EXP(-LN(2)/25)*AA88+(1-EXP(-LN(2)/25))/(LN(2)/25)*Calculateur!V89*Calculateur!X89*VLOOKUP('Données projet'!$B$9,Paramètres!$A$1:$I$89,3,0)*0.475*44/12</f>
        <v>4.3559254649453711</v>
      </c>
      <c r="AB89" s="23">
        <f>EXP(-LN(2)/2)*AB88+(1-EXP(-LN(2)/2))/(LN(2)/2)*V89*Y89*VLOOKUP('Données projet'!$B$9,Paramètres!$A$1:$I$89,3,0)*0.475*44/12</f>
        <v>3.5760046045208867E-8</v>
      </c>
      <c r="AC89" s="24">
        <f t="shared" si="57"/>
        <v>6.1229671481955714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projet'!$B$9,Paramètres!$A$1:$I$89,3,0)*VLOOKUP('Données projet'!$B$9,Paramètres!$A$1:$I$89,5,0)</f>
        <v>-1.2710188457276673E-13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335.04906256888819</v>
      </c>
      <c r="T90" s="62">
        <f t="shared" si="88"/>
        <v>440.84111898279554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1.7323910385718542</v>
      </c>
      <c r="AA90" s="23">
        <f>EXP(-LN(2)/25)*AA89+(1-EXP(-LN(2)/25))/(LN(2)/25)*Calculateur!V90*Calculateur!X90*VLOOKUP('Données projet'!$B$9,Paramètres!$A$1:$I$89,3,0)*0.475*44/12</f>
        <v>4.236812454038275</v>
      </c>
      <c r="AB90" s="23">
        <f>EXP(-LN(2)/2)*AB89+(1-EXP(-LN(2)/2))/(LN(2)/2)*V90*Y90*VLOOKUP('Données projet'!$B$9,Paramètres!$A$1:$I$89,3,0)*0.475*44/12</f>
        <v>2.5286171054110371E-8</v>
      </c>
      <c r="AC90" s="24">
        <f t="shared" si="57"/>
        <v>5.9692035178963003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projet'!$B$9,Paramètres!$A$1:$I$89,3,0)*VLOOKUP('Données projet'!$B$9,Paramètres!$A$1:$I$89,5,0)</f>
        <v>-1.2710188457276673E-13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335.04906256888819</v>
      </c>
      <c r="T91" s="62">
        <f t="shared" si="88"/>
        <v>440.84111898279554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1.6984199069596577</v>
      </c>
      <c r="AA91" s="23">
        <f>EXP(-LN(2)/25)*AA90+(1-EXP(-LN(2)/25))/(LN(2)/25)*Calculateur!V91*Calculateur!X91*VLOOKUP('Données projet'!$B$9,Paramètres!$A$1:$I$89,3,0)*0.475*44/12</f>
        <v>4.1209565946783151</v>
      </c>
      <c r="AB91" s="23">
        <f>EXP(-LN(2)/2)*AB90+(1-EXP(-LN(2)/2))/(LN(2)/2)*V91*Y91*VLOOKUP('Données projet'!$B$9,Paramètres!$A$1:$I$89,3,0)*0.475*44/12</f>
        <v>1.7880023022604433E-8</v>
      </c>
      <c r="AC91" s="24">
        <f t="shared" si="57"/>
        <v>5.8193765195179958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projet'!$B$9,Paramètres!$A$1:$I$89,3,0)*VLOOKUP('Données projet'!$B$9,Paramètres!$A$1:$I$89,5,0)</f>
        <v>-1.2710188457276673E-13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335.04906256888819</v>
      </c>
      <c r="T92" s="62">
        <f t="shared" si="88"/>
        <v>440.84111898279554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1.665114928518032</v>
      </c>
      <c r="AA92" s="23">
        <f>EXP(-LN(2)/25)*AA91+(1-EXP(-LN(2)/25))/(LN(2)/25)*Calculateur!V92*Calculateur!X92*VLOOKUP('Données projet'!$B$9,Paramètres!$A$1:$I$89,3,0)*0.475*44/12</f>
        <v>4.0082688198851475</v>
      </c>
      <c r="AB92" s="23">
        <f>EXP(-LN(2)/2)*AB91+(1-EXP(-LN(2)/2))/(LN(2)/2)*V92*Y92*VLOOKUP('Données projet'!$B$9,Paramètres!$A$1:$I$89,3,0)*0.475*44/12</f>
        <v>1.2643085527055185E-8</v>
      </c>
      <c r="AC92" s="24">
        <f t="shared" si="57"/>
        <v>5.6733837610462654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projet'!$B$9,Paramètres!$A$1:$I$89,3,0)*VLOOKUP('Données projet'!$B$9,Paramètres!$A$1:$I$89,5,0)</f>
        <v>-1.2710188457276673E-13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335.04906256888819</v>
      </c>
      <c r="T93" s="62">
        <f t="shared" si="88"/>
        <v>440.84111898279554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1.6324630403896156</v>
      </c>
      <c r="AA93" s="23">
        <f>EXP(-LN(2)/25)*AA92+(1-EXP(-LN(2)/25))/(LN(2)/25)*Calculateur!V93*Calculateur!X93*VLOOKUP('Données projet'!$B$9,Paramètres!$A$1:$I$89,3,0)*0.475*44/12</f>
        <v>3.898662498219692</v>
      </c>
      <c r="AB93" s="23">
        <f>EXP(-LN(2)/2)*AB92+(1-EXP(-LN(2)/2))/(LN(2)/2)*V93*Y93*VLOOKUP('Données projet'!$B$9,Paramètres!$A$1:$I$89,3,0)*0.475*44/12</f>
        <v>8.9400115113022167E-9</v>
      </c>
      <c r="AC93" s="24">
        <f t="shared" si="57"/>
        <v>5.5311255475493191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projet'!$B$9,Paramètres!$A$1:$I$89,3,0)*VLOOKUP('Données projet'!$B$9,Paramètres!$A$1:$I$89,5,0)</f>
        <v>-1.2710188457276673E-13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335.04906256888819</v>
      </c>
      <c r="T94" s="62">
        <f t="shared" si="88"/>
        <v>440.84111898279554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1.6004514358717123</v>
      </c>
      <c r="AA94" s="23">
        <f>EXP(-LN(2)/25)*AA93+(1-EXP(-LN(2)/25))/(LN(2)/25)*Calculateur!V94*Calculateur!X94*VLOOKUP('Données projet'!$B$9,Paramètres!$A$1:$I$89,3,0)*0.475*44/12</f>
        <v>3.7920533671841241</v>
      </c>
      <c r="AB94" s="23">
        <f>EXP(-LN(2)/2)*AB93+(1-EXP(-LN(2)/2))/(LN(2)/2)*V94*Y94*VLOOKUP('Données projet'!$B$9,Paramètres!$A$1:$I$89,3,0)*0.475*44/12</f>
        <v>6.3215427635275927E-9</v>
      </c>
      <c r="AC94" s="24">
        <f t="shared" si="57"/>
        <v>5.3925048093773791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projet'!$B$9,Paramètres!$A$1:$I$89,3,0)*VLOOKUP('Données projet'!$B$9,Paramètres!$A$1:$I$89,5,0)</f>
        <v>-1.2710188457276673E-13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335.04906256888819</v>
      </c>
      <c r="T95" s="62">
        <f t="shared" si="88"/>
        <v>440.84111898279554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1.5690675593932544</v>
      </c>
      <c r="AA95" s="23">
        <f>EXP(-LN(2)/25)*AA94+(1-EXP(-LN(2)/25))/(LN(2)/25)*Calculateur!V95*Calculateur!X95*VLOOKUP('Données projet'!$B$9,Paramètres!$A$1:$I$89,3,0)*0.475*44/12</f>
        <v>3.6883594684430547</v>
      </c>
      <c r="AB95" s="23">
        <f>EXP(-LN(2)/2)*AB94+(1-EXP(-LN(2)/2))/(LN(2)/2)*V95*Y95*VLOOKUP('Données projet'!$B$9,Paramètres!$A$1:$I$89,3,0)*0.475*44/12</f>
        <v>4.4700057556511084E-9</v>
      </c>
      <c r="AC95" s="24">
        <f t="shared" si="57"/>
        <v>5.2574270323063148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projet'!$B$9,Paramètres!$A$1:$I$89,3,0)*VLOOKUP('Données projet'!$B$9,Paramètres!$A$1:$I$89,5,0)</f>
        <v>-1.2710188457276673E-13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335.04906256888819</v>
      </c>
      <c r="T96" s="62">
        <f t="shared" si="88"/>
        <v>440.84111898279554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1.5382991015902643</v>
      </c>
      <c r="AA96" s="23">
        <f>EXP(-LN(2)/25)*AA95+(1-EXP(-LN(2)/25))/(LN(2)/25)*Calculateur!V96*Calculateur!X96*VLOOKUP('Données projet'!$B$9,Paramètres!$A$1:$I$89,3,0)*0.475*44/12</f>
        <v>3.5875010848160849</v>
      </c>
      <c r="AB96" s="23">
        <f>EXP(-LN(2)/2)*AB95+(1-EXP(-LN(2)/2))/(LN(2)/2)*V96*Y96*VLOOKUP('Données projet'!$B$9,Paramètres!$A$1:$I$89,3,0)*0.475*44/12</f>
        <v>3.1607713817637964E-9</v>
      </c>
      <c r="AC96" s="24">
        <f t="shared" si="57"/>
        <v>5.1258001895671201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projet'!$B$9,Paramètres!$A$1:$I$89,3,0)*VLOOKUP('Données projet'!$B$9,Paramètres!$A$1:$I$89,5,0)</f>
        <v>-1.2710188457276673E-13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335.04906256888819</v>
      </c>
      <c r="T97" s="62">
        <f t="shared" si="88"/>
        <v>440.84111898279554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1.5081339944778847</v>
      </c>
      <c r="AA97" s="23">
        <f>EXP(-LN(2)/25)*AA96+(1-EXP(-LN(2)/25))/(LN(2)/25)*Calculateur!V97*Calculateur!X97*VLOOKUP('Données projet'!$B$9,Paramètres!$A$1:$I$89,3,0)*0.475*44/12</f>
        <v>3.4894006789933063</v>
      </c>
      <c r="AB97" s="23">
        <f>EXP(-LN(2)/2)*AB96+(1-EXP(-LN(2)/2))/(LN(2)/2)*V97*Y97*VLOOKUP('Données projet'!$B$9,Paramètres!$A$1:$I$89,3,0)*0.475*44/12</f>
        <v>2.2350028778255542E-9</v>
      </c>
      <c r="AC97" s="24">
        <f t="shared" si="57"/>
        <v>4.997534675706194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projet'!$B$9,Paramètres!$A$1:$I$89,3,0)*VLOOKUP('Données projet'!$B$9,Paramètres!$A$1:$I$89,5,0)</f>
        <v>-1.2710188457276673E-13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335.04906256888819</v>
      </c>
      <c r="T98" s="62">
        <f t="shared" si="88"/>
        <v>440.84111898279554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1.4785604067170803</v>
      </c>
      <c r="AA98" s="23">
        <f>EXP(-LN(2)/25)*AA97+(1-EXP(-LN(2)/25))/(LN(2)/25)*Calculateur!V98*Calculateur!X98*VLOOKUP('Données projet'!$B$9,Paramètres!$A$1:$I$89,3,0)*0.475*44/12</f>
        <v>3.3939828339266276</v>
      </c>
      <c r="AB98" s="23">
        <f>EXP(-LN(2)/2)*AB97+(1-EXP(-LN(2)/2))/(LN(2)/2)*V98*Y98*VLOOKUP('Données projet'!$B$9,Paramètres!$A$1:$I$89,3,0)*0.475*44/12</f>
        <v>1.5803856908818982E-9</v>
      </c>
      <c r="AC98" s="24">
        <f t="shared" si="57"/>
        <v>4.8725432422240935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projet'!$B$9,Paramètres!$A$1:$I$89,3,0)*VLOOKUP('Données projet'!$B$9,Paramètres!$A$1:$I$89,5,0)</f>
        <v>-1.2710188457276673E-13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335.04906256888819</v>
      </c>
      <c r="T99" s="62">
        <f t="shared" si="88"/>
        <v>440.84111898279554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1.449566738974158</v>
      </c>
      <c r="AA99" s="23">
        <f>EXP(-LN(2)/25)*AA98+(1-EXP(-LN(2)/25))/(LN(2)/25)*Calculateur!V99*Calculateur!X99*VLOOKUP('Données projet'!$B$9,Paramètres!$A$1:$I$89,3,0)*0.475*44/12</f>
        <v>3.3011741948511037</v>
      </c>
      <c r="AB99" s="23">
        <f>EXP(-LN(2)/2)*AB98+(1-EXP(-LN(2)/2))/(LN(2)/2)*V99*Y99*VLOOKUP('Données projet'!$B$9,Paramètres!$A$1:$I$89,3,0)*0.475*44/12</f>
        <v>1.1175014389127771E-9</v>
      </c>
      <c r="AC99" s="24">
        <f t="shared" si="57"/>
        <v>4.7507409349427636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projet'!$B$9,Paramètres!$A$1:$I$89,3,0)*VLOOKUP('Données projet'!$B$9,Paramètres!$A$1:$I$89,5,0)</f>
        <v>-1.2710188457276673E-13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335.04906256888819</v>
      </c>
      <c r="T100" s="62">
        <f t="shared" si="88"/>
        <v>440.84111898279554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1.4211416193712831</v>
      </c>
      <c r="AA100" s="23">
        <f>EXP(-LN(2)/25)*AA99+(1-EXP(-LN(2)/25))/(LN(2)/25)*Calculateur!V100*Calculateur!X100*VLOOKUP('Données projet'!$B$9,Paramètres!$A$1:$I$89,3,0)*0.475*44/12</f>
        <v>3.2109034128916942</v>
      </c>
      <c r="AB100" s="23">
        <f>EXP(-LN(2)/2)*AB99+(1-EXP(-LN(2)/2))/(LN(2)/2)*V100*Y100*VLOOKUP('Données projet'!$B$9,Paramètres!$A$1:$I$89,3,0)*0.475*44/12</f>
        <v>7.9019284544094909E-10</v>
      </c>
      <c r="AC100" s="24">
        <f t="shared" si="57"/>
        <v>4.6320450330531706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projet'!$B$9,Paramètres!$A$1:$I$89,3,0)*VLOOKUP('Données projet'!$B$9,Paramètres!$A$1:$I$89,5,0)</f>
        <v>-1.2710188457276673E-13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335.04906256888819</v>
      </c>
      <c r="T101" s="62">
        <f t="shared" si="88"/>
        <v>440.84111898279554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1.3932738990262097</v>
      </c>
      <c r="AA101" s="23">
        <f>EXP(-LN(2)/25)*AA100+(1-EXP(-LN(2)/25))/(LN(2)/25)*Calculateur!V101*Calculateur!X101*VLOOKUP('Données projet'!$B$9,Paramètres!$A$1:$I$89,3,0)*0.475*44/12</f>
        <v>3.1231010902120988</v>
      </c>
      <c r="AB101" s="23">
        <f>EXP(-LN(2)/2)*AB100+(1-EXP(-LN(2)/2))/(LN(2)/2)*V101*Y101*VLOOKUP('Données projet'!$B$9,Paramètres!$A$1:$I$89,3,0)*0.475*44/12</f>
        <v>5.5875071945638854E-10</v>
      </c>
      <c r="AC101" s="24">
        <f t="shared" si="57"/>
        <v>4.5163749897970584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projet'!$B$9,Paramètres!$A$1:$I$89,3,0)*VLOOKUP('Données projet'!$B$9,Paramètres!$A$1:$I$89,5,0)</f>
        <v>-1.2710188457276673E-13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335.04906256888819</v>
      </c>
      <c r="T102" s="62">
        <f t="shared" si="88"/>
        <v>440.84111898279554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1.3659526476794721</v>
      </c>
      <c r="AA102" s="23">
        <f>EXP(-LN(2)/25)*AA101+(1-EXP(-LN(2)/25))/(LN(2)/25)*Calculateur!V102*Calculateur!X102*VLOOKUP('Données projet'!$B$9,Paramètres!$A$1:$I$89,3,0)*0.475*44/12</f>
        <v>3.0376997266635004</v>
      </c>
      <c r="AB102" s="23">
        <f>EXP(-LN(2)/2)*AB101+(1-EXP(-LN(2)/2))/(LN(2)/2)*V102*Y102*VLOOKUP('Données projet'!$B$9,Paramètres!$A$1:$I$89,3,0)*0.475*44/12</f>
        <v>3.9509642272047455E-10</v>
      </c>
      <c r="AC102" s="24">
        <f t="shared" si="57"/>
        <v>4.4036523747380691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projet'!$B$9,Paramètres!$A$1:$I$89,3,0)*VLOOKUP('Données projet'!$B$9,Paramètres!$A$1:$I$89,5,0)</f>
        <v>-1.2710188457276673E-13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335.04906256888819</v>
      </c>
      <c r="T103" s="62">
        <f t="shared" si="88"/>
        <v>440.84111898279554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1.3391671494073261</v>
      </c>
      <c r="AA103" s="23">
        <f>EXP(-LN(2)/25)*AA102+(1-EXP(-LN(2)/25))/(LN(2)/25)*Calculateur!V103*Calculateur!X103*VLOOKUP('Données projet'!$B$9,Paramètres!$A$1:$I$89,3,0)*0.475*44/12</f>
        <v>2.9546336678922009</v>
      </c>
      <c r="AB103" s="23">
        <f>EXP(-LN(2)/2)*AB102+(1-EXP(-LN(2)/2))/(LN(2)/2)*V103*Y103*VLOOKUP('Données projet'!$B$9,Paramètres!$A$1:$I$89,3,0)*0.475*44/12</f>
        <v>2.7937535972819427E-10</v>
      </c>
      <c r="AC103" s="24">
        <f t="shared" si="57"/>
        <v>4.2938008175789024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-1.2710188457276673E-13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335.04906256888819</v>
      </c>
      <c r="T104" s="62">
        <f t="shared" si="88"/>
        <v>440.84111898279554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1.3129068984187562</v>
      </c>
      <c r="AA104" s="23">
        <f>EXP(-LN(2)/25)*AA103+(1-EXP(-LN(2)/25))/(LN(2)/25)*Calculateur!V104*Calculateur!X104*VLOOKUP('Données projet'!$B$9,Paramètres!$A$1:$I$89,3,0)*0.475*44/12</f>
        <v>2.8738390548662571</v>
      </c>
      <c r="AB104" s="23">
        <f>EXP(-LN(2)/2)*AB103+(1-EXP(-LN(2)/2))/(LN(2)/2)*V104*Y104*VLOOKUP('Données projet'!$B$9,Paramètres!$A$1:$I$89,3,0)*0.475*44/12</f>
        <v>1.9754821136023727E-10</v>
      </c>
      <c r="AC104" s="24">
        <f t="shared" si="57"/>
        <v>4.1867459534825624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-1.2710188457276673E-13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335.04906256888819</v>
      </c>
      <c r="T105" s="62">
        <f t="shared" si="88"/>
        <v>440.84111898279554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1.2871615949349005</v>
      </c>
      <c r="AA105" s="23">
        <f>EXP(-LN(2)/25)*AA104+(1-EXP(-LN(2)/25))/(LN(2)/25)*Calculateur!V105*Calculateur!X105*VLOOKUP('Données projet'!$B$9,Paramètres!$A$1:$I$89,3,0)*0.475*44/12</f>
        <v>2.7952537747823119</v>
      </c>
      <c r="AB105" s="23">
        <f>EXP(-LN(2)/2)*AB104+(1-EXP(-LN(2)/2))/(LN(2)/2)*V105*Y105*VLOOKUP('Données projet'!$B$9,Paramètres!$A$1:$I$89,3,0)*0.475*44/12</f>
        <v>1.3968767986409714E-10</v>
      </c>
      <c r="AC105" s="24">
        <f t="shared" si="57"/>
        <v>4.0824153698568999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-1.2710188457276673E-13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335.04906256888819</v>
      </c>
      <c r="T106" s="62">
        <f t="shared" si="88"/>
        <v>440.84111898279554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1.2619211411492786</v>
      </c>
      <c r="AA106" s="23">
        <f>EXP(-LN(2)/25)*AA105+(1-EXP(-LN(2)/25))/(LN(2)/25)*Calculateur!V106*Calculateur!X106*VLOOKUP('Données projet'!$B$9,Paramètres!$A$1:$I$89,3,0)*0.475*44/12</f>
        <v>2.7188174133148824</v>
      </c>
      <c r="AB106" s="23">
        <f>EXP(-LN(2)/2)*AB105+(1-EXP(-LN(2)/2))/(LN(2)/2)*V106*Y106*VLOOKUP('Données projet'!$B$9,Paramètres!$A$1:$I$89,3,0)*0.475*44/12</f>
        <v>9.8774105680118637E-11</v>
      </c>
      <c r="AC106" s="24">
        <f t="shared" si="57"/>
        <v>3.9807385545629352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-1.2710188457276673E-13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335.04906256888819</v>
      </c>
      <c r="T107" s="62">
        <f t="shared" si="88"/>
        <v>440.84111898279554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1.2371756372672362</v>
      </c>
      <c r="AA107" s="23">
        <f>EXP(-LN(2)/25)*AA106+(1-EXP(-LN(2)/25))/(LN(2)/25)*Calculateur!V107*Calculateur!X107*VLOOKUP('Données projet'!$B$9,Paramètres!$A$1:$I$89,3,0)*0.475*44/12</f>
        <v>2.6444712081713933</v>
      </c>
      <c r="AB107" s="23">
        <f>EXP(-LN(2)/2)*AB106+(1-EXP(-LN(2)/2))/(LN(2)/2)*V107*Y107*VLOOKUP('Données projet'!$B$9,Paramètres!$A$1:$I$89,3,0)*0.475*44/12</f>
        <v>6.9843839932048568E-11</v>
      </c>
      <c r="AC107" s="24">
        <f t="shared" si="57"/>
        <v>3.8816468455084729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-1.2710188457276673E-13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335.04906256888819</v>
      </c>
      <c r="T108" s="62">
        <f t="shared" si="88"/>
        <v>440.84111898279554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1.2129153776230537</v>
      </c>
      <c r="AA108" s="23">
        <f>EXP(-LN(2)/25)*AA107+(1-EXP(-LN(2)/25))/(LN(2)/25)*Calculateur!V108*Calculateur!X108*VLOOKUP('Données projet'!$B$9,Paramètres!$A$1:$I$89,3,0)*0.475*44/12</f>
        <v>2.5721580039172496</v>
      </c>
      <c r="AB108" s="23">
        <f>EXP(-LN(2)/2)*AB107+(1-EXP(-LN(2)/2))/(LN(2)/2)*V108*Y108*VLOOKUP('Données projet'!$B$9,Paramètres!$A$1:$I$89,3,0)*0.475*44/12</f>
        <v>4.9387052840059318E-11</v>
      </c>
      <c r="AC108" s="24">
        <f t="shared" si="57"/>
        <v>3.7850733815896902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-1.2710188457276673E-13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335.04906256888819</v>
      </c>
      <c r="T109" s="62">
        <f t="shared" si="88"/>
        <v>440.84111898279554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1.1891308468731963</v>
      </c>
      <c r="AA109" s="23">
        <f>EXP(-LN(2)/25)*AA108+(1-EXP(-LN(2)/25))/(LN(2)/25)*Calculateur!V109*Calculateur!X109*VLOOKUP('Données projet'!$B$9,Paramètres!$A$1:$I$89,3,0)*0.475*44/12</f>
        <v>2.5018222080362218</v>
      </c>
      <c r="AB109" s="23">
        <f>EXP(-LN(2)/2)*AB108+(1-EXP(-LN(2)/2))/(LN(2)/2)*V109*Y109*VLOOKUP('Données projet'!$B$9,Paramètres!$A$1:$I$89,3,0)*0.475*44/12</f>
        <v>3.4921919966024284E-11</v>
      </c>
      <c r="AC109" s="24">
        <f t="shared" si="57"/>
        <v>3.6909530549443397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-1.2710188457276673E-13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335.04906256888819</v>
      </c>
      <c r="T110" s="62">
        <f t="shared" si="88"/>
        <v>440.84111898279554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1.1658127162642122</v>
      </c>
      <c r="AA110" s="23">
        <f>EXP(-LN(2)/25)*AA109+(1-EXP(-LN(2)/25))/(LN(2)/25)*Calculateur!V110*Calculateur!X110*VLOOKUP('Données projet'!$B$9,Paramètres!$A$1:$I$89,3,0)*0.475*44/12</f>
        <v>2.4334097481923593</v>
      </c>
      <c r="AB110" s="23">
        <f>EXP(-LN(2)/2)*AB109+(1-EXP(-LN(2)/2))/(LN(2)/2)*V110*Y110*VLOOKUP('Données projet'!$B$9,Paramètres!$A$1:$I$89,3,0)*0.475*44/12</f>
        <v>2.4693526420029659E-11</v>
      </c>
      <c r="AC110" s="24">
        <f t="shared" si="57"/>
        <v>3.5992224644812651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-1.2710188457276673E-13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335.04906256888819</v>
      </c>
      <c r="T111" s="62">
        <f t="shared" si="88"/>
        <v>440.84111898279554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1.142951839973815</v>
      </c>
      <c r="AA111" s="23">
        <f>EXP(-LN(2)/25)*AA110+(1-EXP(-LN(2)/25))/(LN(2)/25)*Calculateur!V111*Calculateur!X111*VLOOKUP('Données projet'!$B$9,Paramètres!$A$1:$I$89,3,0)*0.475*44/12</f>
        <v>2.3668680306605823</v>
      </c>
      <c r="AB111" s="23">
        <f>EXP(-LN(2)/2)*AB110+(1-EXP(-LN(2)/2))/(LN(2)/2)*V111*Y111*VLOOKUP('Données projet'!$B$9,Paramètres!$A$1:$I$89,3,0)*0.475*44/12</f>
        <v>1.7460959983012142E-11</v>
      </c>
      <c r="AC111" s="24">
        <f t="shared" si="57"/>
        <v>3.5098198706518584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-1.2710188457276673E-13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335.04906256888819</v>
      </c>
      <c r="T112" s="62">
        <f t="shared" si="88"/>
        <v>440.84111898279554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1.1205392515237149</v>
      </c>
      <c r="AA112" s="23">
        <f>EXP(-LN(2)/25)*AA111+(1-EXP(-LN(2)/25))/(LN(2)/25)*Calculateur!V112*Calculateur!X112*VLOOKUP('Données projet'!$B$9,Paramètres!$A$1:$I$89,3,0)*0.475*44/12</f>
        <v>2.3021458998939885</v>
      </c>
      <c r="AB112" s="23">
        <f>EXP(-LN(2)/2)*AB111+(1-EXP(-LN(2)/2))/(LN(2)/2)*V112*Y112*VLOOKUP('Données projet'!$B$9,Paramètres!$A$1:$I$89,3,0)*0.475*44/12</f>
        <v>1.234676321001483E-11</v>
      </c>
      <c r="AC112" s="24">
        <f t="shared" si="57"/>
        <v>3.4226851514300503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-1.2710188457276673E-13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335.04906256888819</v>
      </c>
      <c r="T113" s="62">
        <f t="shared" si="88"/>
        <v>440.84111898279554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1.0985661602627921</v>
      </c>
      <c r="AA113" s="23">
        <f>EXP(-LN(2)/25)*AA112+(1-EXP(-LN(2)/25))/(LN(2)/25)*Calculateur!V113*Calculateur!X113*VLOOKUP('Données projet'!$B$9,Paramètres!$A$1:$I$89,3,0)*0.475*44/12</f>
        <v>2.2391935991967964</v>
      </c>
      <c r="AB113" s="23">
        <f>EXP(-LN(2)/2)*AB112+(1-EXP(-LN(2)/2))/(LN(2)/2)*V113*Y113*VLOOKUP('Données projet'!$B$9,Paramètres!$A$1:$I$89,3,0)*0.475*44/12</f>
        <v>8.730479991506071E-12</v>
      </c>
      <c r="AC113" s="24">
        <f t="shared" si="57"/>
        <v>3.337759759468319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-1.2710188457276673E-13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335.04906256888819</v>
      </c>
      <c r="T114" s="62">
        <f t="shared" si="88"/>
        <v>440.84111898279554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1.0770239479192336</v>
      </c>
      <c r="AA114" s="23">
        <f>EXP(-LN(2)/25)*AA113+(1-EXP(-LN(2)/25))/(LN(2)/25)*Calculateur!V114*Calculateur!X114*VLOOKUP('Données projet'!$B$9,Paramètres!$A$1:$I$89,3,0)*0.475*44/12</f>
        <v>2.1779627324726865</v>
      </c>
      <c r="AB114" s="23">
        <f>EXP(-LN(2)/2)*AB113+(1-EXP(-LN(2)/2))/(LN(2)/2)*V114*Y114*VLOOKUP('Données projet'!$B$9,Paramètres!$A$1:$I$89,3,0)*0.475*44/12</f>
        <v>6.1733816050074148E-12</v>
      </c>
      <c r="AC114" s="24">
        <f t="shared" si="57"/>
        <v>3.2549866803980936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-1.2710188457276673E-13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335.04906256888819</v>
      </c>
      <c r="T115" s="62">
        <f t="shared" si="88"/>
        <v>440.84111898279554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1.0559041652202803</v>
      </c>
      <c r="AA115" s="23">
        <f>EXP(-LN(2)/25)*AA114+(1-EXP(-LN(2)/25))/(LN(2)/25)*Calculateur!V115*Calculateur!X115*VLOOKUP('Données projet'!$B$9,Paramètres!$A$1:$I$89,3,0)*0.475*44/12</f>
        <v>2.1184062270191384</v>
      </c>
      <c r="AB115" s="23">
        <f>EXP(-LN(2)/2)*AB114+(1-EXP(-LN(2)/2))/(LN(2)/2)*V115*Y115*VLOOKUP('Données projet'!$B$9,Paramètres!$A$1:$I$89,3,0)*0.475*44/12</f>
        <v>4.3652399957530355E-12</v>
      </c>
      <c r="AC115" s="24">
        <f t="shared" si="57"/>
        <v>3.1743103922437843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-1.2710188457276673E-13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335.04906256888819</v>
      </c>
      <c r="T116" s="62">
        <f t="shared" si="88"/>
        <v>440.84111898279554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1.0351985285782579</v>
      </c>
      <c r="AA116" s="23">
        <f>EXP(-LN(2)/25)*AA115+(1-EXP(-LN(2)/25))/(LN(2)/25)*Calculateur!V116*Calculateur!X116*VLOOKUP('Données projet'!$B$9,Paramètres!$A$1:$I$89,3,0)*0.475*44/12</f>
        <v>2.0604782973391584</v>
      </c>
      <c r="AB116" s="23">
        <f>EXP(-LN(2)/2)*AB115+(1-EXP(-LN(2)/2))/(LN(2)/2)*V116*Y116*VLOOKUP('Données projet'!$B$9,Paramètres!$A$1:$I$89,3,0)*0.475*44/12</f>
        <v>3.0866908025037074E-12</v>
      </c>
      <c r="AC116" s="24">
        <f t="shared" si="57"/>
        <v>3.0956768259205032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-1.2710188457276673E-13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335.04906256888819</v>
      </c>
      <c r="T117" s="62">
        <f t="shared" si="88"/>
        <v>440.84111898279554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1.0148989168415943</v>
      </c>
      <c r="AA117" s="23">
        <f>EXP(-LN(2)/25)*AA116+(1-EXP(-LN(2)/25))/(LN(2)/25)*Calculateur!V117*Calculateur!X117*VLOOKUP('Données projet'!$B$9,Paramètres!$A$1:$I$89,3,0)*0.475*44/12</f>
        <v>2.0041344099425746</v>
      </c>
      <c r="AB117" s="23">
        <f>EXP(-LN(2)/2)*AB116+(1-EXP(-LN(2)/2))/(LN(2)/2)*V117*Y117*VLOOKUP('Données projet'!$B$9,Paramètres!$A$1:$I$89,3,0)*0.475*44/12</f>
        <v>2.1826199978765178E-12</v>
      </c>
      <c r="AC117" s="24">
        <f t="shared" si="57"/>
        <v>3.0190333267863516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-1.2710188457276673E-13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335.04906256888819</v>
      </c>
      <c r="T118" s="62">
        <f t="shared" si="88"/>
        <v>440.84111898279554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0.99499736810954598</v>
      </c>
      <c r="AA118" s="23">
        <f>EXP(-LN(2)/25)*AA117+(1-EXP(-LN(2)/25))/(LN(2)/25)*Calculateur!V118*Calculateur!X118*VLOOKUP('Données projet'!$B$9,Paramètres!$A$1:$I$89,3,0)*0.475*44/12</f>
        <v>1.9493312491098469</v>
      </c>
      <c r="AB118" s="23">
        <f>EXP(-LN(2)/2)*AB117+(1-EXP(-LN(2)/2))/(LN(2)/2)*V118*Y118*VLOOKUP('Données projet'!$B$9,Paramètres!$A$1:$I$89,3,0)*0.475*44/12</f>
        <v>1.5433454012518537E-12</v>
      </c>
      <c r="AC118" s="24">
        <f t="shared" si="57"/>
        <v>2.9443286172209362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-1.2710188457276673E-13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335.04906256888819</v>
      </c>
      <c r="T119" s="62">
        <f t="shared" si="88"/>
        <v>440.84111898279554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0.97548607660938702</v>
      </c>
      <c r="AA119" s="23">
        <f>EXP(-LN(2)/25)*AA118+(1-EXP(-LN(2)/25))/(LN(2)/25)*Calculateur!V119*Calculateur!X119*VLOOKUP('Données projet'!$B$9,Paramètres!$A$1:$I$89,3,0)*0.475*44/12</f>
        <v>1.8960266835920629</v>
      </c>
      <c r="AB119" s="23">
        <f>EXP(-LN(2)/2)*AB118+(1-EXP(-LN(2)/2))/(LN(2)/2)*V119*Y119*VLOOKUP('Données projet'!$B$9,Paramètres!$A$1:$I$89,3,0)*0.475*44/12</f>
        <v>1.0913099989382589E-12</v>
      </c>
      <c r="AC119" s="24">
        <f t="shared" si="57"/>
        <v>2.871512760202541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-1.2710188457276673E-13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335.04906256888819</v>
      </c>
      <c r="T120" s="62">
        <f t="shared" si="88"/>
        <v>440.84111898279554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0.95635738963483352</v>
      </c>
      <c r="AA120" s="23">
        <f>EXP(-LN(2)/25)*AA119+(1-EXP(-LN(2)/25))/(LN(2)/25)*Calculateur!V120*Calculateur!X120*VLOOKUP('Données projet'!$B$9,Paramètres!$A$1:$I$89,3,0)*0.475*44/12</f>
        <v>1.844179734221528</v>
      </c>
      <c r="AB120" s="23">
        <f>EXP(-LN(2)/2)*AB119+(1-EXP(-LN(2)/2))/(LN(2)/2)*V120*Y120*VLOOKUP('Données projet'!$B$9,Paramètres!$A$1:$I$89,3,0)*0.475*44/12</f>
        <v>7.7167270062592685E-13</v>
      </c>
      <c r="AC120" s="24">
        <f t="shared" si="57"/>
        <v>2.8005371238571333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-1.2710188457276673E-13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335.04906256888819</v>
      </c>
      <c r="T121" s="62">
        <f t="shared" si="88"/>
        <v>440.84111898279554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0.93760380454450398</v>
      </c>
      <c r="AA121" s="23">
        <f>EXP(-LN(2)/25)*AA120+(1-EXP(-LN(2)/25))/(LN(2)/25)*Calculateur!V121*Calculateur!X121*VLOOKUP('Données projet'!$B$9,Paramètres!$A$1:$I$89,3,0)*0.475*44/12</f>
        <v>1.7937505424080431</v>
      </c>
      <c r="AB121" s="23">
        <f>EXP(-LN(2)/2)*AB120+(1-EXP(-LN(2)/2))/(LN(2)/2)*V121*Y121*VLOOKUP('Données projet'!$B$9,Paramètres!$A$1:$I$89,3,0)*0.475*44/12</f>
        <v>5.4565499946912944E-13</v>
      </c>
      <c r="AC121" s="24">
        <f t="shared" si="57"/>
        <v>2.731354346953093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-1.2710188457276673E-13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335.04906256888819</v>
      </c>
      <c r="T122" s="62">
        <f t="shared" si="88"/>
        <v>440.84111898279554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0.91921796581923843</v>
      </c>
      <c r="AA122" s="23">
        <f>EXP(-LN(2)/25)*AA121+(1-EXP(-LN(2)/25))/(LN(2)/25)*Calculateur!V122*Calculateur!X122*VLOOKUP('Données projet'!$B$9,Paramètres!$A$1:$I$89,3,0)*0.475*44/12</f>
        <v>1.7447003394966538</v>
      </c>
      <c r="AB122" s="23">
        <f>EXP(-LN(2)/2)*AB121+(1-EXP(-LN(2)/2))/(LN(2)/2)*V122*Y122*VLOOKUP('Données projet'!$B$9,Paramètres!$A$1:$I$89,3,0)*0.475*44/12</f>
        <v>3.8583635031296342E-13</v>
      </c>
      <c r="AC122" s="24">
        <f t="shared" si="57"/>
        <v>2.6639183053162783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-1.2710188457276673E-13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335.04906256888819</v>
      </c>
      <c r="T123" s="62">
        <f t="shared" si="88"/>
        <v>440.84111898279554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0.90119266217712102</v>
      </c>
      <c r="AA123" s="23">
        <f>EXP(-LN(2)/25)*AA122+(1-EXP(-LN(2)/25))/(LN(2)/25)*Calculateur!V123*Calculateur!X123*VLOOKUP('Données projet'!$B$9,Paramètres!$A$1:$I$89,3,0)*0.475*44/12</f>
        <v>1.6969914169633145</v>
      </c>
      <c r="AB123" s="23">
        <f>EXP(-LN(2)/2)*AB122+(1-EXP(-LN(2)/2))/(LN(2)/2)*V123*Y123*VLOOKUP('Données projet'!$B$9,Paramètres!$A$1:$I$89,3,0)*0.475*44/12</f>
        <v>2.7282749973456472E-13</v>
      </c>
      <c r="AC123" s="24">
        <f t="shared" si="57"/>
        <v>2.598184079140708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-1.2710188457276673E-13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335.04906256888819</v>
      </c>
      <c r="T124" s="62">
        <f t="shared" si="88"/>
        <v>440.84111898279554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0.8835208237450759</v>
      </c>
      <c r="AA124" s="23">
        <f>EXP(-LN(2)/25)*AA123+(1-EXP(-LN(2)/25))/(LN(2)/25)*Calculateur!V124*Calculateur!X124*VLOOKUP('Données projet'!$B$9,Paramètres!$A$1:$I$89,3,0)*0.475*44/12</f>
        <v>1.6505870974255525</v>
      </c>
      <c r="AB124" s="23">
        <f>EXP(-LN(2)/2)*AB123+(1-EXP(-LN(2)/2))/(LN(2)/2)*V124*Y124*VLOOKUP('Données projet'!$B$9,Paramètres!$A$1:$I$89,3,0)*0.475*44/12</f>
        <v>1.9291817515648171E-13</v>
      </c>
      <c r="AC124" s="24">
        <f t="shared" si="57"/>
        <v>2.5341079211708211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-1.2710188457276673E-13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335.04906256888819</v>
      </c>
      <c r="T125" s="62">
        <f t="shared" si="88"/>
        <v>440.84111898279554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0.86619551928592609</v>
      </c>
      <c r="AA125" s="23">
        <f>EXP(-LN(2)/25)*AA124+(1-EXP(-LN(2)/25))/(LN(2)/25)*Calculateur!V125*Calculateur!X125*VLOOKUP('Données projet'!$B$9,Paramètres!$A$1:$I$89,3,0)*0.475*44/12</f>
        <v>1.6054517064458478</v>
      </c>
      <c r="AB125" s="23">
        <f>EXP(-LN(2)/2)*AB124+(1-EXP(-LN(2)/2))/(LN(2)/2)*V125*Y125*VLOOKUP('Données projet'!$B$9,Paramètres!$A$1:$I$89,3,0)*0.475*44/12</f>
        <v>1.3641374986728236E-13</v>
      </c>
      <c r="AC125" s="24">
        <f t="shared" si="57"/>
        <v>2.47164722573191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-1.2710188457276673E-13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335.04906256888819</v>
      </c>
      <c r="T126" s="62">
        <f t="shared" si="88"/>
        <v>440.84111898279554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0.84920995347982786</v>
      </c>
      <c r="AA126" s="23">
        <f>EXP(-LN(2)/25)*AA125+(1-EXP(-LN(2)/25))/(LN(2)/25)*Calculateur!V126*Calculateur!X126*VLOOKUP('Données projet'!$B$9,Paramètres!$A$1:$I$89,3,0)*0.475*44/12</f>
        <v>1.5615505451060501</v>
      </c>
      <c r="AB126" s="23">
        <f>EXP(-LN(2)/2)*AB125+(1-EXP(-LN(2)/2))/(LN(2)/2)*V126*Y126*VLOOKUP('Données projet'!$B$9,Paramètres!$A$1:$I$89,3,0)*0.475*44/12</f>
        <v>9.6459087578240856E-14</v>
      </c>
      <c r="AC126" s="24">
        <f t="shared" si="57"/>
        <v>2.4107604985859745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-1.2710188457276673E-13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335.04906256888819</v>
      </c>
      <c r="T127" s="62">
        <f t="shared" si="88"/>
        <v>440.84111898279554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0.83255746425901511</v>
      </c>
      <c r="AA127" s="23">
        <f>EXP(-LN(2)/25)*AA126+(1-EXP(-LN(2)/25))/(LN(2)/25)*Calculateur!V127*Calculateur!X127*VLOOKUP('Données projet'!$B$9,Paramètres!$A$1:$I$89,3,0)*0.475*44/12</f>
        <v>1.5188498633317509</v>
      </c>
      <c r="AB127" s="23">
        <f>EXP(-LN(2)/2)*AB126+(1-EXP(-LN(2)/2))/(LN(2)/2)*V127*Y127*VLOOKUP('Données projet'!$B$9,Paramètres!$A$1:$I$89,3,0)*0.475*44/12</f>
        <v>6.820687493364118E-14</v>
      </c>
      <c r="AC127" s="24">
        <f t="shared" si="57"/>
        <v>2.3514073275908345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-1.2710188457276673E-13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335.04906256888819</v>
      </c>
      <c r="T128" s="62">
        <f t="shared" si="88"/>
        <v>440.84111898279554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0.81623152019480694</v>
      </c>
      <c r="AA128" s="23">
        <f>EXP(-LN(2)/25)*AA127+(1-EXP(-LN(2)/25))/(LN(2)/25)*Calculateur!V128*Calculateur!X128*VLOOKUP('Données projet'!$B$9,Paramètres!$A$1:$I$89,3,0)*0.475*44/12</f>
        <v>1.4773168339461011</v>
      </c>
      <c r="AB128" s="23">
        <f>EXP(-LN(2)/2)*AB127+(1-EXP(-LN(2)/2))/(LN(2)/2)*V128*Y128*VLOOKUP('Données projet'!$B$9,Paramètres!$A$1:$I$89,3,0)*0.475*44/12</f>
        <v>4.8229543789120428E-14</v>
      </c>
      <c r="AC128" s="24">
        <f t="shared" si="57"/>
        <v>2.2935483541409565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-1.2710188457276673E-13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335.04906256888819</v>
      </c>
      <c r="T129" s="62">
        <f t="shared" si="88"/>
        <v>440.84111898279554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0.80022571793585529</v>
      </c>
      <c r="AA129" s="23">
        <f>EXP(-LN(2)/25)*AA128+(1-EXP(-LN(2)/25))/(LN(2)/25)*Calculateur!V129*Calculateur!X129*VLOOKUP('Données projet'!$B$9,Paramètres!$A$1:$I$89,3,0)*0.475*44/12</f>
        <v>1.4369195274331292</v>
      </c>
      <c r="AB129" s="23">
        <f>EXP(-LN(2)/2)*AB128+(1-EXP(-LN(2)/2))/(LN(2)/2)*V129*Y129*VLOOKUP('Données projet'!$B$9,Paramètres!$A$1:$I$89,3,0)*0.475*44/12</f>
        <v>3.410343746682059E-14</v>
      </c>
      <c r="AC129" s="24">
        <f t="shared" si="57"/>
        <v>2.2371452453690188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-1.2710188457276673E-13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335.04906256888819</v>
      </c>
      <c r="T130" s="62">
        <f t="shared" si="88"/>
        <v>440.84111898279554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0.7845337796966263</v>
      </c>
      <c r="AA130" s="23">
        <f>EXP(-LN(2)/25)*AA129+(1-EXP(-LN(2)/25))/(LN(2)/25)*Calculateur!V130*Calculateur!X130*VLOOKUP('Données projet'!$B$9,Paramètres!$A$1:$I$89,3,0)*0.475*44/12</f>
        <v>1.3976268873911566</v>
      </c>
      <c r="AB130" s="23">
        <f>EXP(-LN(2)/2)*AB129+(1-EXP(-LN(2)/2))/(LN(2)/2)*V130*Y130*VLOOKUP('Données projet'!$B$9,Paramètres!$A$1:$I$89,3,0)*0.475*44/12</f>
        <v>2.4114771894560214E-14</v>
      </c>
      <c r="AC130" s="24">
        <f t="shared" si="57"/>
        <v>2.1821606670878069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-1.2710188457276673E-13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335.04906256888819</v>
      </c>
      <c r="T131" s="62">
        <f t="shared" si="88"/>
        <v>440.84111898279554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0.76914955079513125</v>
      </c>
      <c r="AA131" s="23">
        <f>EXP(-LN(2)/25)*AA130+(1-EXP(-LN(2)/25))/(LN(2)/25)*Calculateur!V131*Calculateur!X131*VLOOKUP('Données projet'!$B$9,Paramètres!$A$1:$I$89,3,0)*0.475*44/12</f>
        <v>1.3594087066574416</v>
      </c>
      <c r="AB131" s="23">
        <f>EXP(-LN(2)/2)*AB130+(1-EXP(-LN(2)/2))/(LN(2)/2)*V131*Y131*VLOOKUP('Données projet'!$B$9,Paramètres!$A$1:$I$89,3,0)*0.475*44/12</f>
        <v>1.7051718733410295E-14</v>
      </c>
      <c r="AC131" s="24">
        <f t="shared" si="57"/>
        <v>2.1285582574525899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-1.2710188457276673E-13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335.04906256888819</v>
      </c>
      <c r="T132" s="62">
        <f t="shared" si="88"/>
        <v>440.84111898279554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0.75406699723894144</v>
      </c>
      <c r="AA132" s="23">
        <f>EXP(-LN(2)/25)*AA131+(1-EXP(-LN(2)/25))/(LN(2)/25)*Calculateur!V132*Calculateur!X132*VLOOKUP('Données projet'!$B$9,Paramètres!$A$1:$I$89,3,0)*0.475*44/12</f>
        <v>1.3222356040856971</v>
      </c>
      <c r="AB132" s="23">
        <f>EXP(-LN(2)/2)*AB131+(1-EXP(-LN(2)/2))/(LN(2)/2)*V132*Y132*VLOOKUP('Données projet'!$B$9,Paramètres!$A$1:$I$89,3,0)*0.475*44/12</f>
        <v>1.2057385947280107E-14</v>
      </c>
      <c r="AC132" s="24">
        <f t="shared" ref="AC132:AC153" si="111">SUM(Z132:AB132)</f>
        <v>2.0763026013246506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-1.2710188457276673E-13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335.04906256888819</v>
      </c>
      <c r="T133" s="62">
        <f t="shared" ref="T133:T196" si="142">$T$3</f>
        <v>440.84111898279554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0.73928020335853928</v>
      </c>
      <c r="AA133" s="23">
        <f>EXP(-LN(2)/25)*AA132+(1-EXP(-LN(2)/25))/(LN(2)/25)*Calculateur!V133*Calculateur!X133*VLOOKUP('Données projet'!$B$9,Paramètres!$A$1:$I$89,3,0)*0.475*44/12</f>
        <v>1.2860790019586252</v>
      </c>
      <c r="AB133" s="23">
        <f>EXP(-LN(2)/2)*AB132+(1-EXP(-LN(2)/2))/(LN(2)/2)*V133*Y133*VLOOKUP('Données projet'!$B$9,Paramètres!$A$1:$I$89,3,0)*0.475*44/12</f>
        <v>8.5258593667051475E-15</v>
      </c>
      <c r="AC133" s="24">
        <f t="shared" si="111"/>
        <v>2.025359205317173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-1.2710188457276673E-13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335.04906256888819</v>
      </c>
      <c r="T134" s="62">
        <f t="shared" si="142"/>
        <v>440.84111898279554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0.72478336948707811</v>
      </c>
      <c r="AA134" s="23">
        <f>EXP(-LN(2)/25)*AA133+(1-EXP(-LN(2)/25))/(LN(2)/25)*Calculateur!V134*Calculateur!X134*VLOOKUP('Données projet'!$B$9,Paramètres!$A$1:$I$89,3,0)*0.475*44/12</f>
        <v>1.2509111040181113</v>
      </c>
      <c r="AB134" s="23">
        <f>EXP(-LN(2)/2)*AB133+(1-EXP(-LN(2)/2))/(LN(2)/2)*V134*Y134*VLOOKUP('Données projet'!$B$9,Paramètres!$A$1:$I$89,3,0)*0.475*44/12</f>
        <v>6.0286929736400535E-15</v>
      </c>
      <c r="AC134" s="24">
        <f t="shared" si="111"/>
        <v>1.9756944735051956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-1.2710188457276673E-13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335.04906256888819</v>
      </c>
      <c r="T135" s="62">
        <f t="shared" si="142"/>
        <v>440.84111898279554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0.71057080968564068</v>
      </c>
      <c r="AA135" s="23">
        <f>EXP(-LN(2)/25)*AA134+(1-EXP(-LN(2)/25))/(LN(2)/25)*Calculateur!V135*Calculateur!X135*VLOOKUP('Données projet'!$B$9,Paramètres!$A$1:$I$89,3,0)*0.475*44/12</f>
        <v>1.2167048740961801</v>
      </c>
      <c r="AB135" s="23">
        <f>EXP(-LN(2)/2)*AB134+(1-EXP(-LN(2)/2))/(LN(2)/2)*V135*Y135*VLOOKUP('Données projet'!$B$9,Paramètres!$A$1:$I$89,3,0)*0.475*44/12</f>
        <v>4.2629296833525737E-15</v>
      </c>
      <c r="AC135" s="24">
        <f t="shared" si="111"/>
        <v>1.927275683781825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-1.2710188457276673E-13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335.04906256888819</v>
      </c>
      <c r="T136" s="62">
        <f t="shared" si="142"/>
        <v>440.84111898279554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0.69663694951310395</v>
      </c>
      <c r="AA136" s="23">
        <f>EXP(-LN(2)/25)*AA135+(1-EXP(-LN(2)/25))/(LN(2)/25)*Calculateur!V136*Calculateur!X136*VLOOKUP('Données projet'!$B$9,Paramètres!$A$1:$I$89,3,0)*0.475*44/12</f>
        <v>1.1834340153302916</v>
      </c>
      <c r="AB136" s="23">
        <f>EXP(-LN(2)/2)*AB135+(1-EXP(-LN(2)/2))/(LN(2)/2)*V136*Y136*VLOOKUP('Données projet'!$B$9,Paramètres!$A$1:$I$89,3,0)*0.475*44/12</f>
        <v>3.0143464868200268E-15</v>
      </c>
      <c r="AC136" s="24">
        <f t="shared" si="111"/>
        <v>1.8800709648433986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-1.2710188457276673E-13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335.04906256888819</v>
      </c>
      <c r="T137" s="62">
        <f t="shared" si="142"/>
        <v>440.84111898279554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0.68297632383973517</v>
      </c>
      <c r="AA137" s="23">
        <f>EXP(-LN(2)/25)*AA136+(1-EXP(-LN(2)/25))/(LN(2)/25)*Calculateur!V137*Calculateur!X137*VLOOKUP('Données projet'!$B$9,Paramètres!$A$1:$I$89,3,0)*0.475*44/12</f>
        <v>1.1510729499469947</v>
      </c>
      <c r="AB137" s="23">
        <f>EXP(-LN(2)/2)*AB136+(1-EXP(-LN(2)/2))/(LN(2)/2)*V137*Y137*VLOOKUP('Données projet'!$B$9,Paramètres!$A$1:$I$89,3,0)*0.475*44/12</f>
        <v>2.1314648416762869E-15</v>
      </c>
      <c r="AC137" s="24">
        <f t="shared" si="111"/>
        <v>1.8340492737867322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-1.2710188457276673E-13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335.04906256888819</v>
      </c>
      <c r="T138" s="62">
        <f t="shared" si="142"/>
        <v>440.84111898279554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0.66958357470366214</v>
      </c>
      <c r="AA138" s="23">
        <f>EXP(-LN(2)/25)*AA137+(1-EXP(-LN(2)/25))/(LN(2)/25)*Calculateur!V138*Calculateur!X138*VLOOKUP('Données projet'!$B$9,Paramètres!$A$1:$I$89,3,0)*0.475*44/12</f>
        <v>1.1195967995983984</v>
      </c>
      <c r="AB138" s="23">
        <f>EXP(-LN(2)/2)*AB137+(1-EXP(-LN(2)/2))/(LN(2)/2)*V138*Y138*VLOOKUP('Données projet'!$B$9,Paramètres!$A$1:$I$89,3,0)*0.475*44/12</f>
        <v>1.5071732434100134E-15</v>
      </c>
      <c r="AC138" s="24">
        <f t="shared" si="111"/>
        <v>1.789180374302062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-1.2710188457276673E-13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335.04906256888819</v>
      </c>
      <c r="T139" s="62">
        <f t="shared" si="142"/>
        <v>440.84111898279554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0.6564534492093772</v>
      </c>
      <c r="AA139" s="23">
        <f>EXP(-LN(2)/25)*AA138+(1-EXP(-LN(2)/25))/(LN(2)/25)*Calculateur!V139*Calculateur!X139*VLOOKUP('Données projet'!$B$9,Paramètres!$A$1:$I$89,3,0)*0.475*44/12</f>
        <v>1.0889813662363435</v>
      </c>
      <c r="AB139" s="23">
        <f>EXP(-LN(2)/2)*AB138+(1-EXP(-LN(2)/2))/(LN(2)/2)*V139*Y139*VLOOKUP('Données projet'!$B$9,Paramètres!$A$1:$I$89,3,0)*0.475*44/12</f>
        <v>1.0657324208381434E-15</v>
      </c>
      <c r="AC139" s="24">
        <f t="shared" si="111"/>
        <v>1.7454348154457218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-1.2710188457276673E-13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335.04906256888819</v>
      </c>
      <c r="T140" s="62">
        <f t="shared" si="142"/>
        <v>440.84111898279554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0.64358079746744945</v>
      </c>
      <c r="AA140" s="23">
        <f>EXP(-LN(2)/25)*AA139+(1-EXP(-LN(2)/25))/(LN(2)/25)*Calculateur!V140*Calculateur!X140*VLOOKUP('Données projet'!$B$9,Paramètres!$A$1:$I$89,3,0)*0.475*44/12</f>
        <v>1.0592031135095694</v>
      </c>
      <c r="AB140" s="23">
        <f>EXP(-LN(2)/2)*AB139+(1-EXP(-LN(2)/2))/(LN(2)/2)*V140*Y140*VLOOKUP('Données projet'!$B$9,Paramètres!$A$1:$I$89,3,0)*0.475*44/12</f>
        <v>7.5358662170500669E-16</v>
      </c>
      <c r="AC140" s="24">
        <f t="shared" si="111"/>
        <v>1.7027839109770195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-1.2710188457276673E-13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335.04906256888819</v>
      </c>
      <c r="T141" s="62">
        <f t="shared" si="142"/>
        <v>440.84111898279554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0.63096057057463861</v>
      </c>
      <c r="AA141" s="23">
        <f>EXP(-LN(2)/25)*AA140+(1-EXP(-LN(2)/25))/(LN(2)/25)*Calculateur!V141*Calculateur!X141*VLOOKUP('Données projet'!$B$9,Paramètres!$A$1:$I$89,3,0)*0.475*44/12</f>
        <v>1.0302391486695794</v>
      </c>
      <c r="AB141" s="23">
        <f>EXP(-LN(2)/2)*AB140+(1-EXP(-LN(2)/2))/(LN(2)/2)*V141*Y141*VLOOKUP('Données projet'!$B$9,Paramètres!$A$1:$I$89,3,0)*0.475*44/12</f>
        <v>5.3286621041907172E-16</v>
      </c>
      <c r="AC141" s="24">
        <f t="shared" si="111"/>
        <v>1.6611997192442185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-1.2710188457276673E-13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335.04906256888819</v>
      </c>
      <c r="T142" s="62">
        <f t="shared" si="142"/>
        <v>440.84111898279554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0.61858781863361745</v>
      </c>
      <c r="AA142" s="23">
        <f>EXP(-LN(2)/25)*AA141+(1-EXP(-LN(2)/25))/(LN(2)/25)*Calculateur!V142*Calculateur!X142*VLOOKUP('Données projet'!$B$9,Paramètres!$A$1:$I$89,3,0)*0.475*44/12</f>
        <v>1.0020672049712875</v>
      </c>
      <c r="AB142" s="23">
        <f>EXP(-LN(2)/2)*AB141+(1-EXP(-LN(2)/2))/(LN(2)/2)*V142*Y142*VLOOKUP('Données projet'!$B$9,Paramètres!$A$1:$I$89,3,0)*0.475*44/12</f>
        <v>3.7679331085250334E-16</v>
      </c>
      <c r="AC142" s="24">
        <f t="shared" si="111"/>
        <v>1.6206550236049053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-1.2710188457276673E-13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335.04906256888819</v>
      </c>
      <c r="T143" s="62">
        <f t="shared" si="142"/>
        <v>440.84111898279554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0.60645768881152617</v>
      </c>
      <c r="AA143" s="23">
        <f>EXP(-LN(2)/25)*AA142+(1-EXP(-LN(2)/25))/(LN(2)/25)*Calculateur!V143*Calculateur!X143*VLOOKUP('Données projet'!$B$9,Paramètres!$A$1:$I$89,3,0)*0.475*44/12</f>
        <v>0.97466562455492367</v>
      </c>
      <c r="AB143" s="23">
        <f>EXP(-LN(2)/2)*AB142+(1-EXP(-LN(2)/2))/(LN(2)/2)*V143*Y143*VLOOKUP('Données projet'!$B$9,Paramètres!$A$1:$I$89,3,0)*0.475*44/12</f>
        <v>2.6643310520953586E-16</v>
      </c>
      <c r="AC143" s="24">
        <f t="shared" si="111"/>
        <v>1.5811233133664502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-1.2710188457276673E-13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335.04906256888819</v>
      </c>
      <c r="T144" s="62">
        <f t="shared" si="142"/>
        <v>440.84111898279554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0.59456542343659746</v>
      </c>
      <c r="AA144" s="23">
        <f>EXP(-LN(2)/25)*AA143+(1-EXP(-LN(2)/25))/(LN(2)/25)*Calculateur!V144*Calculateur!X144*VLOOKUP('Données projet'!$B$9,Paramètres!$A$1:$I$89,3,0)*0.475*44/12</f>
        <v>0.94801334179603169</v>
      </c>
      <c r="AB144" s="23">
        <f>EXP(-LN(2)/2)*AB143+(1-EXP(-LN(2)/2))/(LN(2)/2)*V144*Y144*VLOOKUP('Données projet'!$B$9,Paramètres!$A$1:$I$89,3,0)*0.475*44/12</f>
        <v>1.8839665542625167E-16</v>
      </c>
      <c r="AC144" s="24">
        <f t="shared" si="111"/>
        <v>1.5425787652326293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-1.2710188457276673E-13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335.04906256888819</v>
      </c>
      <c r="T145" s="62">
        <f t="shared" si="142"/>
        <v>440.84111898279554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0.58290635813210545</v>
      </c>
      <c r="AA145" s="23">
        <f>EXP(-LN(2)/25)*AA144+(1-EXP(-LN(2)/25))/(LN(2)/25)*Calculateur!V145*Calculateur!X145*VLOOKUP('Données projet'!$B$9,Paramètres!$A$1:$I$89,3,0)*0.475*44/12</f>
        <v>0.92208986711076424</v>
      </c>
      <c r="AB145" s="23">
        <f>EXP(-LN(2)/2)*AB144+(1-EXP(-LN(2)/2))/(LN(2)/2)*V145*Y145*VLOOKUP('Données projet'!$B$9,Paramètres!$A$1:$I$89,3,0)*0.475*44/12</f>
        <v>1.3321655260476793E-16</v>
      </c>
      <c r="AC145" s="24">
        <f t="shared" si="111"/>
        <v>1.5049962252428699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-1.2710188457276673E-13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335.04906256888819</v>
      </c>
      <c r="T146" s="62">
        <f t="shared" si="142"/>
        <v>440.84111898279554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0.57147591998690683</v>
      </c>
      <c r="AA146" s="23">
        <f>EXP(-LN(2)/25)*AA145+(1-EXP(-LN(2)/25))/(LN(2)/25)*Calculateur!V146*Calculateur!X146*VLOOKUP('Données projet'!$B$9,Paramètres!$A$1:$I$89,3,0)*0.475*44/12</f>
        <v>0.89687527120402177</v>
      </c>
      <c r="AB146" s="23">
        <f>EXP(-LN(2)/2)*AB145+(1-EXP(-LN(2)/2))/(LN(2)/2)*V146*Y146*VLOOKUP('Données projet'!$B$9,Paramètres!$A$1:$I$89,3,0)*0.475*44/12</f>
        <v>9.4198327713125836E-17</v>
      </c>
      <c r="AC146" s="24">
        <f t="shared" si="111"/>
        <v>1.4683511911909286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-1.2710188457276673E-13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335.04906256888819</v>
      </c>
      <c r="T147" s="62">
        <f t="shared" si="142"/>
        <v>440.84111898279554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0.56026962576185679</v>
      </c>
      <c r="AA147" s="23">
        <f>EXP(-LN(2)/25)*AA146+(1-EXP(-LN(2)/25))/(LN(2)/25)*Calculateur!V147*Calculateur!X147*VLOOKUP('Données projet'!$B$9,Paramètres!$A$1:$I$89,3,0)*0.475*44/12</f>
        <v>0.87235016974832713</v>
      </c>
      <c r="AB147" s="23">
        <f>EXP(-LN(2)/2)*AB146+(1-EXP(-LN(2)/2))/(LN(2)/2)*V147*Y147*VLOOKUP('Données projet'!$B$9,Paramètres!$A$1:$I$89,3,0)*0.475*44/12</f>
        <v>6.6608276302383965E-17</v>
      </c>
      <c r="AC147" s="24">
        <f t="shared" si="111"/>
        <v>1.4326197955101838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-1.2710188457276673E-13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335.04906256888819</v>
      </c>
      <c r="T148" s="62">
        <f t="shared" si="142"/>
        <v>440.84111898279554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0.54928308013139537</v>
      </c>
      <c r="AA148" s="23">
        <f>EXP(-LN(2)/25)*AA147+(1-EXP(-LN(2)/25))/(LN(2)/25)*Calculateur!V148*Calculateur!X148*VLOOKUP('Données projet'!$B$9,Paramètres!$A$1:$I$89,3,0)*0.475*44/12</f>
        <v>0.84849570848165745</v>
      </c>
      <c r="AB148" s="23">
        <f>EXP(-LN(2)/2)*AB147+(1-EXP(-LN(2)/2))/(LN(2)/2)*V148*Y148*VLOOKUP('Données projet'!$B$9,Paramètres!$A$1:$I$89,3,0)*0.475*44/12</f>
        <v>4.7099163856562918E-17</v>
      </c>
      <c r="AC148" s="24">
        <f t="shared" si="111"/>
        <v>1.3977787886130528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-1.2710188457276673E-13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335.04906256888819</v>
      </c>
      <c r="T149" s="62">
        <f t="shared" si="142"/>
        <v>440.84111898279554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0.53851197395961614</v>
      </c>
      <c r="AA149" s="23">
        <f>EXP(-LN(2)/25)*AA148+(1-EXP(-LN(2)/25))/(LN(2)/25)*Calculateur!V149*Calculateur!X149*VLOOKUP('Données projet'!$B$9,Paramètres!$A$1:$I$89,3,0)*0.475*44/12</f>
        <v>0.82529354871277649</v>
      </c>
      <c r="AB149" s="23">
        <f>EXP(-LN(2)/2)*AB148+(1-EXP(-LN(2)/2))/(LN(2)/2)*V149*Y149*VLOOKUP('Données projet'!$B$9,Paramètres!$A$1:$I$89,3,0)*0.475*44/12</f>
        <v>3.3304138151191982E-17</v>
      </c>
      <c r="AC149" s="24">
        <f t="shared" si="111"/>
        <v>1.3638055226723926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-1.2710188457276673E-13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335.04906256888819</v>
      </c>
      <c r="T150" s="62">
        <f t="shared" si="142"/>
        <v>440.84111898279554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0.52795208261013948</v>
      </c>
      <c r="AA150" s="23">
        <f>EXP(-LN(2)/25)*AA149+(1-EXP(-LN(2)/25))/(LN(2)/25)*Calculateur!V150*Calculateur!X150*VLOOKUP('Données projet'!$B$9,Paramètres!$A$1:$I$89,3,0)*0.475*44/12</f>
        <v>0.80272585322292411</v>
      </c>
      <c r="AB150" s="23">
        <f>EXP(-LN(2)/2)*AB149+(1-EXP(-LN(2)/2))/(LN(2)/2)*V150*Y150*VLOOKUP('Données projet'!$B$9,Paramètres!$A$1:$I$89,3,0)*0.475*44/12</f>
        <v>2.3549581928281459E-17</v>
      </c>
      <c r="AC150" s="24">
        <f t="shared" si="111"/>
        <v>1.3306779358330636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-1.2710188457276673E-13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335.04906256888819</v>
      </c>
      <c r="T151" s="62">
        <f t="shared" si="142"/>
        <v>440.84111898279554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0.51759926428912828</v>
      </c>
      <c r="AA151" s="23">
        <f>EXP(-LN(2)/25)*AA150+(1-EXP(-LN(2)/25))/(LN(2)/25)*Calculateur!V151*Calculateur!X151*VLOOKUP('Données projet'!$B$9,Paramètres!$A$1:$I$89,3,0)*0.475*44/12</f>
        <v>0.78077527255302526</v>
      </c>
      <c r="AB151" s="23">
        <f>EXP(-LN(2)/2)*AB150+(1-EXP(-LN(2)/2))/(LN(2)/2)*V151*Y151*VLOOKUP('Données projet'!$B$9,Paramètres!$A$1:$I$89,3,0)*0.475*44/12</f>
        <v>1.6652069075595991E-17</v>
      </c>
      <c r="AC151" s="24">
        <f t="shared" si="111"/>
        <v>1.2983745368421535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-1.2710188457276673E-13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335.04906256888819</v>
      </c>
      <c r="T152" s="62">
        <f t="shared" si="142"/>
        <v>440.84111898279554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0.50744945842079647</v>
      </c>
      <c r="AA152" s="23">
        <f>EXP(-LN(2)/25)*AA151+(1-EXP(-LN(2)/25))/(LN(2)/25)*Calculateur!V152*Calculateur!X152*VLOOKUP('Données projet'!$B$9,Paramètres!$A$1:$I$89,3,0)*0.475*44/12</f>
        <v>0.75942493166587566</v>
      </c>
      <c r="AB152" s="23">
        <f>EXP(-LN(2)/2)*AB151+(1-EXP(-LN(2)/2))/(LN(2)/2)*V152*Y152*VLOOKUP('Données projet'!$B$9,Paramètres!$A$1:$I$89,3,0)*0.475*44/12</f>
        <v>1.177479096414073E-17</v>
      </c>
      <c r="AC152" s="24">
        <f t="shared" si="111"/>
        <v>1.2668743900866721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-1.2710188457276673E-13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335.04906256888819</v>
      </c>
      <c r="T153" s="62">
        <f t="shared" si="142"/>
        <v>440.84111898279554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0.49749868405477238</v>
      </c>
      <c r="AA153" s="23">
        <f>EXP(-LN(2)/25)*AA152+(1-EXP(-LN(2)/25))/(LN(2)/25)*Calculateur!V153*Calculateur!X153*VLOOKUP('Données projet'!$B$9,Paramètres!$A$1:$I$89,3,0)*0.475*44/12</f>
        <v>0.73865841697305079</v>
      </c>
      <c r="AB153" s="23">
        <f>EXP(-LN(2)/2)*AB152+(1-EXP(-LN(2)/2))/(LN(2)/2)*V153*Y153*VLOOKUP('Données projet'!$B$9,Paramètres!$A$1:$I$89,3,0)*0.475*44/12</f>
        <v>8.3260345377979956E-18</v>
      </c>
      <c r="AC153" s="24">
        <f t="shared" si="111"/>
        <v>1.2361571010278232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-1.2710188457276673E-13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335.04906256888819</v>
      </c>
      <c r="T154" s="62">
        <f t="shared" si="142"/>
        <v>440.84111898279554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0.48774303830469296</v>
      </c>
      <c r="AA154" s="23">
        <f>EXP(-LN(2)/25)*AA153+(1-EXP(-LN(2)/25))/(LN(2)/25)*Calculateur!V154*Calculateur!X154*VLOOKUP('Données projet'!$B$9,Paramètres!$A$1:$I$89,3,0)*0.475*44/12</f>
        <v>0.71845976371656484</v>
      </c>
      <c r="AB154" s="23">
        <f>EXP(-LN(2)/2)*AB153+(1-EXP(-LN(2)/2))/(LN(2)/2)*V154*Y154*VLOOKUP('Données projet'!$B$9,Paramètres!$A$1:$I$89,3,0)*0.475*44/12</f>
        <v>5.8873954820703648E-18</v>
      </c>
      <c r="AC154" s="24">
        <f t="shared" ref="AC154:AC203" si="163">SUM(Z154:AB154)</f>
        <v>1.2062028020212578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-1.2710188457276673E-13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335.04906256888819</v>
      </c>
      <c r="T155" s="62">
        <f t="shared" si="142"/>
        <v>440.84111898279554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0.47817869481741621</v>
      </c>
      <c r="AA155" s="23">
        <f>EXP(-LN(2)/25)*AA154+(1-EXP(-LN(2)/25))/(LN(2)/25)*Calculateur!V155*Calculateur!X155*VLOOKUP('Données projet'!$B$9,Paramètres!$A$1:$I$89,3,0)*0.475*44/12</f>
        <v>0.69881344369557841</v>
      </c>
      <c r="AB155" s="23">
        <f>EXP(-LN(2)/2)*AB154+(1-EXP(-LN(2)/2))/(LN(2)/2)*V155*Y155*VLOOKUP('Données projet'!$B$9,Paramètres!$A$1:$I$89,3,0)*0.475*44/12</f>
        <v>4.1630172688989978E-18</v>
      </c>
      <c r="AC155" s="24">
        <f t="shared" si="163"/>
        <v>1.1769921385129947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-1.2710188457276673E-13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335.04906256888819</v>
      </c>
      <c r="T156" s="62">
        <f t="shared" si="142"/>
        <v>440.84111898279554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0.46880190227225144</v>
      </c>
      <c r="AA156" s="23">
        <f>EXP(-LN(2)/25)*AA155+(1-EXP(-LN(2)/25))/(LN(2)/25)*Calculateur!V156*Calculateur!X156*VLOOKUP('Données projet'!$B$9,Paramètres!$A$1:$I$89,3,0)*0.475*44/12</f>
        <v>0.67970435332872092</v>
      </c>
      <c r="AB156" s="23">
        <f>EXP(-LN(2)/2)*AB155+(1-EXP(-LN(2)/2))/(LN(2)/2)*V156*Y156*VLOOKUP('Données projet'!$B$9,Paramètres!$A$1:$I$89,3,0)*0.475*44/12</f>
        <v>2.9436977410351824E-18</v>
      </c>
      <c r="AC156" s="24">
        <f t="shared" si="163"/>
        <v>1.1485062556009724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-1.2710188457276673E-13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335.04906256888819</v>
      </c>
      <c r="T157" s="62">
        <f t="shared" si="142"/>
        <v>440.84111898279554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0.45960898290961866</v>
      </c>
      <c r="AA157" s="23">
        <f>EXP(-LN(2)/25)*AA156+(1-EXP(-LN(2)/25))/(LN(2)/25)*Calculateur!V157*Calculateur!X157*VLOOKUP('Données projet'!$B$9,Paramètres!$A$1:$I$89,3,0)*0.475*44/12</f>
        <v>0.66111780204284865</v>
      </c>
      <c r="AB157" s="23">
        <f>EXP(-LN(2)/2)*AB156+(1-EXP(-LN(2)/2))/(LN(2)/2)*V157*Y157*VLOOKUP('Données projet'!$B$9,Paramètres!$A$1:$I$89,3,0)*0.475*44/12</f>
        <v>2.0815086344494989E-18</v>
      </c>
      <c r="AC157" s="24">
        <f t="shared" si="163"/>
        <v>1.1207267849524674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-1.2710188457276673E-13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335.04906256888819</v>
      </c>
      <c r="T158" s="62">
        <f t="shared" si="142"/>
        <v>440.84111898279554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0.45059633108855995</v>
      </c>
      <c r="AA158" s="23">
        <f>EXP(-LN(2)/25)*AA157+(1-EXP(-LN(2)/25))/(LN(2)/25)*Calculateur!V158*Calculateur!X158*VLOOKUP('Données projet'!$B$9,Paramètres!$A$1:$I$89,3,0)*0.475*44/12</f>
        <v>0.64303950097931273</v>
      </c>
      <c r="AB158" s="23">
        <f>EXP(-LN(2)/2)*AB157+(1-EXP(-LN(2)/2))/(LN(2)/2)*V158*Y158*VLOOKUP('Données projet'!$B$9,Paramètres!$A$1:$I$89,3,0)*0.475*44/12</f>
        <v>1.4718488705175912E-18</v>
      </c>
      <c r="AC158" s="24">
        <f t="shared" si="163"/>
        <v>1.0936358320678727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-1.2710188457276673E-13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335.04906256888819</v>
      </c>
      <c r="T159" s="62">
        <f t="shared" si="142"/>
        <v>440.84111898279554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0.4417604118725374</v>
      </c>
      <c r="AA159" s="23">
        <f>EXP(-LN(2)/25)*AA158+(1-EXP(-LN(2)/25))/(LN(2)/25)*Calculateur!V159*Calculateur!X159*VLOOKUP('Données projet'!$B$9,Paramètres!$A$1:$I$89,3,0)*0.475*44/12</f>
        <v>0.62545555200905578</v>
      </c>
      <c r="AB159" s="23">
        <f>EXP(-LN(2)/2)*AB158+(1-EXP(-LN(2)/2))/(LN(2)/2)*V159*Y159*VLOOKUP('Données projet'!$B$9,Paramètres!$A$1:$I$89,3,0)*0.475*44/12</f>
        <v>1.0407543172247494E-18</v>
      </c>
      <c r="AC159" s="24">
        <f t="shared" si="163"/>
        <v>1.0672159638815932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-1.2710188457276673E-13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335.04906256888819</v>
      </c>
      <c r="T160" s="62">
        <f t="shared" si="142"/>
        <v>440.84111898279554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0.43309775964296249</v>
      </c>
      <c r="AA160" s="23">
        <f>EXP(-LN(2)/25)*AA159+(1-EXP(-LN(2)/25))/(LN(2)/25)*Calculateur!V160*Calculateur!X160*VLOOKUP('Données projet'!$B$9,Paramètres!$A$1:$I$89,3,0)*0.475*44/12</f>
        <v>0.60835243704809017</v>
      </c>
      <c r="AB160" s="23">
        <f>EXP(-LN(2)/2)*AB159+(1-EXP(-LN(2)/2))/(LN(2)/2)*V160*Y160*VLOOKUP('Données projet'!$B$9,Paramètres!$A$1:$I$89,3,0)*0.475*44/12</f>
        <v>7.3592443525879559E-19</v>
      </c>
      <c r="AC160" s="24">
        <f t="shared" si="163"/>
        <v>1.0414501966910525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-1.2710188457276673E-13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335.04906256888819</v>
      </c>
      <c r="T161" s="62">
        <f t="shared" si="142"/>
        <v>440.84111898279554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0.42460497673991338</v>
      </c>
      <c r="AA161" s="23">
        <f>EXP(-LN(2)/25)*AA160+(1-EXP(-LN(2)/25))/(LN(2)/25)*Calculateur!V161*Calculateur!X161*VLOOKUP('Données projet'!$B$9,Paramètres!$A$1:$I$89,3,0)*0.475*44/12</f>
        <v>0.5917170076651459</v>
      </c>
      <c r="AB161" s="23">
        <f>EXP(-LN(2)/2)*AB160+(1-EXP(-LN(2)/2))/(LN(2)/2)*V161*Y161*VLOOKUP('Données projet'!$B$9,Paramètres!$A$1:$I$89,3,0)*0.475*44/12</f>
        <v>5.2037715861237472E-19</v>
      </c>
      <c r="AC161" s="24">
        <f t="shared" si="163"/>
        <v>1.0163219844050593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-1.2710188457276673E-13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335.04906256888819</v>
      </c>
      <c r="T162" s="62">
        <f t="shared" si="142"/>
        <v>440.84111898279554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0.416278732129507</v>
      </c>
      <c r="AA162" s="23">
        <f>EXP(-LN(2)/25)*AA161+(1-EXP(-LN(2)/25))/(LN(2)/25)*Calculateur!V162*Calculateur!X162*VLOOKUP('Données projet'!$B$9,Paramètres!$A$1:$I$89,3,0)*0.475*44/12</f>
        <v>0.57553647497349747</v>
      </c>
      <c r="AB162" s="23">
        <f>EXP(-LN(2)/2)*AB161+(1-EXP(-LN(2)/2))/(LN(2)/2)*V162*Y162*VLOOKUP('Données projet'!$B$9,Paramètres!$A$1:$I$89,3,0)*0.475*44/12</f>
        <v>3.679622176293978E-19</v>
      </c>
      <c r="AC162" s="24">
        <f t="shared" si="163"/>
        <v>0.99181520710300441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-1.2710188457276673E-13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335.04906256888819</v>
      </c>
      <c r="T163" s="62">
        <f t="shared" si="142"/>
        <v>440.84111898279554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0.40811576009740291</v>
      </c>
      <c r="AA163" s="23">
        <f>EXP(-LN(2)/25)*AA162+(1-EXP(-LN(2)/25))/(LN(2)/25)*Calculateur!V163*Calculateur!X163*VLOOKUP('Données projet'!$B$9,Paramètres!$A$1:$I$89,3,0)*0.475*44/12</f>
        <v>0.55979839979919932</v>
      </c>
      <c r="AB163" s="23">
        <f>EXP(-LN(2)/2)*AB162+(1-EXP(-LN(2)/2))/(LN(2)/2)*V163*Y163*VLOOKUP('Données projet'!$B$9,Paramètres!$A$1:$I$89,3,0)*0.475*44/12</f>
        <v>2.6018857930618736E-19</v>
      </c>
      <c r="AC163" s="24">
        <f t="shared" si="163"/>
        <v>0.96791415989660223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-1.2710188457276673E-13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335.04906256888819</v>
      </c>
      <c r="T164" s="62">
        <f t="shared" si="142"/>
        <v>440.84111898279554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0.40011285896792709</v>
      </c>
      <c r="AA164" s="23">
        <f>EXP(-LN(2)/25)*AA163+(1-EXP(-LN(2)/25))/(LN(2)/25)*Calculateur!V164*Calculateur!X164*VLOOKUP('Données projet'!$B$9,Paramètres!$A$1:$I$89,3,0)*0.475*44/12</f>
        <v>0.54449068311817184</v>
      </c>
      <c r="AB164" s="23">
        <f>EXP(-LN(2)/2)*AB163+(1-EXP(-LN(2)/2))/(LN(2)/2)*V164*Y164*VLOOKUP('Données projet'!$B$9,Paramètres!$A$1:$I$89,3,0)*0.475*44/12</f>
        <v>1.839811088146989E-19</v>
      </c>
      <c r="AC164" s="24">
        <f t="shared" si="163"/>
        <v>0.94460354208609898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-1.2710188457276673E-13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335.04906256888819</v>
      </c>
      <c r="T165" s="62">
        <f t="shared" si="142"/>
        <v>440.84111898279554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0.39226688984831259</v>
      </c>
      <c r="AA165" s="23">
        <f>EXP(-LN(2)/25)*AA164+(1-EXP(-LN(2)/25))/(LN(2)/25)*Calculateur!V165*Calculateur!X165*VLOOKUP('Données projet'!$B$9,Paramètres!$A$1:$I$89,3,0)*0.475*44/12</f>
        <v>0.52960155675478482</v>
      </c>
      <c r="AB165" s="23">
        <f>EXP(-LN(2)/2)*AB164+(1-EXP(-LN(2)/2))/(LN(2)/2)*V165*Y165*VLOOKUP('Données projet'!$B$9,Paramètres!$A$1:$I$89,3,0)*0.475*44/12</f>
        <v>1.3009428965309368E-19</v>
      </c>
      <c r="AC165" s="24">
        <f t="shared" si="163"/>
        <v>0.92186844660309741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-1.2710188457276673E-13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335.04906256888819</v>
      </c>
      <c r="T166" s="62">
        <f t="shared" si="142"/>
        <v>440.84111898279554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0.38457477539756513</v>
      </c>
      <c r="AA166" s="23">
        <f>EXP(-LN(2)/25)*AA165+(1-EXP(-LN(2)/25))/(LN(2)/25)*Calculateur!V166*Calculateur!X166*VLOOKUP('Données projet'!$B$9,Paramètres!$A$1:$I$89,3,0)*0.475*44/12</f>
        <v>0.51511957433478983</v>
      </c>
      <c r="AB166" s="23">
        <f>EXP(-LN(2)/2)*AB165+(1-EXP(-LN(2)/2))/(LN(2)/2)*V166*Y166*VLOOKUP('Données projet'!$B$9,Paramètres!$A$1:$I$89,3,0)*0.475*44/12</f>
        <v>9.1990554407349449E-20</v>
      </c>
      <c r="AC166" s="24">
        <f t="shared" si="163"/>
        <v>0.89969434973235496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-1.2710188457276673E-13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335.04906256888819</v>
      </c>
      <c r="T167" s="62">
        <f t="shared" si="142"/>
        <v>440.84111898279554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0.37703349861947028</v>
      </c>
      <c r="AA167" s="23">
        <f>EXP(-LN(2)/25)*AA166+(1-EXP(-LN(2)/25))/(LN(2)/25)*Calculateur!V167*Calculateur!X167*VLOOKUP('Données projet'!$B$9,Paramètres!$A$1:$I$89,3,0)*0.475*44/12</f>
        <v>0.50103360248564388</v>
      </c>
      <c r="AB167" s="23">
        <f>EXP(-LN(2)/2)*AB166+(1-EXP(-LN(2)/2))/(LN(2)/2)*V167*Y167*VLOOKUP('Données projet'!$B$9,Paramètres!$A$1:$I$89,3,0)*0.475*44/12</f>
        <v>6.504714482654684E-20</v>
      </c>
      <c r="AC167" s="24">
        <f t="shared" si="163"/>
        <v>0.87806710110511421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-1.2710188457276673E-13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335.04906256888819</v>
      </c>
      <c r="T168" s="62">
        <f t="shared" si="142"/>
        <v>440.84111898279554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0.3696401016792692</v>
      </c>
      <c r="AA168" s="23">
        <f>EXP(-LN(2)/25)*AA167+(1-EXP(-LN(2)/25))/(LN(2)/25)*Calculateur!V168*Calculateur!X168*VLOOKUP('Données projet'!$B$9,Paramètres!$A$1:$I$89,3,0)*0.475*44/12</f>
        <v>0.48733281227746195</v>
      </c>
      <c r="AB168" s="23">
        <f>EXP(-LN(2)/2)*AB167+(1-EXP(-LN(2)/2))/(LN(2)/2)*V168*Y168*VLOOKUP('Données projet'!$B$9,Paramètres!$A$1:$I$89,3,0)*0.475*44/12</f>
        <v>4.5995277203674725E-20</v>
      </c>
      <c r="AC168" s="24">
        <f t="shared" si="163"/>
        <v>0.85697291395673114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-1.2710188457276673E-13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335.04906256888819</v>
      </c>
      <c r="T169" s="62">
        <f t="shared" si="142"/>
        <v>440.84111898279554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0.36239168474353861</v>
      </c>
      <c r="AA169" s="23">
        <f>EXP(-LN(2)/25)*AA168+(1-EXP(-LN(2)/25))/(LN(2)/25)*Calculateur!V169*Calculateur!X169*VLOOKUP('Données projet'!$B$9,Paramètres!$A$1:$I$89,3,0)*0.475*44/12</f>
        <v>0.47400667089801596</v>
      </c>
      <c r="AB169" s="23">
        <f>EXP(-LN(2)/2)*AB168+(1-EXP(-LN(2)/2))/(LN(2)/2)*V169*Y169*VLOOKUP('Données projet'!$B$9,Paramètres!$A$1:$I$89,3,0)*0.475*44/12</f>
        <v>3.252357241327342E-20</v>
      </c>
      <c r="AC169" s="24">
        <f t="shared" si="163"/>
        <v>0.83639835564155462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-1.2710188457276673E-13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335.04906256888819</v>
      </c>
      <c r="T170" s="62">
        <f t="shared" si="142"/>
        <v>440.84111898279554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0.3552854048428199</v>
      </c>
      <c r="AA170" s="23">
        <f>EXP(-LN(2)/25)*AA169+(1-EXP(-LN(2)/25))/(LN(2)/25)*Calculateur!V170*Calculateur!X170*VLOOKUP('Données projet'!$B$9,Paramètres!$A$1:$I$89,3,0)*0.475*44/12</f>
        <v>0.46104493355538223</v>
      </c>
      <c r="AB170" s="23">
        <f>EXP(-LN(2)/2)*AB169+(1-EXP(-LN(2)/2))/(LN(2)/2)*V170*Y170*VLOOKUP('Données projet'!$B$9,Paramètres!$A$1:$I$89,3,0)*0.475*44/12</f>
        <v>2.2997638601837362E-20</v>
      </c>
      <c r="AC170" s="24">
        <f t="shared" si="163"/>
        <v>0.81633033839820213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-1.2710188457276673E-13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335.04906256888819</v>
      </c>
      <c r="T171" s="62">
        <f t="shared" si="142"/>
        <v>440.84111898279554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0.34831847475655153</v>
      </c>
      <c r="AA171" s="23">
        <f>EXP(-LN(2)/25)*AA170+(1-EXP(-LN(2)/25))/(LN(2)/25)*Calculateur!V171*Calculateur!X171*VLOOKUP('Données projet'!$B$9,Paramètres!$A$1:$I$89,3,0)*0.475*44/12</f>
        <v>0.448437635602011</v>
      </c>
      <c r="AB171" s="23">
        <f>EXP(-LN(2)/2)*AB170+(1-EXP(-LN(2)/2))/(LN(2)/2)*V171*Y171*VLOOKUP('Données projet'!$B$9,Paramètres!$A$1:$I$89,3,0)*0.475*44/12</f>
        <v>1.626178620663671E-20</v>
      </c>
      <c r="AC171" s="24">
        <f t="shared" si="163"/>
        <v>0.79675611035856253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-1.2710188457276673E-13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335.04906256888819</v>
      </c>
      <c r="T172" s="62">
        <f t="shared" si="142"/>
        <v>440.84111898279554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0.34148816191986714</v>
      </c>
      <c r="AA172" s="23">
        <f>EXP(-LN(2)/25)*AA171+(1-EXP(-LN(2)/25))/(LN(2)/25)*Calculateur!V172*Calculateur!X172*VLOOKUP('Données projet'!$B$9,Paramètres!$A$1:$I$89,3,0)*0.475*44/12</f>
        <v>0.43617508487416368</v>
      </c>
      <c r="AB172" s="23">
        <f>EXP(-LN(2)/2)*AB171+(1-EXP(-LN(2)/2))/(LN(2)/2)*V172*Y172*VLOOKUP('Données projet'!$B$9,Paramètres!$A$1:$I$89,3,0)*0.475*44/12</f>
        <v>1.1498819300918681E-20</v>
      </c>
      <c r="AC172" s="24">
        <f t="shared" si="163"/>
        <v>0.77766324679403076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-1.2710188457276673E-13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335.04906256888819</v>
      </c>
      <c r="T173" s="62">
        <f t="shared" si="142"/>
        <v>440.84111898279554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0.33479178735183068</v>
      </c>
      <c r="AA173" s="23">
        <f>EXP(-LN(2)/25)*AA172+(1-EXP(-LN(2)/25))/(LN(2)/25)*Calculateur!V173*Calculateur!X173*VLOOKUP('Données projet'!$B$9,Paramètres!$A$1:$I$89,3,0)*0.475*44/12</f>
        <v>0.42424785424082884</v>
      </c>
      <c r="AB173" s="23">
        <f>EXP(-LN(2)/2)*AB172+(1-EXP(-LN(2)/2))/(LN(2)/2)*V173*Y173*VLOOKUP('Données projet'!$B$9,Paramètres!$A$1:$I$89,3,0)*0.475*44/12</f>
        <v>8.1308931033183551E-21</v>
      </c>
      <c r="AC173" s="24">
        <f t="shared" si="163"/>
        <v>0.75903964159265946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-1.2710188457276673E-13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335.04906256888819</v>
      </c>
      <c r="T174" s="62">
        <f t="shared" si="142"/>
        <v>440.84111898279554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0.32822672460468821</v>
      </c>
      <c r="AA174" s="23">
        <f>EXP(-LN(2)/25)*AA173+(1-EXP(-LN(2)/25))/(LN(2)/25)*Calculateur!V174*Calculateur!X174*VLOOKUP('Données projet'!$B$9,Paramètres!$A$1:$I$89,3,0)*0.475*44/12</f>
        <v>0.41264677435638836</v>
      </c>
      <c r="AB174" s="23">
        <f>EXP(-LN(2)/2)*AB173+(1-EXP(-LN(2)/2))/(LN(2)/2)*V174*Y174*VLOOKUP('Données projet'!$B$9,Paramètres!$A$1:$I$89,3,0)*0.475*44/12</f>
        <v>5.7494096504593406E-21</v>
      </c>
      <c r="AC174" s="24">
        <f t="shared" si="163"/>
        <v>0.74087349896107657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-1.2710188457276673E-13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335.04906256888819</v>
      </c>
      <c r="T175" s="62">
        <f t="shared" si="142"/>
        <v>440.84111898279554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0.32179039873372434</v>
      </c>
      <c r="AA175" s="23">
        <f>EXP(-LN(2)/25)*AA174+(1-EXP(-LN(2)/25))/(LN(2)/25)*Calculateur!V175*Calculateur!X175*VLOOKUP('Données projet'!$B$9,Paramètres!$A$1:$I$89,3,0)*0.475*44/12</f>
        <v>0.40136292661146217</v>
      </c>
      <c r="AB175" s="23">
        <f>EXP(-LN(2)/2)*AB174+(1-EXP(-LN(2)/2))/(LN(2)/2)*V175*Y175*VLOOKUP('Données projet'!$B$9,Paramètres!$A$1:$I$89,3,0)*0.475*44/12</f>
        <v>4.0654465516591775E-21</v>
      </c>
      <c r="AC175" s="24">
        <f t="shared" si="163"/>
        <v>0.7231533253451865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-1.2710188457276673E-13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335.04906256888819</v>
      </c>
      <c r="T176" s="62">
        <f t="shared" si="142"/>
        <v>440.84111898279554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0.31548028528731892</v>
      </c>
      <c r="AA176" s="23">
        <f>EXP(-LN(2)/25)*AA175+(1-EXP(-LN(2)/25))/(LN(2)/25)*Calculateur!V176*Calculateur!X176*VLOOKUP('Données projet'!$B$9,Paramètres!$A$1:$I$89,3,0)*0.475*44/12</f>
        <v>0.39038763627651274</v>
      </c>
      <c r="AB176" s="23">
        <f>EXP(-LN(2)/2)*AB175+(1-EXP(-LN(2)/2))/(LN(2)/2)*V176*Y176*VLOOKUP('Données projet'!$B$9,Paramètres!$A$1:$I$89,3,0)*0.475*44/12</f>
        <v>2.8747048252296703E-21</v>
      </c>
      <c r="AC176" s="24">
        <f t="shared" si="163"/>
        <v>0.70586792156383171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-1.2710188457276673E-13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335.04906256888819</v>
      </c>
      <c r="T177" s="62">
        <f t="shared" si="142"/>
        <v>440.84111898279554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0.30929390931680834</v>
      </c>
      <c r="AA177" s="23">
        <f>EXP(-LN(2)/25)*AA176+(1-EXP(-LN(2)/25))/(LN(2)/25)*Calculateur!V177*Calculateur!X177*VLOOKUP('Données projet'!$B$9,Paramètres!$A$1:$I$89,3,0)*0.475*44/12</f>
        <v>0.37971246583293794</v>
      </c>
      <c r="AB177" s="23">
        <f>EXP(-LN(2)/2)*AB176+(1-EXP(-LN(2)/2))/(LN(2)/2)*V177*Y177*VLOOKUP('Données projet'!$B$9,Paramètres!$A$1:$I$89,3,0)*0.475*44/12</f>
        <v>2.0327232758295888E-21</v>
      </c>
      <c r="AC177" s="24">
        <f t="shared" si="163"/>
        <v>0.68900637514974628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-1.2710188457276673E-13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335.04906256888819</v>
      </c>
      <c r="T178" s="62">
        <f t="shared" si="142"/>
        <v>440.84111898279554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0.3032288444057627</v>
      </c>
      <c r="AA178" s="23">
        <f>EXP(-LN(2)/25)*AA177+(1-EXP(-LN(2)/25))/(LN(2)/25)*Calculateur!V178*Calculateur!X178*VLOOKUP('Données projet'!$B$9,Paramètres!$A$1:$I$89,3,0)*0.475*44/12</f>
        <v>0.36932920848652551</v>
      </c>
      <c r="AB178" s="23">
        <f>EXP(-LN(2)/2)*AB177+(1-EXP(-LN(2)/2))/(LN(2)/2)*V178*Y178*VLOOKUP('Données projet'!$B$9,Paramètres!$A$1:$I$89,3,0)*0.475*44/12</f>
        <v>1.4373524126148351E-21</v>
      </c>
      <c r="AC178" s="24">
        <f t="shared" si="163"/>
        <v>0.67255805289228821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-1.2710188457276673E-13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335.04906256888819</v>
      </c>
      <c r="T179" s="62">
        <f t="shared" si="142"/>
        <v>440.84111898279554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0.29728271171829834</v>
      </c>
      <c r="AA179" s="23">
        <f>EXP(-LN(2)/25)*AA178+(1-EXP(-LN(2)/25))/(LN(2)/25)*Calculateur!V179*Calculateur!X179*VLOOKUP('Données projet'!$B$9,Paramètres!$A$1:$I$89,3,0)*0.475*44/12</f>
        <v>0.35922988185828253</v>
      </c>
      <c r="AB179" s="23">
        <f>EXP(-LN(2)/2)*AB178+(1-EXP(-LN(2)/2))/(LN(2)/2)*V179*Y179*VLOOKUP('Données projet'!$B$9,Paramètres!$A$1:$I$89,3,0)*0.475*44/12</f>
        <v>1.0163616379147944E-21</v>
      </c>
      <c r="AC179" s="24">
        <f t="shared" si="163"/>
        <v>0.65651259357658087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-1.2710188457276673E-13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335.04906256888819</v>
      </c>
      <c r="T180" s="62">
        <f t="shared" si="142"/>
        <v>440.84111898279554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0.29145317906605234</v>
      </c>
      <c r="AA180" s="23">
        <f>EXP(-LN(2)/25)*AA179+(1-EXP(-LN(2)/25))/(LN(2)/25)*Calculateur!V180*Calculateur!X180*VLOOKUP('Données projet'!$B$9,Paramètres!$A$1:$I$89,3,0)*0.475*44/12</f>
        <v>0.34940672184778931</v>
      </c>
      <c r="AB180" s="23">
        <f>EXP(-LN(2)/2)*AB179+(1-EXP(-LN(2)/2))/(LN(2)/2)*V180*Y180*VLOOKUP('Données projet'!$B$9,Paramètres!$A$1:$I$89,3,0)*0.475*44/12</f>
        <v>7.1867620630741757E-22</v>
      </c>
      <c r="AC180" s="24">
        <f t="shared" si="163"/>
        <v>0.6408599009138416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-1.2710188457276673E-13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335.04906256888819</v>
      </c>
      <c r="T181" s="62">
        <f t="shared" si="142"/>
        <v>440.84111898279554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0.28573795999345308</v>
      </c>
      <c r="AA181" s="23">
        <f>EXP(-LN(2)/25)*AA180+(1-EXP(-LN(2)/25))/(LN(2)/25)*Calculateur!V181*Calculateur!X181*VLOOKUP('Données projet'!$B$9,Paramètres!$A$1:$I$89,3,0)*0.475*44/12</f>
        <v>0.33985217666436057</v>
      </c>
      <c r="AB181" s="23">
        <f>EXP(-LN(2)/2)*AB180+(1-EXP(-LN(2)/2))/(LN(2)/2)*V181*Y181*VLOOKUP('Données projet'!$B$9,Paramètres!$A$1:$I$89,3,0)*0.475*44/12</f>
        <v>5.0818081895739719E-22</v>
      </c>
      <c r="AC181" s="24">
        <f t="shared" si="163"/>
        <v>0.6255901366578136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-1.2710188457276673E-13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335.04906256888819</v>
      </c>
      <c r="T182" s="62">
        <f t="shared" si="142"/>
        <v>440.84111898279554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0.28013481288092806</v>
      </c>
      <c r="AA182" s="23">
        <f>EXP(-LN(2)/25)*AA181+(1-EXP(-LN(2)/25))/(LN(2)/25)*Calculateur!V182*Calculateur!X182*VLOOKUP('Données projet'!$B$9,Paramètres!$A$1:$I$89,3,0)*0.475*44/12</f>
        <v>0.33055890102142438</v>
      </c>
      <c r="AB182" s="23">
        <f>EXP(-LN(2)/2)*AB181+(1-EXP(-LN(2)/2))/(LN(2)/2)*V182*Y182*VLOOKUP('Données projet'!$B$9,Paramètres!$A$1:$I$89,3,0)*0.475*44/12</f>
        <v>3.5933810315370879E-22</v>
      </c>
      <c r="AC182" s="24">
        <f t="shared" si="163"/>
        <v>0.6106937139023525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-1.2710188457276673E-13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335.04906256888819</v>
      </c>
      <c r="T183" s="62">
        <f t="shared" si="142"/>
        <v>440.84111898279554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0.27464154006569735</v>
      </c>
      <c r="AA183" s="23">
        <f>EXP(-LN(2)/25)*AA182+(1-EXP(-LN(2)/25))/(LN(2)/25)*Calculateur!V183*Calculateur!X183*VLOOKUP('Données projet'!$B$9,Paramètres!$A$1:$I$89,3,0)*0.475*44/12</f>
        <v>0.32151975048965642</v>
      </c>
      <c r="AB183" s="23">
        <f>EXP(-LN(2)/2)*AB182+(1-EXP(-LN(2)/2))/(LN(2)/2)*V183*Y183*VLOOKUP('Données projet'!$B$9,Paramètres!$A$1:$I$89,3,0)*0.475*44/12</f>
        <v>2.540904094786986E-22</v>
      </c>
      <c r="AC183" s="24">
        <f t="shared" si="163"/>
        <v>0.59616129055535372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-1.2710188457276673E-13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335.04906256888819</v>
      </c>
      <c r="T184" s="62">
        <f t="shared" si="142"/>
        <v>440.84111898279554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0.26925598697980774</v>
      </c>
      <c r="AA184" s="23">
        <f>EXP(-LN(2)/25)*AA183+(1-EXP(-LN(2)/25))/(LN(2)/25)*Calculateur!V184*Calculateur!X184*VLOOKUP('Données projet'!$B$9,Paramètres!$A$1:$I$89,3,0)*0.475*44/12</f>
        <v>0.31272777600452795</v>
      </c>
      <c r="AB184" s="23">
        <f>EXP(-LN(2)/2)*AB183+(1-EXP(-LN(2)/2))/(LN(2)/2)*V184*Y184*VLOOKUP('Données projet'!$B$9,Paramètres!$A$1:$I$89,3,0)*0.475*44/12</f>
        <v>1.7966905157685439E-22</v>
      </c>
      <c r="AC184" s="24">
        <f t="shared" si="163"/>
        <v>0.58198376298433563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-1.2710188457276673E-13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335.04906256888819</v>
      </c>
      <c r="T185" s="62">
        <f t="shared" si="142"/>
        <v>440.84111898279554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0.26397604130506941</v>
      </c>
      <c r="AA185" s="23">
        <f>EXP(-LN(2)/25)*AA184+(1-EXP(-LN(2)/25))/(LN(2)/25)*Calculateur!V185*Calculateur!X185*VLOOKUP('Données projet'!$B$9,Paramètres!$A$1:$I$89,3,0)*0.475*44/12</f>
        <v>0.30417621852404514</v>
      </c>
      <c r="AB185" s="23">
        <f>EXP(-LN(2)/2)*AB184+(1-EXP(-LN(2)/2))/(LN(2)/2)*V185*Y185*VLOOKUP('Données projet'!$B$9,Paramètres!$A$1:$I$89,3,0)*0.475*44/12</f>
        <v>1.270452047393493E-22</v>
      </c>
      <c r="AC185" s="24">
        <f t="shared" si="163"/>
        <v>0.56815225982911455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-1.2710188457276673E-13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335.04906256888819</v>
      </c>
      <c r="T186" s="62">
        <f t="shared" si="142"/>
        <v>440.84111898279554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0.25879963214456381</v>
      </c>
      <c r="AA186" s="23">
        <f>EXP(-LN(2)/25)*AA185+(1-EXP(-LN(2)/25))/(LN(2)/25)*Calculateur!V186*Calculateur!X186*VLOOKUP('Données projet'!$B$9,Paramètres!$A$1:$I$89,3,0)*0.475*44/12</f>
        <v>0.29585850383257301</v>
      </c>
      <c r="AB186" s="23">
        <f>EXP(-LN(2)/2)*AB185+(1-EXP(-LN(2)/2))/(LN(2)/2)*V186*Y186*VLOOKUP('Données projet'!$B$9,Paramètres!$A$1:$I$89,3,0)*0.475*44/12</f>
        <v>8.9834525788427197E-23</v>
      </c>
      <c r="AC186" s="24">
        <f t="shared" si="163"/>
        <v>0.55465813597713676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-1.2710188457276673E-13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335.04906256888819</v>
      </c>
      <c r="T187" s="62">
        <f t="shared" si="142"/>
        <v>440.84111898279554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0.2537247292103979</v>
      </c>
      <c r="AA187" s="23">
        <f>EXP(-LN(2)/25)*AA186+(1-EXP(-LN(2)/25))/(LN(2)/25)*Calculateur!V187*Calculateur!X187*VLOOKUP('Données projet'!$B$9,Paramètres!$A$1:$I$89,3,0)*0.475*44/12</f>
        <v>0.28776823748674879</v>
      </c>
      <c r="AB187" s="23">
        <f>EXP(-LN(2)/2)*AB186+(1-EXP(-LN(2)/2))/(LN(2)/2)*V187*Y187*VLOOKUP('Données projet'!$B$9,Paramètres!$A$1:$I$89,3,0)*0.475*44/12</f>
        <v>6.3522602369674649E-23</v>
      </c>
      <c r="AC187" s="24">
        <f t="shared" si="163"/>
        <v>0.54149296669714664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-1.2710188457276673E-13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335.04906256888819</v>
      </c>
      <c r="T188" s="62">
        <f t="shared" si="142"/>
        <v>440.84111898279554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0.24874934202738586</v>
      </c>
      <c r="AA188" s="23">
        <f>EXP(-LN(2)/25)*AA187+(1-EXP(-LN(2)/25))/(LN(2)/25)*Calculateur!V188*Calculateur!X188*VLOOKUP('Données projet'!$B$9,Paramètres!$A$1:$I$89,3,0)*0.475*44/12</f>
        <v>0.27989919989959972</v>
      </c>
      <c r="AB188" s="23">
        <f>EXP(-LN(2)/2)*AB187+(1-EXP(-LN(2)/2))/(LN(2)/2)*V188*Y188*VLOOKUP('Données projet'!$B$9,Paramètres!$A$1:$I$89,3,0)*0.475*44/12</f>
        <v>4.4917262894213598E-23</v>
      </c>
      <c r="AC188" s="24">
        <f t="shared" si="163"/>
        <v>0.52864854192698552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-1.2710188457276673E-13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335.04906256888819</v>
      </c>
      <c r="T189" s="62">
        <f t="shared" si="142"/>
        <v>440.84111898279554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0.24387151915234614</v>
      </c>
      <c r="AA189" s="23">
        <f>EXP(-LN(2)/25)*AA188+(1-EXP(-LN(2)/25))/(LN(2)/25)*Calculateur!V189*Calculateur!X189*VLOOKUP('Données projet'!$B$9,Paramètres!$A$1:$I$89,3,0)*0.475*44/12</f>
        <v>0.27224534155908597</v>
      </c>
      <c r="AB189" s="23">
        <f>EXP(-LN(2)/2)*AB188+(1-EXP(-LN(2)/2))/(LN(2)/2)*V189*Y189*VLOOKUP('Données projet'!$B$9,Paramètres!$A$1:$I$89,3,0)*0.475*44/12</f>
        <v>3.1761301184837324E-23</v>
      </c>
      <c r="AC189" s="24">
        <f t="shared" si="163"/>
        <v>0.51611686071143215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-1.2710188457276673E-13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335.04906256888819</v>
      </c>
      <c r="T190" s="62">
        <f t="shared" si="142"/>
        <v>440.84111898279554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0.23908934740870777</v>
      </c>
      <c r="AA190" s="23">
        <f>EXP(-LN(2)/25)*AA189+(1-EXP(-LN(2)/25))/(LN(2)/25)*Calculateur!V190*Calculateur!X190*VLOOKUP('Données projet'!$B$9,Paramètres!$A$1:$I$89,3,0)*0.475*44/12</f>
        <v>0.26480077837739247</v>
      </c>
      <c r="AB190" s="23">
        <f>EXP(-LN(2)/2)*AB189+(1-EXP(-LN(2)/2))/(LN(2)/2)*V190*Y190*VLOOKUP('Données projet'!$B$9,Paramètres!$A$1:$I$89,3,0)*0.475*44/12</f>
        <v>2.2458631447106799E-23</v>
      </c>
      <c r="AC190" s="24">
        <f t="shared" si="163"/>
        <v>0.50389012578610026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-1.2710188457276673E-13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335.04906256888819</v>
      </c>
      <c r="T191" s="62">
        <f t="shared" si="142"/>
        <v>440.84111898279554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0.23440095113612541</v>
      </c>
      <c r="AA191" s="23">
        <f>EXP(-LN(2)/25)*AA190+(1-EXP(-LN(2)/25))/(LN(2)/25)*Calculateur!V191*Calculateur!X191*VLOOKUP('Données projet'!$B$9,Paramètres!$A$1:$I$89,3,0)*0.475*44/12</f>
        <v>0.25755978716739497</v>
      </c>
      <c r="AB191" s="23">
        <f>EXP(-LN(2)/2)*AB190+(1-EXP(-LN(2)/2))/(LN(2)/2)*V191*Y191*VLOOKUP('Données projet'!$B$9,Paramètres!$A$1:$I$89,3,0)*0.475*44/12</f>
        <v>1.5880650592418662E-23</v>
      </c>
      <c r="AC191" s="24">
        <f t="shared" si="163"/>
        <v>0.49196073830352038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-1.2710188457276673E-13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335.04906256888819</v>
      </c>
      <c r="T192" s="62">
        <f t="shared" si="142"/>
        <v>440.84111898279554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0.22980449145480902</v>
      </c>
      <c r="AA192" s="23">
        <f>EXP(-LN(2)/25)*AA191+(1-EXP(-LN(2)/25))/(LN(2)/25)*Calculateur!V192*Calculateur!X192*VLOOKUP('Données projet'!$B$9,Paramètres!$A$1:$I$89,3,0)*0.475*44/12</f>
        <v>0.250516801242822</v>
      </c>
      <c r="AB192" s="23">
        <f>EXP(-LN(2)/2)*AB191+(1-EXP(-LN(2)/2))/(LN(2)/2)*V192*Y192*VLOOKUP('Données projet'!$B$9,Paramètres!$A$1:$I$89,3,0)*0.475*44/12</f>
        <v>1.12293157235534E-23</v>
      </c>
      <c r="AC192" s="24">
        <f t="shared" si="163"/>
        <v>0.48032129269763102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-1.2710188457276673E-13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335.04906256888819</v>
      </c>
      <c r="T193" s="62">
        <f t="shared" si="142"/>
        <v>440.84111898279554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0.22529816554427967</v>
      </c>
      <c r="AA193" s="23">
        <f>EXP(-LN(2)/25)*AA192+(1-EXP(-LN(2)/25))/(LN(2)/25)*Calculateur!V193*Calculateur!X193*VLOOKUP('Données projet'!$B$9,Paramètres!$A$1:$I$89,3,0)*0.475*44/12</f>
        <v>0.24366640613873103</v>
      </c>
      <c r="AB193" s="23">
        <f>EXP(-LN(2)/2)*AB192+(1-EXP(-LN(2)/2))/(LN(2)/2)*V193*Y193*VLOOKUP('Données projet'!$B$9,Paramètres!$A$1:$I$89,3,0)*0.475*44/12</f>
        <v>7.9403252962093311E-24</v>
      </c>
      <c r="AC193" s="24">
        <f t="shared" si="163"/>
        <v>0.4689645716830107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-1.2710188457276673E-13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335.04906256888819</v>
      </c>
      <c r="T194" s="62">
        <f t="shared" si="142"/>
        <v>440.84111898279554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0.22088020593626839</v>
      </c>
      <c r="AA194" s="23">
        <f>EXP(-LN(2)/25)*AA193+(1-EXP(-LN(2)/25))/(LN(2)/25)*Calculateur!V194*Calculateur!X194*VLOOKUP('Données projet'!$B$9,Paramètres!$A$1:$I$89,3,0)*0.475*44/12</f>
        <v>0.23700333544900803</v>
      </c>
      <c r="AB194" s="23">
        <f>EXP(-LN(2)/2)*AB193+(1-EXP(-LN(2)/2))/(LN(2)/2)*V194*Y194*VLOOKUP('Données projet'!$B$9,Paramètres!$A$1:$I$89,3,0)*0.475*44/12</f>
        <v>5.6146578617766998E-24</v>
      </c>
      <c r="AC194" s="24">
        <f t="shared" si="163"/>
        <v>0.45788354138527643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-1.2710188457276673E-13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335.04906256888819</v>
      </c>
      <c r="T195" s="62">
        <f t="shared" si="142"/>
        <v>440.84111898279554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0.21654887982148094</v>
      </c>
      <c r="AA195" s="23">
        <f>EXP(-LN(2)/25)*AA194+(1-EXP(-LN(2)/25))/(LN(2)/25)*Calculateur!V195*Calculateur!X195*VLOOKUP('Données projet'!$B$9,Paramètres!$A$1:$I$89,3,0)*0.475*44/12</f>
        <v>0.23052246677769117</v>
      </c>
      <c r="AB195" s="23">
        <f>EXP(-LN(2)/2)*AB194+(1-EXP(-LN(2)/2))/(LN(2)/2)*V195*Y195*VLOOKUP('Données projet'!$B$9,Paramètres!$A$1:$I$89,3,0)*0.475*44/12</f>
        <v>3.9701626481046656E-24</v>
      </c>
      <c r="AC195" s="24">
        <f t="shared" si="163"/>
        <v>0.44707134659917214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-1.2710188457276673E-13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335.04906256888819</v>
      </c>
      <c r="T196" s="62">
        <f t="shared" si="142"/>
        <v>440.84111898279554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0.21230248836995641</v>
      </c>
      <c r="AA196" s="23">
        <f>EXP(-LN(2)/25)*AA195+(1-EXP(-LN(2)/25))/(LN(2)/25)*Calculateur!V196*Calculateur!X196*VLOOKUP('Données projet'!$B$9,Paramètres!$A$1:$I$89,3,0)*0.475*44/12</f>
        <v>0.22421881780100555</v>
      </c>
      <c r="AB196" s="23">
        <f>EXP(-LN(2)/2)*AB195+(1-EXP(-LN(2)/2))/(LN(2)/2)*V196*Y196*VLOOKUP('Données projet'!$B$9,Paramètres!$A$1:$I$89,3,0)*0.475*44/12</f>
        <v>2.8073289308883499E-24</v>
      </c>
      <c r="AC196" s="24">
        <f t="shared" si="163"/>
        <v>0.43652130617096196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-1.2710188457276673E-13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335.04906256888819</v>
      </c>
      <c r="T197" s="62">
        <f t="shared" ref="T197:T203" si="204">$T$3</f>
        <v>440.84111898279554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0.20813936606475322</v>
      </c>
      <c r="AA197" s="23">
        <f>EXP(-LN(2)/25)*AA196+(1-EXP(-LN(2)/25))/(LN(2)/25)*Calculateur!V197*Calculateur!X197*VLOOKUP('Données projet'!$B$9,Paramètres!$A$1:$I$89,3,0)*0.475*44/12</f>
        <v>0.21808754243708189</v>
      </c>
      <c r="AB197" s="23">
        <f>EXP(-LN(2)/2)*AB196+(1-EXP(-LN(2)/2))/(LN(2)/2)*V197*Y197*VLOOKUP('Données projet'!$B$9,Paramètres!$A$1:$I$89,3,0)*0.475*44/12</f>
        <v>1.9850813240523328E-24</v>
      </c>
      <c r="AC197" s="24">
        <f t="shared" si="163"/>
        <v>0.42622690850183509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-1.2710188457276673E-13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335.04906256888819</v>
      </c>
      <c r="T198" s="62">
        <f t="shared" si="204"/>
        <v>440.84111898279554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0.20405788004870121</v>
      </c>
      <c r="AA198" s="23">
        <f>EXP(-LN(2)/25)*AA197+(1-EXP(-LN(2)/25))/(LN(2)/25)*Calculateur!V198*Calculateur!X198*VLOOKUP('Données projet'!$B$9,Paramètres!$A$1:$I$89,3,0)*0.475*44/12</f>
        <v>0.21212392712041447</v>
      </c>
      <c r="AB198" s="23">
        <f>EXP(-LN(2)/2)*AB197+(1-EXP(-LN(2)/2))/(LN(2)/2)*V198*Y198*VLOOKUP('Données projet'!$B$9,Paramètres!$A$1:$I$89,3,0)*0.475*44/12</f>
        <v>1.4036644654441749E-24</v>
      </c>
      <c r="AC198" s="24">
        <f t="shared" si="163"/>
        <v>0.41618180716911568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-1.2710188457276673E-13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335.04906256888819</v>
      </c>
      <c r="T199" s="62">
        <f t="shared" si="204"/>
        <v>440.84111898279554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0.20005642948396329</v>
      </c>
      <c r="AA199" s="23">
        <f>EXP(-LN(2)/25)*AA198+(1-EXP(-LN(2)/25))/(LN(2)/25)*Calculateur!V199*Calculateur!X199*VLOOKUP('Données projet'!$B$9,Paramètres!$A$1:$I$89,3,0)*0.475*44/12</f>
        <v>0.20632338717819423</v>
      </c>
      <c r="AB199" s="23">
        <f>EXP(-LN(2)/2)*AB198+(1-EXP(-LN(2)/2))/(LN(2)/2)*V199*Y199*VLOOKUP('Données projet'!$B$9,Paramètres!$A$1:$I$89,3,0)*0.475*44/12</f>
        <v>9.9254066202616639E-25</v>
      </c>
      <c r="AC199" s="24">
        <f t="shared" si="163"/>
        <v>0.4063798166621575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-1.2710188457276673E-13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335.04906256888819</v>
      </c>
      <c r="T200" s="62">
        <f t="shared" si="204"/>
        <v>440.84111898279554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0.19613344492415605</v>
      </c>
      <c r="AA200" s="23">
        <f>EXP(-LN(2)/25)*AA199+(1-EXP(-LN(2)/25))/(LN(2)/25)*Calculateur!V200*Calculateur!X200*VLOOKUP('Données projet'!$B$9,Paramètres!$A$1:$I$89,3,0)*0.475*44/12</f>
        <v>0.20068146330573114</v>
      </c>
      <c r="AB200" s="23">
        <f>EXP(-LN(2)/2)*AB199+(1-EXP(-LN(2)/2))/(LN(2)/2)*V200*Y200*VLOOKUP('Données projet'!$B$9,Paramètres!$A$1:$I$89,3,0)*0.475*44/12</f>
        <v>7.0183223272208747E-25</v>
      </c>
      <c r="AC200" s="24">
        <f t="shared" si="163"/>
        <v>0.39681490822988719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-1.2710188457276673E-13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335.04906256888819</v>
      </c>
      <c r="T201" s="62">
        <f t="shared" si="204"/>
        <v>440.84111898279554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0.19228738769878231</v>
      </c>
      <c r="AA201" s="23">
        <f>EXP(-LN(2)/25)*AA200+(1-EXP(-LN(2)/25))/(LN(2)/25)*Calculateur!V201*Calculateur!X201*VLOOKUP('Données projet'!$B$9,Paramètres!$A$1:$I$89,3,0)*0.475*44/12</f>
        <v>0.19519381813825643</v>
      </c>
      <c r="AB201" s="23">
        <f>EXP(-LN(2)/2)*AB200+(1-EXP(-LN(2)/2))/(LN(2)/2)*V201*Y201*VLOOKUP('Données projet'!$B$9,Paramètres!$A$1:$I$89,3,0)*0.475*44/12</f>
        <v>4.9627033101308319E-25</v>
      </c>
      <c r="AC201" s="24">
        <f t="shared" si="163"/>
        <v>0.38748120583703871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-1.2710188457276673E-13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335.04906256888819</v>
      </c>
      <c r="T202" s="62">
        <f t="shared" si="204"/>
        <v>440.84111898279554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0.18851674930973489</v>
      </c>
      <c r="AA202" s="23">
        <f>EXP(-LN(2)/25)*AA201+(1-EXP(-LN(2)/25))/(LN(2)/25)*Calculateur!V202*Calculateur!X202*VLOOKUP('Données projet'!$B$9,Paramètres!$A$1:$I$89,3,0)*0.475*44/12</f>
        <v>0.18985623291646903</v>
      </c>
      <c r="AB202" s="23">
        <f>EXP(-LN(2)/2)*AB201+(1-EXP(-LN(2)/2))/(LN(2)/2)*V202*Y202*VLOOKUP('Données projet'!$B$9,Paramètres!$A$1:$I$89,3,0)*0.475*44/12</f>
        <v>3.5091611636104374E-25</v>
      </c>
      <c r="AC202" s="24">
        <f t="shared" si="163"/>
        <v>0.37837298222620391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-1.2710188457276673E-13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335.04906256888819</v>
      </c>
      <c r="T203" s="62">
        <f t="shared" si="204"/>
        <v>440.84111898279554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0.18482005083963435</v>
      </c>
      <c r="AA203" s="23">
        <f>EXP(-LN(2)/25)*AA202+(1-EXP(-LN(2)/25))/(LN(2)/25)*Calculateur!V203*Calculateur!X203*VLOOKUP('Données projet'!$B$9,Paramètres!$A$1:$I$89,3,0)*0.475*44/12</f>
        <v>0.18466460424326281</v>
      </c>
      <c r="AB203" s="23">
        <f>EXP(-LN(2)/2)*AB202+(1-EXP(-LN(2)/2))/(LN(2)/2)*V203*Y203*VLOOKUP('Données projet'!$B$9,Paramètres!$A$1:$I$89,3,0)*0.475*44/12</f>
        <v>2.481351655065416E-25</v>
      </c>
      <c r="AC203" s="24">
        <f t="shared" si="163"/>
        <v>0.36948465508289718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1.3356034260773062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Douglas</v>
      </c>
      <c r="B6" s="155">
        <f>'Données projet'!D9</f>
        <v>3</v>
      </c>
      <c r="C6" s="156">
        <f ca="1">IF(OR('Données projet'!B9="",'Données projet'!C9="",'Données projet'!C9=0%),0,Calculateur!S3)</f>
        <v>335.04906256888819</v>
      </c>
      <c r="D6" s="156">
        <f>IF(OR('Données projet'!B9="",'Données projet'!C9="",'Données projet'!C9=0%),0,Calculateur!T3)</f>
        <v>440.84111898279554</v>
      </c>
      <c r="E6" s="156">
        <f ca="1">MIN(C6,D6)</f>
        <v>335.04906256888819</v>
      </c>
      <c r="F6" s="156">
        <f ca="1">E6*B6</f>
        <v>1005.1471877066646</v>
      </c>
      <c r="G6" s="156">
        <f ca="1">F6*(100%-'Données projet'!$C$24)*(100%-'Données projet'!$C$25)*(100%-'Données projet'!$C$26)*(100%-'Données projet'!$C$27)</f>
        <v>723.70597514879853</v>
      </c>
      <c r="H6" s="157">
        <f>IF(OR('Données projet'!B9="",'Données projet'!C9="",'Données projet'!C9=0%),0,AVERAGE(Calculateur!$AC$3:$AC$33)*B6)</f>
        <v>20.883923735597257</v>
      </c>
      <c r="I6" s="158">
        <f>H6*(100%-'Données projet'!$C$24)*(100%-'Données projet'!$C$25)*(100%-'Données projet'!$C$26)*(100%-'Données projet'!$C$27)</f>
        <v>15.036425089630026</v>
      </c>
      <c r="J6" s="159">
        <f>IF(OR('Données projet'!B9="",'Données projet'!C9="",'Données projet'!C9=0%),0,SUM(Calculateur!$V$3:$V$33)*VLOOKUP('Données projet'!$B$9,Paramètres!$A$1:$I$89,9,0)*B6)</f>
        <v>229.1238461538461</v>
      </c>
      <c r="K6" s="160">
        <f>J6*(100%-'Données projet'!$C$24)*(100%-'Données projet'!$C$25)*(100%-'Données projet'!$C$26)*(100%-'Données projet'!$C$27)</f>
        <v>164.96916923076921</v>
      </c>
      <c r="L6" s="161">
        <f ca="1">G6+I6+K6</f>
        <v>903.7115694691978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1005.1471877066646</v>
      </c>
      <c r="G16" s="175">
        <f t="shared" ca="1" si="3"/>
        <v>723.70597514879853</v>
      </c>
      <c r="H16" s="176">
        <f t="shared" si="3"/>
        <v>20.883923735597257</v>
      </c>
      <c r="I16" s="176">
        <f t="shared" si="3"/>
        <v>15.036425089630026</v>
      </c>
      <c r="J16" s="177">
        <f t="shared" si="3"/>
        <v>229.1238461538461</v>
      </c>
      <c r="K16" s="177">
        <f t="shared" si="3"/>
        <v>164.96916923076921</v>
      </c>
      <c r="L16" s="178">
        <f t="shared" ca="1" si="3"/>
        <v>903.7115694691978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/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/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3" zoomScale="80" zoomScaleNormal="80" workbookViewId="0">
      <selection activeCell="C23" sqref="C23:C28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25" t="s">
        <v>315</v>
      </c>
      <c r="I4" s="325"/>
      <c r="K4" s="322" t="s">
        <v>253</v>
      </c>
      <c r="L4" s="323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3" t="s">
        <v>310</v>
      </c>
      <c r="S7" s="334"/>
      <c r="T7" s="334"/>
      <c r="U7" s="334"/>
      <c r="V7" s="33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1542.3044567650777</v>
      </c>
      <c r="U10" s="190">
        <f>'Données projet'!D9</f>
        <v>3</v>
      </c>
      <c r="V10" s="189">
        <f>U10*T10</f>
        <v>4626.9133702952331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/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/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/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26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6"/>
      <c r="H16" s="203"/>
      <c r="I16" s="204"/>
      <c r="J16" s="215"/>
      <c r="K16" s="224"/>
      <c r="L16" s="322" t="s">
        <v>254</v>
      </c>
      <c r="M16" s="323"/>
      <c r="N16" s="2">
        <v>30</v>
      </c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/>
      <c r="F17" s="260"/>
      <c r="G17" s="326"/>
      <c r="J17" s="215"/>
      <c r="K17" s="224"/>
      <c r="L17" s="293" t="s">
        <v>289</v>
      </c>
      <c r="M17" s="295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26"/>
      <c r="J18" s="215"/>
      <c r="K18" s="224"/>
      <c r="L18" s="293" t="s">
        <v>255</v>
      </c>
      <c r="M18" s="295"/>
      <c r="N18" s="205">
        <v>15</v>
      </c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26"/>
      <c r="H19" s="231" t="s">
        <v>178</v>
      </c>
      <c r="I19" s="231" t="s">
        <v>287</v>
      </c>
      <c r="J19" s="259"/>
      <c r="K19" s="183"/>
      <c r="L19" s="322" t="s">
        <v>288</v>
      </c>
      <c r="M19" s="323"/>
      <c r="N19" s="191">
        <f>N17*N18</f>
        <v>0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26"/>
      <c r="H20" s="203">
        <v>0</v>
      </c>
      <c r="I20" s="204"/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/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18</v>
      </c>
      <c r="B23" s="193">
        <f>'Données projet'!D36</f>
        <v>69.284615384615378</v>
      </c>
      <c r="C23" s="206">
        <f>225*'Données projet'!E36+13.8*('Données projet'!F36+'Données projet'!G36)+10*'Données projet'!G36</f>
        <v>12.280000000000001</v>
      </c>
      <c r="D23" s="194">
        <f>B23*C23</f>
        <v>850.81507692307696</v>
      </c>
      <c r="E23" s="206"/>
      <c r="F23" s="260"/>
      <c r="H23" s="203">
        <v>3</v>
      </c>
      <c r="I23" s="204"/>
      <c r="K23" s="224"/>
      <c r="L23" s="324" t="s">
        <v>260</v>
      </c>
      <c r="M23" s="324"/>
      <c r="N23" s="324"/>
      <c r="O23" s="25"/>
      <c r="P23" s="25"/>
      <c r="Q23" s="264"/>
      <c r="R23" s="25"/>
      <c r="S23" s="185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4626.9133702952331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24</v>
      </c>
      <c r="B24" s="193">
        <f>'Données projet'!D37</f>
        <v>42.661538461538463</v>
      </c>
      <c r="C24" s="206">
        <f>225*'Données projet'!E37+13.8*('Données projet'!F37+'Données projet'!G37)+10*'Données projet'!G37</f>
        <v>12.66</v>
      </c>
      <c r="D24" s="194">
        <f t="shared" ref="D24:D42" si="2">B24*C24</f>
        <v>540.09507692307693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30</v>
      </c>
      <c r="B25" s="193">
        <f>'Données projet'!D38</f>
        <v>65.669230769230765</v>
      </c>
      <c r="C25" s="206">
        <f>225*'Données projet'!E38+13.8*('Données projet'!F38+'Données projet'!G38)+10*'Données projet'!G38</f>
        <v>55.28</v>
      </c>
      <c r="D25" s="194">
        <f t="shared" si="2"/>
        <v>3630.1950769230766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40">
        <f ca="1">T23-T24</f>
        <v>4626.9133702952331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36</v>
      </c>
      <c r="B26" s="193">
        <f>'Données projet'!D39</f>
        <v>69.3</v>
      </c>
      <c r="C26" s="206">
        <f>225*'Données projet'!E39+13.8*('Données projet'!F39+'Données projet'!G39)+10*'Données projet'!G39</f>
        <v>0</v>
      </c>
      <c r="D26" s="194">
        <f t="shared" si="2"/>
        <v>0</v>
      </c>
      <c r="E26" s="206"/>
      <c r="F26" s="263"/>
      <c r="G26" s="258"/>
      <c r="H26" s="203"/>
      <c r="I26" s="204"/>
      <c r="K26" s="224"/>
      <c r="L26" s="327" t="s">
        <v>258</v>
      </c>
      <c r="M26" s="328"/>
      <c r="N26" s="328"/>
      <c r="O26" s="328"/>
      <c r="P26" s="329"/>
      <c r="Q26" s="264"/>
      <c r="R26" s="25"/>
      <c r="S26" s="198" t="s">
        <v>265</v>
      </c>
      <c r="T26" s="337" t="str">
        <f ca="1">IF(T25&lt;0,"Votre projet est additionnel","Votre projet n'est pas additionnel")</f>
        <v>Votre projet n'est pas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42</v>
      </c>
      <c r="B27" s="193">
        <f>'Données projet'!D40</f>
        <v>73.392307692307682</v>
      </c>
      <c r="C27" s="206">
        <f>225*'Données projet'!E40+13.8*('Données projet'!F40+'Données projet'!G40)+10*'Données projet'!G40</f>
        <v>0</v>
      </c>
      <c r="D27" s="194">
        <f t="shared" si="2"/>
        <v>0</v>
      </c>
      <c r="E27" s="206"/>
      <c r="F27" s="263"/>
      <c r="G27" s="258"/>
      <c r="H27" s="203"/>
      <c r="I27" s="204"/>
      <c r="K27" s="224"/>
      <c r="L27" s="330"/>
      <c r="M27" s="331"/>
      <c r="N27" s="331"/>
      <c r="O27" s="331"/>
      <c r="P27" s="332"/>
      <c r="Q27" s="264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48</v>
      </c>
      <c r="B28" s="193">
        <f>'Données projet'!D41</f>
        <v>81.330769230769235</v>
      </c>
      <c r="C28" s="206">
        <f>225*'Données projet'!E41+13.8*('Données projet'!F41+'Données projet'!G41)+10*'Données projet'!G41</f>
        <v>0</v>
      </c>
      <c r="D28" s="194">
        <f t="shared" si="2"/>
        <v>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54</v>
      </c>
      <c r="B29" s="193">
        <f>'Données projet'!D42</f>
        <v>566.79999999999995</v>
      </c>
      <c r="C29" s="206">
        <f>225*'Données projet'!E42+13.8*('Données projet'!F42+'Données projet'!G42)+10*'Données projet'!G42</f>
        <v>0</v>
      </c>
      <c r="D29" s="194">
        <f t="shared" si="2"/>
        <v>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0</v>
      </c>
      <c r="B30" s="193">
        <f>'Données projet'!D43</f>
        <v>0</v>
      </c>
      <c r="C30" s="206">
        <f>225*'Données projet'!E43+13.8*('Données projet'!F43+'Données projet'!G43)+10*'Données projet'!G43</f>
        <v>0</v>
      </c>
      <c r="D30" s="194">
        <f t="shared" si="2"/>
        <v>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0</v>
      </c>
      <c r="B31" s="193">
        <f>'Données projet'!D44</f>
        <v>0</v>
      </c>
      <c r="C31" s="206">
        <f>225*'Données projet'!E44+13.8*('Données projet'!F44+'Données projet'!G44)+10*'Données projet'!G44</f>
        <v>0</v>
      </c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0</v>
      </c>
      <c r="B32" s="193">
        <f>'Données projet'!D45</f>
        <v>0</v>
      </c>
      <c r="C32" s="206">
        <f>225*'Données projet'!E45+13.8*('Données projet'!F45+'Données projet'!G45)+10*'Données projet'!G45</f>
        <v>0</v>
      </c>
      <c r="D32" s="194">
        <f t="shared" si="2"/>
        <v>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>
        <f>225*'Données projet'!E46+13.8*('Données projet'!F46+'Données projet'!G46)+10*'Données projet'!G46</f>
        <v>0</v>
      </c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>
        <f>225*'Données projet'!E47+13.8*('Données projet'!F47+'Données projet'!G47)+10*'Données projet'!G47</f>
        <v>0</v>
      </c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>
        <f>225*'Données projet'!E48+13.8*('Données projet'!F48+'Données projet'!G48)+10*'Données projet'!G48</f>
        <v>0</v>
      </c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>
        <f>225*'Données projet'!E49+13.8*('Données projet'!F49+'Données projet'!G49)+10*'Données projet'!G49</f>
        <v>0</v>
      </c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>
        <f>225*'Données projet'!E50+13.8*('Données projet'!F50+'Données projet'!G50)+10*'Données projet'!G50</f>
        <v>0</v>
      </c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>
        <f>225*'Données projet'!E51+13.8*('Données projet'!F51+'Données projet'!G51)+10*'Données projet'!G51</f>
        <v>0</v>
      </c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>
        <f>225*'Données projet'!E52+13.8*('Données projet'!F52+'Données projet'!G52)+10*'Données projet'!G52</f>
        <v>0</v>
      </c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>
        <f>225*'Données projet'!E53+13.8*('Données projet'!F53+'Données projet'!G53)+10*'Données projet'!G53</f>
        <v>0</v>
      </c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>
        <f>225*'Données projet'!E54+13.8*('Données projet'!F54+'Données projet'!G54)+10*'Données projet'!G54</f>
        <v>0</v>
      </c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>
        <f>225*'Données projet'!E55+13.8*('Données projet'!F55+'Données projet'!G55)+10*'Données projet'!G55</f>
        <v>0</v>
      </c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0</v>
      </c>
      <c r="B54" s="193">
        <f>'Données projet'!D62</f>
        <v>0</v>
      </c>
      <c r="C54" s="204">
        <f>225*'Données projet'!E62+13.8*('Données projet'!F62+'Données projet'!G62)+10*'Données projet'!H62</f>
        <v>0</v>
      </c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0</v>
      </c>
      <c r="B55" s="193">
        <f>'Données projet'!D63</f>
        <v>0</v>
      </c>
      <c r="C55" s="204">
        <f>225*'Données projet'!E63+13.8*('Données projet'!F63+'Données projet'!G63)+10*'Données projet'!H63</f>
        <v>0</v>
      </c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0</v>
      </c>
      <c r="B56" s="193">
        <f>'Données projet'!D64</f>
        <v>0</v>
      </c>
      <c r="C56" s="204">
        <f>225*'Données projet'!E64+13.8*('Données projet'!F64+'Données projet'!G64)+10*'Données projet'!H64</f>
        <v>0</v>
      </c>
      <c r="D56" s="191">
        <f t="shared" si="4"/>
        <v>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0</v>
      </c>
      <c r="B57" s="193">
        <f>'Données projet'!D65</f>
        <v>0</v>
      </c>
      <c r="C57" s="204">
        <f>225*'Données projet'!E65+13.8*('Données projet'!F65+'Données projet'!G65)+10*'Données projet'!H65</f>
        <v>0</v>
      </c>
      <c r="D57" s="191">
        <f t="shared" si="4"/>
        <v>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0</v>
      </c>
      <c r="B58" s="193">
        <f>'Données projet'!D66</f>
        <v>0</v>
      </c>
      <c r="C58" s="204">
        <f>225*'Données projet'!E66+13.8*('Données projet'!F66+'Données projet'!G66)+10*'Données projet'!H66</f>
        <v>0</v>
      </c>
      <c r="D58" s="191">
        <f t="shared" si="4"/>
        <v>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0</v>
      </c>
      <c r="B59" s="193">
        <f>'Données projet'!D67</f>
        <v>0</v>
      </c>
      <c r="C59" s="204">
        <f>225*'Données projet'!E67+13.8*('Données projet'!F67+'Données projet'!G67)+10*'Données projet'!H67</f>
        <v>0</v>
      </c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0</v>
      </c>
      <c r="B60" s="193">
        <f>'Données projet'!D68</f>
        <v>0</v>
      </c>
      <c r="C60" s="204">
        <f>225*'Données projet'!E68+13.8*('Données projet'!F68+'Données projet'!G68)+10*'Données projet'!H68</f>
        <v>0</v>
      </c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0</v>
      </c>
      <c r="B61" s="193">
        <f>'Données projet'!D69</f>
        <v>0</v>
      </c>
      <c r="C61" s="204">
        <f>225*'Données projet'!E69+13.8*('Données projet'!F69+'Données projet'!G69)+10*'Données projet'!H69</f>
        <v>0</v>
      </c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0</v>
      </c>
      <c r="B62" s="193">
        <f>'Données projet'!D70</f>
        <v>0</v>
      </c>
      <c r="C62" s="204">
        <f>225*'Données projet'!E70+13.8*('Données projet'!F70+'Données projet'!G70)+10*'Données projet'!H70</f>
        <v>0</v>
      </c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0</v>
      </c>
      <c r="B63" s="193">
        <f>'Données projet'!D71</f>
        <v>0</v>
      </c>
      <c r="C63" s="204">
        <f>225*'Données projet'!E71+13.8*('Données projet'!F71+'Données projet'!G71)+10*'Données projet'!H71</f>
        <v>0</v>
      </c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>
        <f>225*'Données projet'!E72+13.8*('Données projet'!F72+'Données projet'!G72)+10*'Données projet'!H72</f>
        <v>0</v>
      </c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>
        <f>225*'Données projet'!E73+13.8*('Données projet'!F73+'Données projet'!G73)+10*'Données projet'!H73</f>
        <v>0</v>
      </c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>
        <f>225*'Données projet'!E74+13.8*('Données projet'!F74+'Données projet'!G74)+10*'Données projet'!H74</f>
        <v>0</v>
      </c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>
        <f>225*'Données projet'!E75+13.8*('Données projet'!F75+'Données projet'!G75)+10*'Données projet'!H75</f>
        <v>0</v>
      </c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>
        <f>225*'Données projet'!E76+13.8*('Données projet'!F76+'Données projet'!G76)+10*'Données projet'!H76</f>
        <v>0</v>
      </c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>
        <f>225*'Données projet'!E77+13.8*('Données projet'!F77+'Données projet'!G77)+10*'Données projet'!H77</f>
        <v>0</v>
      </c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>
        <f>225*'Données projet'!E78+13.8*('Données projet'!F78+'Données projet'!G78)+10*'Données projet'!H78</f>
        <v>0</v>
      </c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>
        <f>225*'Données projet'!E79+13.8*('Données projet'!F79+'Données projet'!G79)+10*'Données projet'!H79</f>
        <v>0</v>
      </c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>
        <f>225*'Données projet'!E80+13.8*('Données projet'!F80+'Données projet'!G80)+10*'Données projet'!H80</f>
        <v>0</v>
      </c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>
        <f>225*'Données projet'!E81+13.8*('Données projet'!F81+'Données projet'!G81)+10*'Données projet'!H81</f>
        <v>0</v>
      </c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0</v>
      </c>
      <c r="B85" s="193">
        <f>'Données projet'!D88</f>
        <v>0</v>
      </c>
      <c r="C85" s="204">
        <f>225*'Données projet'!E88+13.8*('Données projet'!F88+'Données projet'!G88)+10*'Données projet'!H88</f>
        <v>0</v>
      </c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0</v>
      </c>
      <c r="B86" s="193">
        <f>'Données projet'!D89</f>
        <v>0</v>
      </c>
      <c r="C86" s="204">
        <f>225*'Données projet'!E89+13.8*('Données projet'!F89+'Données projet'!G89)+10*'Données projet'!H89</f>
        <v>0</v>
      </c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0</v>
      </c>
      <c r="B87" s="193">
        <f>'Données projet'!D90</f>
        <v>0</v>
      </c>
      <c r="C87" s="204">
        <f>225*'Données projet'!E90+13.8*('Données projet'!F90+'Données projet'!G90)+10*'Données projet'!H90</f>
        <v>0</v>
      </c>
      <c r="D87" s="191">
        <f t="shared" si="6"/>
        <v>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0</v>
      </c>
      <c r="B88" s="193">
        <f>'Données projet'!D91</f>
        <v>0</v>
      </c>
      <c r="C88" s="204">
        <f>225*'Données projet'!E91+13.8*('Données projet'!F91+'Données projet'!G91)+10*'Données projet'!H91</f>
        <v>0</v>
      </c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 t="str">
        <f>IF(O87+1&lt;=MIN('Données projet'!$E$9:$E$18),O87+1,"STOP")</f>
        <v>STOP</v>
      </c>
      <c r="P88" s="197" t="e">
        <f t="shared" si="5"/>
        <v>#VALUE!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0</v>
      </c>
      <c r="B89" s="193">
        <f>'Données projet'!D92</f>
        <v>0</v>
      </c>
      <c r="C89" s="204">
        <f>225*'Données projet'!E92+13.8*('Données projet'!F92+'Données projet'!G92)+10*'Données projet'!H92</f>
        <v>0</v>
      </c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0</v>
      </c>
      <c r="B90" s="193">
        <f>'Données projet'!D93</f>
        <v>0</v>
      </c>
      <c r="C90" s="204">
        <f>225*'Données projet'!E93+13.8*('Données projet'!F93+'Données projet'!G93)+10*'Données projet'!H93</f>
        <v>0</v>
      </c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0</v>
      </c>
      <c r="B91" s="193">
        <f>'Données projet'!D94</f>
        <v>0</v>
      </c>
      <c r="C91" s="204">
        <f>225*'Données projet'!E94+13.8*('Données projet'!F94+'Données projet'!G94)+10*'Données projet'!H94</f>
        <v>0</v>
      </c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>
        <f>225*'Données projet'!E95+13.8*('Données projet'!F95+'Données projet'!G95)+10*'Données projet'!H95</f>
        <v>0</v>
      </c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>
        <f>225*'Données projet'!E96+13.8*('Données projet'!F96+'Données projet'!G96)+10*'Données projet'!H96</f>
        <v>0</v>
      </c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>
        <f>225*'Données projet'!E97+13.8*('Données projet'!F97+'Données projet'!G97)+10*'Données projet'!H97</f>
        <v>0</v>
      </c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>
        <f>225*'Données projet'!E98+13.8*('Données projet'!F98+'Données projet'!G98)+10*'Données projet'!H98</f>
        <v>0</v>
      </c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>
        <f>225*'Données projet'!E99+13.8*('Données projet'!F99+'Données projet'!G99)+10*'Données projet'!H99</f>
        <v>0</v>
      </c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>
        <f>225*'Données projet'!E100+13.8*('Données projet'!F100+'Données projet'!G100)+10*'Données projet'!H100</f>
        <v>0</v>
      </c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>
        <f>225*'Données projet'!E101+13.8*('Données projet'!F101+'Données projet'!G101)+10*'Données projet'!H101</f>
        <v>0</v>
      </c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>
        <f>225*'Données projet'!E102+13.8*('Données projet'!F102+'Données projet'!G102)+10*'Données projet'!H102</f>
        <v>0</v>
      </c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>
        <f>225*'Données projet'!E103+13.8*('Données projet'!F103+'Données projet'!G103)+10*'Données projet'!H103</f>
        <v>0</v>
      </c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>
        <f>225*'Données projet'!E104+13.8*('Données projet'!F104+'Données projet'!G104)+10*'Données projet'!H104</f>
        <v>0</v>
      </c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>
        <f>225*'Données projet'!E105+13.8*('Données projet'!F105+'Données projet'!G105)+10*'Données projet'!H105</f>
        <v>0</v>
      </c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>
        <f>225*'Données projet'!E106+13.8*('Données projet'!F106+'Données projet'!G106)+10*'Données projet'!H106</f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>
        <f>225*'Données projet'!E107+13.8*('Données projet'!F107+'Données projet'!G107)+10*'Données projet'!H107</f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>
        <f>225*'Données projet'!E114+13.8*('Données projet'!F114+'Données projet'!G114)+10*'Données projet'!H114</f>
        <v>0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>
        <f>225*'Données projet'!E115+13.8*('Données projet'!F115+'Données projet'!G115)+10*'Données projet'!H115</f>
        <v>0</v>
      </c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>
        <f>225*'Données projet'!E116+13.8*('Données projet'!F116+'Données projet'!G116)+10*'Données projet'!H116</f>
        <v>0</v>
      </c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>
        <f>225*'Données projet'!E117+13.8*('Données projet'!F117+'Données projet'!G117)+10*'Données projet'!H117</f>
        <v>0</v>
      </c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>
        <f>225*'Données projet'!E118+13.8*('Données projet'!F118+'Données projet'!G118)+10*'Données projet'!H118</f>
        <v>0</v>
      </c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>
        <f>225*'Données projet'!E119+13.8*('Données projet'!F119+'Données projet'!G119)+10*'Données projet'!H119</f>
        <v>0</v>
      </c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>
        <f>225*'Données projet'!E120+13.8*('Données projet'!F120+'Données projet'!G120)+10*'Données projet'!H120</f>
        <v>0</v>
      </c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>
        <f>225*'Données projet'!E121+13.8*('Données projet'!F121+'Données projet'!G121)+10*'Données projet'!H121</f>
        <v>0</v>
      </c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>
        <f>225*'Données projet'!E122+13.8*('Données projet'!F122+'Données projet'!G122)+10*'Données projet'!H122</f>
        <v>0</v>
      </c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>
        <f>225*'Données projet'!E123+13.8*('Données projet'!F123+'Données projet'!G123)+10*'Données projet'!H123</f>
        <v>0</v>
      </c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>
        <f>225*'Données projet'!E124+13.8*('Données projet'!F124+'Données projet'!G124)+10*'Données projet'!H124</f>
        <v>0</v>
      </c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>
        <f>225*'Données projet'!E125+13.8*('Données projet'!F125+'Données projet'!G125)+10*'Données projet'!H125</f>
        <v>0</v>
      </c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>
        <f>225*'Données projet'!E126+13.8*('Données projet'!F126+'Données projet'!G126)+10*'Données projet'!H126</f>
        <v>0</v>
      </c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>
        <f>225*'Données projet'!E127+13.8*('Données projet'!F127+'Données projet'!G127)+10*'Données projet'!H127</f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>
        <f>225*'Données projet'!E128+13.8*('Données projet'!F128+'Données projet'!G128)+10*'Données projet'!H128</f>
        <v>0</v>
      </c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>
        <f>225*'Données projet'!E129+13.8*('Données projet'!F129+'Données projet'!G129)+10*'Données projet'!H129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>
        <f>225*'Données projet'!E130+13.8*('Données projet'!F130+'Données projet'!G130)+10*'Données projet'!H130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>
        <f>225*'Données projet'!E131+13.8*('Données projet'!F131+'Données projet'!G131)+10*'Données projet'!H131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225*'Données projet'!E132+13.8*('Données projet'!F132+'Données projet'!G132)+10*'Données projet'!H132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225*'Données projet'!E133+13.8*('Données projet'!F133+'Données projet'!G133)+10*'Données projet'!H133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>
        <f>225*'Données projet'!E140+13.8*('Données projet'!F140+'Données projet'!G140)+10*'Données projet'!H140</f>
        <v>0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>
        <f>225*'Données projet'!E141+13.8*('Données projet'!F141+'Données projet'!G141)+10*'Données projet'!H141</f>
        <v>0</v>
      </c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>
        <f>225*'Données projet'!E142+13.8*('Données projet'!F142+'Données projet'!G142)+10*'Données projet'!H142</f>
        <v>0</v>
      </c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>
        <f>225*'Données projet'!E143+13.8*('Données projet'!F143+'Données projet'!G143)+10*'Données projet'!H143</f>
        <v>0</v>
      </c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>
        <f>225*'Données projet'!E144+13.8*('Données projet'!F144+'Données projet'!G144)+10*'Données projet'!H144</f>
        <v>0</v>
      </c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>
        <f>225*'Données projet'!E145+13.8*('Données projet'!F145+'Données projet'!G145)+10*'Données projet'!H145</f>
        <v>0</v>
      </c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>
        <f>225*'Données projet'!E146+13.8*('Données projet'!F146+'Données projet'!G146)+10*'Données projet'!H146</f>
        <v>0</v>
      </c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>
        <f>225*'Données projet'!E147+13.8*('Données projet'!F147+'Données projet'!G147)+10*'Données projet'!H147</f>
        <v>0</v>
      </c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>
        <f>225*'Données projet'!E148+13.8*('Données projet'!F148+'Données projet'!G148)+10*'Données projet'!H148</f>
        <v>0</v>
      </c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>
        <f>225*'Données projet'!E149+13.8*('Données projet'!F149+'Données projet'!G149)+10*'Données projet'!H149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>
        <f>225*'Données projet'!E150+13.8*('Données projet'!F150+'Données projet'!G150)+10*'Données projet'!H150</f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>
        <f>225*'Données projet'!E151+13.8*('Données projet'!F151+'Données projet'!G151)+10*'Données projet'!H151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>
        <f>225*'Données projet'!E152+13.8*('Données projet'!F152+'Données projet'!G152)+10*'Données projet'!H152</f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>
        <f>225*'Données projet'!E153+13.8*('Données projet'!F153+'Données projet'!G153)+10*'Données projet'!H153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>
        <f>225*'Données projet'!E154+13.8*('Données projet'!F154+'Données projet'!G154)+10*'Données projet'!H154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>
        <f>225*'Données projet'!E155+13.8*('Données projet'!F155+'Données projet'!G155)+10*'Données projet'!H155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>
        <f>225*'Données projet'!E156+13.8*('Données projet'!F156+'Données projet'!G156)+10*'Données projet'!H156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>
        <f>225*'Données projet'!E157+13.8*('Données projet'!F157+'Données projet'!G157)+10*'Données projet'!H157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>
        <f>225*'Données projet'!E158+13.8*('Données projet'!F158+'Données projet'!G158)+10*'Données projet'!H158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>
        <f>225*'Données projet'!E159+13.8*('Données projet'!F159+'Données projet'!G159)+10*'Données projet'!H159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225*'Données projet'!E166+13.8*('Données projet'!F166+'Données projet'!G168)+10*'Données projet'!H166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225*'Données projet'!E167+13.8*('Données projet'!F167+'Données projet'!G169)+10*'Données projet'!H167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225*'Données projet'!E168+13.8*('Données projet'!F168+'Données projet'!G170)+10*'Données projet'!H168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225*'Données projet'!E169+13.8*('Données projet'!F169+'Données projet'!G171)+10*'Données projet'!H169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225*'Données projet'!E170+13.8*('Données projet'!F170+'Données projet'!G172)+10*'Données projet'!H170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225*'Données projet'!E171+13.8*('Données projet'!F171+'Données projet'!G173)+10*'Données projet'!H171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225*'Données projet'!E172+13.8*('Données projet'!F172+'Données projet'!G174)+10*'Données projet'!H172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225*'Données projet'!E173+13.8*('Données projet'!F173+'Données projet'!G175)+10*'Données projet'!H173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225*'Données projet'!E174+13.8*('Données projet'!F174+'Données projet'!G176)+10*'Données projet'!H174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225*'Données projet'!E175+13.8*('Données projet'!F175+'Données projet'!G177)+10*'Données projet'!H175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225*'Données projet'!E176+13.8*('Données projet'!F176+'Données projet'!G178)+10*'Données projet'!H176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225*'Données projet'!E177+13.8*('Données projet'!F177+'Données projet'!G179)+10*'Données projet'!H177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225*'Données projet'!E178+13.8*('Données projet'!F178+'Données projet'!G180)+10*'Données projet'!H178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225*'Données projet'!E179+13.8*('Données projet'!F179+'Données projet'!G181)+10*'Données projet'!H179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225*'Données projet'!E180+13.8*('Données projet'!F180+'Données projet'!G182)+10*'Données projet'!H180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225*'Données projet'!E181+13.8*('Données projet'!F181+'Données projet'!G183)+10*'Données projet'!H181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225*'Données projet'!E182+13.8*('Données projet'!F182+'Données projet'!G184)+10*'Données projet'!H182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225*'Données projet'!E183+13.8*('Données projet'!F183+'Données projet'!G185)+10*'Données projet'!H183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225*'Données projet'!E184+13.8*('Données projet'!F184+'Données projet'!G186)+10*'Données projet'!H184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225*'Données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225*'Données projet'!E192+13.8*('Données projet'!F192+'Données projet'!G192)+10*'Données projet'!H192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225*'Données projet'!E193+13.8*('Données projet'!F193+'Données projet'!G193)+10*'Données projet'!H193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225*'Données projet'!E194+13.8*('Données projet'!F194+'Données projet'!G194)+10*'Données projet'!H194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225*'Données projet'!E195+13.8*('Données projet'!F195+'Données projet'!G195)+10*'Données projet'!H195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225*'Données projet'!E196+13.8*('Données projet'!F196+'Données projet'!G196)+10*'Données projet'!H196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225*'Données projet'!E197+13.8*('Données projet'!F197+'Données projet'!G197)+10*'Données projet'!H197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225*'Données projet'!E198+13.8*('Données projet'!F198+'Données projet'!G198)+10*'Données projet'!H198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225*'Données projet'!E199+13.8*('Données projet'!F199+'Données projet'!G199)+10*'Données projet'!H199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225*'Données projet'!E200+13.8*('Données projet'!F200+'Données projet'!G200)+10*'Données projet'!H200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225*'Données projet'!E201+13.8*('Données projet'!F201+'Données projet'!G201)+10*'Données projet'!H201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225*'Données projet'!E202+13.8*('Données projet'!F202+'Données projet'!G202)+10*'Données projet'!H202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225*'Données projet'!E203+13.8*('Données projet'!F203+'Données projet'!G203)+10*'Données projet'!H203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225*'Données projet'!E204+13.8*('Données projet'!F204+'Données projet'!G204)+10*'Données projet'!H204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225*'Données projet'!E205+13.8*('Données projet'!F205+'Données projet'!G205)+10*'Données projet'!H205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225*'Données projet'!E206+13.8*('Données projet'!F206+'Données projet'!G206)+10*'Données projet'!H206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225*'Données projet'!E207+13.8*('Données projet'!F207+'Données projet'!G207)+10*'Données projet'!H207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225*'Données projet'!E208+13.8*('Données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225*'Données projet'!E209+13.8*('Données projet'!F209+'Données projet'!G209)+10*'Données projet'!H209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225*'Données projet'!E210+13.8*('Données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225*'Données projet'!E211+13.8*('Données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225*'Données projet'!E218+13.8*('Données projet'!F218+'Données projet'!G218)+10*'Données projet'!H218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225*'Données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225*'Données projet'!E220+13.8*('Données projet'!F220+'Données projet'!G220)+10*'Données projet'!H220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225*'Données projet'!E221+13.8*('Données projet'!F221+'Données projet'!G221)+10*'Données projet'!H221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225*'Données projet'!E222+13.8*('Données projet'!F222+'Données projet'!G222)+10*'Données projet'!H222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225*'Données projet'!E223+13.8*('Données projet'!F223+'Données projet'!G223)+10*'Données projet'!H223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225*'Données projet'!E224+13.8*('Données projet'!F224+'Données projet'!G224)+10*'Données projet'!H224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225*'Données projet'!E225+13.8*('Données projet'!F225+'Données projet'!G225)+10*'Données projet'!H225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225*'Données projet'!E226+13.8*('Données projet'!F226+'Données projet'!G226)+10*'Données projet'!H226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225*'Données projet'!E227+13.8*('Données projet'!F227+'Données projet'!G227)+10*'Données projet'!H227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225*'Données projet'!E228+13.8*('Données projet'!F228+'Données projet'!G228)+10*'Données projet'!H228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225*'Données projet'!E229+13.8*('Données projet'!F229+'Données projet'!G229)+10*'Données projet'!H229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225*'Données projet'!E230+13.8*('Données projet'!F230+'Données projet'!G230)+10*'Données projet'!H230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225*'Données projet'!E231+13.8*('Données projet'!F231+'Données projet'!G231)+10*'Données projet'!H231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225*'Données projet'!E232+13.8*('Données projet'!F232+'Données projet'!G232)+10*'Données projet'!H232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225*'Données projet'!E233+13.8*('Données projet'!F233+'Données projet'!G233)+10*'Données projet'!H233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225*'Données projet'!E234+13.8*('Données projet'!F234+'Données projet'!G234)+10*'Données projet'!H234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225*'Données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225*'Données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225*'Données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225*'Données projet'!E244+13.8*('Données projet'!F244+'Données projet'!G244)+10*'Données projet'!H244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225*'Données projet'!E245+13.8*('Données projet'!F245+'Données projet'!G245)+10*'Données projet'!H245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225*'Données projet'!E246+13.8*('Données projet'!F246+'Données projet'!G246)+10*'Données projet'!H246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225*'Données projet'!E247+13.8*('Données projet'!F247+'Données projet'!G247)+10*'Données projet'!H247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225*'Données projet'!E248+13.8*('Données projet'!F248+'Données projet'!G248)+10*'Données projet'!H248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225*'Données projet'!E249+13.8*('Données projet'!F249+'Données projet'!G249)+10*'Données projet'!H249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225*'Données projet'!E250+13.8*('Données projet'!F250+'Données projet'!G250)+10*'Données projet'!H250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225*'Données projet'!E251+13.8*('Données projet'!F251+'Données projet'!G251)+10*'Données projet'!H251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225*'Données projet'!E252+13.8*('Données projet'!F252+'Données projet'!G252)+10*'Données projet'!H252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225*'Données projet'!E253+13.8*('Données projet'!F253+'Données projet'!G253)+10*'Données projet'!H253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225*'Données projet'!E254+13.8*('Données projet'!F254+'Données projet'!G254)+10*'Données projet'!H254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225*'Données projet'!E255+13.8*('Données projet'!F255+'Données projet'!G255)+10*'Données projet'!H255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225*'Données projet'!E256+13.8*('Données projet'!F256+'Données projet'!G256)+10*'Données projet'!H256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225*'Données projet'!E257+13.8*('Données projet'!F257+'Données projet'!G257)+10*'Données projet'!H257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225*'Données projet'!E258+13.8*('Données projet'!F258+'Données projet'!G258)+10*'Données projet'!H258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225*'Données projet'!E259+13.8*('Données projet'!F259+'Données projet'!G259)+10*'Données projet'!H259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225*'Données projet'!E260+13.8*('Données projet'!F260+'Données projet'!G260)+10*'Données projet'!H260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225*'Données projet'!E261+13.8*('Données projet'!F261+'Données projet'!G261)+10*'Données projet'!H261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225*'Données projet'!E262+13.8*('Données projet'!F262+'Données projet'!G262)+10*'Données projet'!H262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225*'Données projet'!E263+13.8*('Données projet'!F263+'Données projet'!G263)+10*'Données projet'!H263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225*'Données projet'!E270+13.8*('Données projet'!F270+'Données projet'!G270)+10*'Données projet'!H270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225*'Données projet'!E271+13.8*('Données projet'!F271+'Données projet'!G271)+10*'Données projet'!H271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225*'Données projet'!E272+13.8*('Données projet'!F272+'Données projet'!G272)+10*'Données projet'!H272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225*'Données projet'!E273+13.8*('Données projet'!F273+'Données projet'!G273)+10*'Données projet'!H273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225*'Données projet'!E274+13.8*('Données projet'!F274+'Données projet'!G274)+10*'Données projet'!H274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225*'Données projet'!E275+13.8*('Données projet'!F275+'Données projet'!G275)+10*'Données projet'!H275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225*'Données projet'!E276+13.8*('Données projet'!F276+'Données projet'!G276)+10*'Données projet'!H276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225*'Données projet'!E277+13.8*('Données projet'!F277+'Données projet'!G277)+10*'Données projet'!H277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225*'Données projet'!E278+13.8*('Données projet'!F278+'Données projet'!G278)+10*'Données projet'!H278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225*'Données projet'!E279+13.8*('Données projet'!F279+'Données projet'!G279)+10*'Données projet'!H279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225*'Données projet'!E280+13.8*('Données projet'!F280+'Données projet'!G280)+10*'Données projet'!H280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225*'Données projet'!E281+13.8*('Données projet'!F281+'Données projet'!G281)+10*'Données projet'!H281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225*'Données projet'!E282+13.8*('Données projet'!F282+'Données projet'!G282)+10*'Données projet'!H282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225*'Données projet'!E283+13.8*('Données projet'!F283+'Données projet'!G283)+10*'Données projet'!H283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225*'Données projet'!E284+13.8*('Données projet'!F284+'Données projet'!G284)+10*'Données projet'!H284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225*'Données projet'!E285+13.8*('Données projet'!F285+'Données projet'!G285)+10*'Données projet'!H285</f>
        <v>0</v>
      </c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225*'Données projet'!E286+13.8*('Données projet'!F286+'Données projet'!G286)+10*'Données projet'!H286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225*'Données projet'!E287+13.8*('Données projet'!F287+'Données projet'!G287)+10*'Données projet'!H287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225*'Données projet'!E288+13.8*('Données projet'!F288+'Données projet'!G288)+10*'Données projet'!H288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225*'Données projet'!E289+13.8*('Données projet'!F289+'Données projet'!G289)+10*'Données projet'!H289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2025-04-08T08:39:33Z</dcterms:modified>
</cp:coreProperties>
</file>