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LAVI-124/"/>
    </mc:Choice>
  </mc:AlternateContent>
  <xr:revisionPtr revIDLastSave="50" documentId="8_{E250E134-4788-472B-AB87-BEE8857F0D6F}" xr6:coauthVersionLast="47" xr6:coauthVersionMax="47" xr10:uidLastSave="{46897D7D-7714-4FE1-860C-5257D5740C87}"/>
  <bookViews>
    <workbookView xWindow="-108" yWindow="-108" windowWidth="23256" windowHeight="13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3" i="6" l="1"/>
  <c r="E111" i="6"/>
  <c r="E82" i="6"/>
  <c r="E80" i="6"/>
  <c r="E51" i="6"/>
  <c r="E49" i="6"/>
  <c r="E18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E17" i="6" s="1"/>
  <c r="E19" i="6" s="1"/>
  <c r="D10" i="1"/>
  <c r="E48" i="6" s="1"/>
  <c r="E50" i="6" s="1"/>
  <c r="D11" i="1"/>
  <c r="E79" i="6" s="1"/>
  <c r="E81" i="6" s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E110" i="6" s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E112" i="6" l="1"/>
  <c r="T13" i="6"/>
  <c r="P66" i="6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B11" i="4"/>
  <c r="B10" i="4"/>
  <c r="U14" i="6"/>
  <c r="V14" i="6" s="1"/>
  <c r="B9" i="4"/>
  <c r="U13" i="6"/>
  <c r="D19" i="1"/>
  <c r="B14" i="4"/>
  <c r="V13" i="6" l="1"/>
  <c r="V11" i="6"/>
  <c r="U30" i="6"/>
  <c r="U31" i="6"/>
  <c r="V10" i="6"/>
  <c r="I24" i="6"/>
  <c r="P67" i="6"/>
  <c r="H19" i="2"/>
  <c r="D20" i="2"/>
  <c r="G20" i="2" s="1"/>
  <c r="P40" i="6"/>
  <c r="U33" i="6" l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5" i="2" s="1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DH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DI161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C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C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2" i="2" s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8" i="2" s="1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A179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G197" i="2"/>
  <c r="EW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DN187" i="2" a="1"/>
  <c r="DN187" i="2" s="1"/>
  <c r="HJ202" i="2"/>
  <c r="EY202" i="2"/>
  <c r="AX200" i="2"/>
  <c r="BX107" i="2" l="1" a="1"/>
  <c r="BX107" i="2" s="1"/>
  <c r="AH90" i="2" a="1"/>
  <c r="AH90" i="2" s="1"/>
  <c r="AH151" i="2" a="1"/>
  <c r="AH151" i="2" s="1"/>
  <c r="AH62" i="2" a="1"/>
  <c r="AH62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tc={E56134FA-C911-4559-BD5E-963BE2961A8C}</author>
    <author>tc={F7444D77-A071-4EF9-9E23-14F2A111CF51}</author>
    <author>tc={F0D321F1-ADE7-4C90-B95F-1D62A56ACE79}</author>
    <author>tc={F966D341-C6DF-46D6-AC80-C22AE0305586}</author>
    <author>tc={91BDC29A-6E1C-496D-BFFE-B8703BA4D6C3}</author>
    <author>tc={0515619F-86CE-4780-BB08-F34BDF48685B}</author>
    <author>tc={5CBB967C-8FE4-4925-8723-BDFB0B45619E}</author>
    <author>tc={ECCB2D01-2FDC-4A85-B502-3D84B4F7C216}</author>
    <author>tc={5302212D-620B-4F13-8145-6A2CD084BA24}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E56134FA-C911-4559-BD5E-963BE2961A8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F7444D77-A071-4EF9-9E23-14F2A111CF51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F0D321F1-ADE7-4C90-B95F-1D62A56ACE7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F966D341-C6DF-46D6-AC80-C22AE030558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91BDC29A-6E1C-496D-BFFE-B8703BA4D6C3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0515619F-86CE-4780-BB08-F34BDF48685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5CBB967C-8FE4-4925-8723-BDFB0B45619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ECCB2D01-2FDC-4A85-B502-3D84B4F7C21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5302212D-620B-4F13-8145-6A2CD084BA2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<sst xmlns="http://schemas.openxmlformats.org/spreadsheetml/2006/main" count="1179" uniqueCount="329">
  <si>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</si>
  <si>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</si>
  <si>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</si>
  <si>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</si>
  <si>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</si>
  <si>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</si>
  <si>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</si>
  <si>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</si>
  <si>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</si>
  <si>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NOM DU PROJET NEOSYLVA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</si>
  <si>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</si>
  <si>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</si>
  <si>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</si>
  <si>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</si>
  <si>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</si>
  <si>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</si>
  <si>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</si>
  <si>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taeda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</si>
  <si>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</si>
  <si>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</si>
  <si>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</si>
  <si>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</si>
  <si>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Chêne sessile</t>
  </si>
  <si>
    <t>Essence 4</t>
  </si>
  <si>
    <t>Charme</t>
  </si>
  <si>
    <t>Essence 5</t>
  </si>
  <si>
    <t>Alisier torminal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</si>
  <si>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</si>
  <si>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</si>
  <si>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</si>
  <si>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</si>
  <si>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</si>
  <si>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</si>
  <si>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</si>
  <si>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</si>
  <si>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</si>
  <si>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</si>
  <si>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</si>
  <si>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</si>
  <si>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</si>
  <si>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</si>
  <si>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</si>
  <si>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</si>
  <si>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</si>
  <si>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</si>
  <si>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</si>
  <si>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</si>
  <si>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</si>
  <si>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</si>
  <si>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</si>
  <si>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</si>
  <si>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</si>
  <si>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</si>
  <si>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</si>
  <si>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</si>
  <si>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</si>
  <si>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</si>
  <si>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</si>
  <si>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</si>
  <si>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</si>
  <si>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</si>
  <si>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</si>
  <si>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</si>
  <si>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</si>
  <si>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</si>
  <si>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</si>
  <si>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</si>
  <si>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</si>
  <si>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</si>
  <si>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</si>
  <si>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</si>
  <si>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</si>
  <si>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</si>
  <si>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</si>
  <si>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</si>
  <si>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</si>
  <si>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</si>
  <si>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</si>
  <si>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</si>
  <si>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</si>
  <si>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</si>
  <si>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</si>
  <si>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</si>
  <si>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</si>
  <si>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</si>
  <si>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</si>
  <si>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</si>
  <si>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</si>
  <si>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</si>
  <si>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</si>
  <si>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</si>
  <si>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</si>
  <si>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</si>
  <si>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</si>
  <si>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</si>
  <si>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</si>
  <si>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</si>
  <si>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</si>
  <si>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</si>
  <si>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</si>
  <si>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</si>
  <si>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</si>
  <si>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</si>
  <si>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</si>
  <si>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</si>
  <si>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</si>
  <si>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</si>
  <si>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</si>
  <si>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</si>
  <si>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</si>
  <si>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</si>
  <si>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</si>
  <si>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</si>
  <si>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</si>
  <si>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</si>
  <si>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</si>
  <si>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</si>
  <si>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</si>
  <si>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</si>
  <si>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</si>
  <si>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</si>
  <si>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</si>
  <si>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</si>
  <si>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</si>
  <si>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</si>
  <si>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</si>
  <si>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</si>
  <si>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</si>
  <si>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</si>
  <si>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</si>
  <si>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</si>
  <si>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</si>
  <si>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</si>
  <si>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</si>
  <si>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</si>
  <si>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</si>
  <si>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</si>
  <si>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</si>
  <si>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</si>
  <si>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</si>
  <si>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</si>
  <si>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</si>
  <si>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</si>
  <si>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</si>
  <si>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</si>
  <si>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</si>
  <si>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</si>
  <si>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</si>
  <si>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</si>
  <si>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</si>
  <si>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</si>
  <si>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</si>
  <si>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</si>
  <si>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</si>
  <si>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</si>
  <si>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</si>
  <si>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</si>
  <si>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</si>
  <si>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</si>
  <si>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</si>
  <si>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</si>
  <si>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</si>
  <si>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</si>
  <si>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</si>
  <si>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</si>
  <si>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</si>
  <si>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</si>
  <si>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</si>
  <si>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</si>
  <si>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</si>
  <si>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</si>
  <si>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</si>
  <si>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</si>
  <si>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</si>
  <si>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</si>
  <si>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</si>
  <si>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</si>
  <si>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</si>
  <si>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</si>
  <si>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</si>
  <si>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</si>
  <si>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</si>
  <si>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</si>
  <si>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</si>
  <si>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</si>
  <si>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</si>
  <si>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</si>
  <si>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</si>
  <si>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</si>
  <si>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</si>
  <si>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</si>
  <si>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</si>
  <si>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</si>
  <si>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</si>
  <si>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</si>
  <si>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</si>
  <si>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</si>
  <si>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</si>
  <si>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</si>
  <si>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</si>
  <si>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</si>
  <si>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</si>
  <si>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</si>
  <si>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</si>
  <si>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</si>
  <si>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</si>
  <si>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</si>
  <si>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</si>
  <si>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</si>
  <si>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</si>
  <si>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</si>
  <si>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</si>
  <si>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</si>
  <si>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</si>
  <si>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</si>
  <si>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</si>
  <si>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</si>
  <si>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</si>
  <si>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</si>
  <si>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</si>
  <si>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</si>
  <si>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</si>
  <si>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</si>
  <si>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</si>
  <si>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</si>
  <si>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</si>
  <si>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</si>
  <si>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</si>
  <si>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</si>
  <si>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</si>
  <si>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</si>
  <si>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</si>
  <si>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</si>
  <si>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</si>
  <si>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</si>
  <si>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</si>
  <si>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</si>
  <si>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</si>
  <si>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</si>
  <si>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</si>
  <si>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</si>
  <si>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</si>
  <si>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</si>
  <si>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</si>
  <si>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</si>
  <si>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</si>
  <si>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</si>
  <si>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</si>
  <si>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</si>
  <si>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</si>
  <si>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</si>
  <si>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</si>
  <si>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</si>
  <si>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</si>
  <si>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</si>
  <si>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</si>
  <si>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</si>
  <si>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</si>
  <si>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</si>
  <si>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</si>
  <si>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</si>
  <si>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</si>
  <si>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</si>
  <si>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</si>
  <si>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</si>
  <si>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</si>
  <si>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</si>
  <si>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</si>
  <si>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</si>
  <si>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</si>
  <si>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</si>
  <si>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</si>
  <si>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</si>
  <si>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</si>
  <si>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</si>
  <si>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</si>
  <si>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</si>
  <si>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</si>
  <si>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</si>
  <si>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</si>
  <si>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</si>
  <si>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</si>
  <si>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</si>
  <si>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</si>
  <si>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</si>
  <si>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</si>
  <si>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</si>
  <si>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</si>
  <si>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</si>
  <si>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</si>
  <si>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</si>
  <si>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</si>
  <si>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</si>
  <si>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</si>
  <si>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</si>
  <si>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</si>
  <si>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</si>
  <si>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</si>
  <si>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</si>
  <si>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</si>
  <si>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</si>
  <si>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</si>
  <si>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</si>
  <si>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</si>
  <si>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</si>
  <si>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</si>
  <si>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</si>
  <si>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</si>
  <si>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</si>
  <si>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</si>
  <si>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</si>
  <si>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</si>
  <si>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</si>
  <si>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</si>
  <si>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</si>
  <si>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</si>
  <si>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</si>
  <si>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</si>
  <si>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</si>
  <si>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</si>
  <si>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</si>
  <si>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</si>
  <si>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</si>
  <si>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</si>
  <si>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Coût total du projet Néosylva sur les 5 premières années</t>
  </si>
  <si>
    <t>VAN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</si>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</sst>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1.8640287764273715</c:v>
                </c:pt>
                <c:pt idx="2">
                  <c:v>2.2403406300750932</c:v>
                </c:pt>
                <c:pt idx="3">
                  <c:v>2.6929117978914889</c:v>
                </c:pt>
                <c:pt idx="4">
                  <c:v>3.2372516053740923</c:v>
                </c:pt>
                <c:pt idx="5">
                  <c:v>3.8920341923639565</c:v>
                </c:pt>
                <c:pt idx="6">
                  <c:v>4.6797463362061977</c:v>
                </c:pt>
                <c:pt idx="7">
                  <c:v>5.6274682635662172</c:v>
                </c:pt>
                <c:pt idx="8">
                  <c:v>6.7678148238020102</c:v>
                </c:pt>
                <c:pt idx="9">
                  <c:v>8.1400700445507415</c:v>
                </c:pt>
                <c:pt idx="10">
                  <c:v>9.7915549057905107</c:v>
                </c:pt>
                <c:pt idx="11">
                  <c:v>11.779276394053923</c:v>
                </c:pt>
                <c:pt idx="12">
                  <c:v>14.171915825890288</c:v>
                </c:pt>
                <c:pt idx="13">
                  <c:v>17.052226411955296</c:v>
                </c:pt>
                <c:pt idx="14">
                  <c:v>20.51992449638772</c:v>
                </c:pt>
                <c:pt idx="15">
                  <c:v>24.695176365073063</c:v>
                </c:pt>
                <c:pt idx="16">
                  <c:v>29.722803592594314</c:v>
                </c:pt>
                <c:pt idx="17">
                  <c:v>35.777355341924697</c:v>
                </c:pt>
                <c:pt idx="18">
                  <c:v>43.069226750108349</c:v>
                </c:pt>
                <c:pt idx="19">
                  <c:v>51.85203962276352</c:v>
                </c:pt>
                <c:pt idx="20">
                  <c:v>62.431546443546161</c:v>
                </c:pt>
                <c:pt idx="21">
                  <c:v>75.176372780355464</c:v>
                </c:pt>
                <c:pt idx="22">
                  <c:v>90.530978469341832</c:v>
                </c:pt>
                <c:pt idx="23">
                  <c:v>109.03129681397088</c:v>
                </c:pt>
                <c:pt idx="24">
                  <c:v>131.32360626855731</c:v>
                </c:pt>
                <c:pt idx="25">
                  <c:v>158.18730408988156</c:v>
                </c:pt>
                <c:pt idx="26">
                  <c:v>110.16783838299024</c:v>
                </c:pt>
                <c:pt idx="27">
                  <c:v>127.47740209498517</c:v>
                </c:pt>
                <c:pt idx="28">
                  <c:v>144.72997128258132</c:v>
                </c:pt>
                <c:pt idx="29">
                  <c:v>161.93330563088048</c:v>
                </c:pt>
                <c:pt idx="30">
                  <c:v>179.09337642660753</c:v>
                </c:pt>
                <c:pt idx="31">
                  <c:v>196.214914712987</c:v>
                </c:pt>
                <c:pt idx="32">
                  <c:v>213.30175713927812</c:v>
                </c:pt>
                <c:pt idx="33">
                  <c:v>172.025646560745</c:v>
                </c:pt>
                <c:pt idx="34">
                  <c:v>189.87670779481053</c:v>
                </c:pt>
                <c:pt idx="35">
                  <c:v>207.68866515368813</c:v>
                </c:pt>
                <c:pt idx="36">
                  <c:v>225.4653449494439</c:v>
                </c:pt>
                <c:pt idx="37">
                  <c:v>243.20992025308374</c:v>
                </c:pt>
                <c:pt idx="38">
                  <c:v>260.92506298760685</c:v>
                </c:pt>
                <c:pt idx="39">
                  <c:v>278.61305246523608</c:v>
                </c:pt>
                <c:pt idx="40">
                  <c:v>296.2758548734829</c:v>
                </c:pt>
                <c:pt idx="41">
                  <c:v>239.76770751057586</c:v>
                </c:pt>
                <c:pt idx="42">
                  <c:v>256.8271318916386</c:v>
                </c:pt>
                <c:pt idx="43">
                  <c:v>273.86093423683366</c:v>
                </c:pt>
                <c:pt idx="44">
                  <c:v>290.87093237144524</c:v>
                </c:pt>
                <c:pt idx="45">
                  <c:v>307.8587141069433</c:v>
                </c:pt>
                <c:pt idx="46">
                  <c:v>324.8256776994553</c:v>
                </c:pt>
                <c:pt idx="47">
                  <c:v>341.77306340643787</c:v>
                </c:pt>
                <c:pt idx="48">
                  <c:v>358.70197845336497</c:v>
                </c:pt>
                <c:pt idx="49">
                  <c:v>375.61341703894681</c:v>
                </c:pt>
                <c:pt idx="50">
                  <c:v>392.50827654831147</c:v>
                </c:pt>
                <c:pt idx="51">
                  <c:v>319.37050265005104</c:v>
                </c:pt>
                <c:pt idx="52">
                  <c:v>334.52134793211144</c:v>
                </c:pt>
                <c:pt idx="53">
                  <c:v>349.65707861306277</c:v>
                </c:pt>
                <c:pt idx="54">
                  <c:v>364.7784410433967</c:v>
                </c:pt>
                <c:pt idx="55">
                  <c:v>379.88611464794849</c:v>
                </c:pt>
                <c:pt idx="56">
                  <c:v>394.98072040575977</c:v>
                </c:pt>
                <c:pt idx="57">
                  <c:v>410.06282796584441</c:v>
                </c:pt>
                <c:pt idx="58">
                  <c:v>425.13296166139679</c:v>
                </c:pt>
                <c:pt idx="59">
                  <c:v>440.19160562675683</c:v>
                </c:pt>
                <c:pt idx="60">
                  <c:v>455.23920817771847</c:v>
                </c:pt>
                <c:pt idx="61">
                  <c:v>387.28600368987105</c:v>
                </c:pt>
                <c:pt idx="62">
                  <c:v>400.32168647741304</c:v>
                </c:pt>
                <c:pt idx="63">
                  <c:v>413.34818434892662</c:v>
                </c:pt>
                <c:pt idx="64">
                  <c:v>426.36582754686032</c:v>
                </c:pt>
                <c:pt idx="65">
                  <c:v>439.37492450301892</c:v>
                </c:pt>
                <c:pt idx="66">
                  <c:v>452.37576389576316</c:v>
                </c:pt>
                <c:pt idx="67">
                  <c:v>465.36861645840571</c:v>
                </c:pt>
                <c:pt idx="68">
                  <c:v>478.35373657514043</c:v>
                </c:pt>
                <c:pt idx="69">
                  <c:v>491.33136369467434</c:v>
                </c:pt>
                <c:pt idx="70">
                  <c:v>504.30172358674866</c:v>
                </c:pt>
                <c:pt idx="71">
                  <c:v>426.01885347012268</c:v>
                </c:pt>
                <c:pt idx="72">
                  <c:v>436.28953142824543</c:v>
                </c:pt>
                <c:pt idx="73">
                  <c:v>446.55502197293748</c:v>
                </c:pt>
                <c:pt idx="74">
                  <c:v>456.81546119092872</c:v>
                </c:pt>
                <c:pt idx="75">
                  <c:v>467.07097855581628</c:v>
                </c:pt>
                <c:pt idx="76">
                  <c:v>477.32169739068991</c:v>
                </c:pt>
                <c:pt idx="77">
                  <c:v>487.56773528894473</c:v>
                </c:pt>
                <c:pt idx="78">
                  <c:v>497.80920449787737</c:v>
                </c:pt>
                <c:pt idx="79">
                  <c:v>508.04621226907233</c:v>
                </c:pt>
                <c:pt idx="80">
                  <c:v>518.27886117907588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E56134FA-C911-4559-BD5E-963BE2961A8C}">
    <text>A recopier sur toutes les essences.
Correspond aux frais fixes d’entretien mécanique + répulsif gibier</text>
  </threadedComment>
  <threadedComment ref="E50" dT="2024-11-27T17:08:05.48" personId="{44BC7BF0-8157-4572-8E12-7E0C99523682}" id="{F7444D77-A071-4EF9-9E23-14F2A111CF51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F0D321F1-ADE7-4C90-B95F-1D62A56ACE79}">
    <text>A recopier sur toutes les essences.
Correspond aux frais fixes d’entretien mécanique + répulsif gibier</text>
  </threadedComment>
  <threadedComment ref="E80" dT="2024-11-27T17:07:34.75" personId="{44BC7BF0-8157-4572-8E12-7E0C99523682}" id="{F966D341-C6DF-46D6-AC80-C22AE0305586}">
    <text>A recopier sur toutes les essences.
Correspond aux frais fixes d’entretien mécanique + répulsif gibier</text>
  </threadedComment>
  <threadedComment ref="E81" dT="2024-11-27T17:08:05.48" personId="{44BC7BF0-8157-4572-8E12-7E0C99523682}" id="{91BDC29A-6E1C-496D-BFFE-B8703BA4D6C3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0515619F-86CE-4780-BB08-F34BDF48685B}">
    <text>A recopier sur toutes les essences.
Correspond aux frais fixes d’entretien mécanique + répulsif gibier</text>
  </threadedComment>
  <threadedComment ref="E111" dT="2024-11-27T17:07:34.75" personId="{44BC7BF0-8157-4572-8E12-7E0C99523682}" id="{5CBB967C-8FE4-4925-8723-BDFB0B45619E}">
    <text>A recopier sur toutes les essences.
Correspond aux frais fixes d’entretien mécanique + répulsif gibier</text>
  </threadedComment>
  <threadedComment ref="E112" dT="2024-11-27T17:08:05.48" personId="{44BC7BF0-8157-4572-8E12-7E0C99523682}" id="{ECCB2D01-2FDC-4A85-B502-3D84B4F7C216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5302212D-620B-4F13-8145-6A2CD084BA24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0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1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" zoomScale="80" zoomScaleNormal="80" workbookViewId="0">
      <selection activeCell="C9" sqref="C9:C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9" t="s">
        <v>2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4</v>
      </c>
      <c r="C3" s="271"/>
      <c r="D3" s="271"/>
      <c r="E3" s="271"/>
      <c r="F3" s="272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7</v>
      </c>
      <c r="B5" s="275"/>
      <c r="C5" s="24">
        <v>16.399999999999999</v>
      </c>
      <c r="D5" s="276" t="s">
        <v>8</v>
      </c>
      <c r="E5" s="277"/>
      <c r="F5" s="90"/>
      <c r="G5" s="218"/>
      <c r="H5" s="218"/>
      <c r="I5" s="218" t="s">
        <v>9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10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11</v>
      </c>
      <c r="C8" s="26" t="s">
        <v>12</v>
      </c>
      <c r="D8" s="27" t="s">
        <v>13</v>
      </c>
      <c r="E8" s="28" t="s">
        <v>14</v>
      </c>
      <c r="F8" s="29" t="s">
        <v>15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</v>
      </c>
      <c r="B9" s="31" t="s">
        <v>17</v>
      </c>
      <c r="C9" s="32">
        <v>0.5277947395863507</v>
      </c>
      <c r="D9" s="33">
        <f t="shared" ref="D9:D18" si="0">C9*$C$5</f>
        <v>8.65583372921615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18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19</v>
      </c>
      <c r="B10" s="31" t="s">
        <v>20</v>
      </c>
      <c r="C10" s="32">
        <v>0.3599733089084961</v>
      </c>
      <c r="D10" s="33">
        <f t="shared" si="0"/>
        <v>5.9035622660993354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21</v>
      </c>
      <c r="B11" s="31" t="s">
        <v>22</v>
      </c>
      <c r="C11" s="32">
        <v>7.7560975609756097E-2</v>
      </c>
      <c r="D11" s="33">
        <f t="shared" si="0"/>
        <v>1.2719999999999998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23</v>
      </c>
      <c r="B12" s="31" t="s">
        <v>24</v>
      </c>
      <c r="C12" s="32">
        <v>1.9390243902439024E-2</v>
      </c>
      <c r="D12" s="33">
        <f t="shared" si="0"/>
        <v>0.31799999999999995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25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27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28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29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30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31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32</v>
      </c>
      <c r="C19" s="37">
        <f>SUM(C9:C18)</f>
        <v>0.9847192680070419</v>
      </c>
      <c r="D19" s="38">
        <f>SUM(D9:D18)</f>
        <v>16.149395995315487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15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33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34</v>
      </c>
      <c r="B24" s="42" t="s">
        <v>35</v>
      </c>
      <c r="C24" s="43">
        <v>0</v>
      </c>
      <c r="D24" s="44" t="s">
        <v>36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37</v>
      </c>
      <c r="B25" s="42" t="s">
        <v>38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39</v>
      </c>
      <c r="B26" s="42" t="s">
        <v>40</v>
      </c>
      <c r="C26" s="43">
        <v>0.05</v>
      </c>
      <c r="D26" s="44" t="s">
        <v>41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42</v>
      </c>
      <c r="B27" s="42" t="s">
        <v>43</v>
      </c>
      <c r="C27" s="43">
        <v>0</v>
      </c>
      <c r="D27" s="44" t="s">
        <v>44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45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</v>
      </c>
      <c r="B32" s="47" t="str">
        <f>IF(B9="","",B9)</f>
        <v>Pin taeda</v>
      </c>
      <c r="D32" s="229" t="s">
        <v>46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47</v>
      </c>
      <c r="C34" s="265" t="s">
        <v>48</v>
      </c>
      <c r="D34" s="265"/>
      <c r="E34" s="266" t="s">
        <v>49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50</v>
      </c>
      <c r="B35" s="36" t="s">
        <v>51</v>
      </c>
      <c r="C35" s="48" t="s">
        <v>52</v>
      </c>
      <c r="D35" s="48" t="s">
        <v>53</v>
      </c>
      <c r="E35" s="36" t="s">
        <v>54</v>
      </c>
      <c r="F35" s="36" t="s">
        <v>55</v>
      </c>
      <c r="G35" s="36" t="s">
        <v>56</v>
      </c>
      <c r="H35" s="36" t="s">
        <v>57</v>
      </c>
      <c r="I35" s="48" t="s">
        <v>58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14</v>
      </c>
      <c r="B36" s="258">
        <v>108.18</v>
      </c>
      <c r="C36" s="258">
        <v>1</v>
      </c>
      <c r="D36" s="259">
        <v>34.25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7.7271428571428578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19</v>
      </c>
      <c r="B37" s="262">
        <v>183.77</v>
      </c>
      <c r="C37" s="262">
        <v>2</v>
      </c>
      <c r="D37" s="262">
        <v>59.5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21.968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25</v>
      </c>
      <c r="B38" s="262">
        <v>252.69</v>
      </c>
      <c r="C38" s="262">
        <v>3</v>
      </c>
      <c r="D38" s="262">
        <v>60.96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21.403333333333332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32</v>
      </c>
      <c r="B39" s="262">
        <v>335.76</v>
      </c>
      <c r="C39" s="262">
        <v>4</v>
      </c>
      <c r="D39" s="262">
        <v>76.42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20.575714285714287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45</v>
      </c>
      <c r="B40" s="262">
        <v>503.89</v>
      </c>
      <c r="C40" s="262">
        <v>5</v>
      </c>
      <c r="D40" s="262">
        <v>503.89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18.811538461538461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19</v>
      </c>
      <c r="B58" s="52" t="str">
        <f>IF(B10="","",B10)</f>
        <v>Pin laricio</v>
      </c>
      <c r="D58" s="229" t="s">
        <v>46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47</v>
      </c>
      <c r="C60" s="265" t="s">
        <v>48</v>
      </c>
      <c r="D60" s="265"/>
      <c r="E60" s="266" t="s">
        <v>49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50</v>
      </c>
      <c r="B61" s="36" t="s">
        <v>51</v>
      </c>
      <c r="C61" s="48" t="s">
        <v>52</v>
      </c>
      <c r="D61" s="48" t="s">
        <v>53</v>
      </c>
      <c r="E61" s="36" t="s">
        <v>54</v>
      </c>
      <c r="F61" s="36" t="s">
        <v>55</v>
      </c>
      <c r="G61" s="36" t="s">
        <v>56</v>
      </c>
      <c r="H61" s="36" t="s">
        <v>57</v>
      </c>
      <c r="I61" s="48" t="s">
        <v>58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118.6</v>
      </c>
      <c r="C62" s="60">
        <v>1</v>
      </c>
      <c r="D62" s="60">
        <v>50.02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4.7439999999999998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32</v>
      </c>
      <c r="B63" s="60">
        <v>161.16</v>
      </c>
      <c r="C63" s="60">
        <v>2</v>
      </c>
      <c r="D63" s="60">
        <v>45.68</v>
      </c>
      <c r="E63" s="51">
        <v>0.3</v>
      </c>
      <c r="F63" s="51">
        <v>0.5</v>
      </c>
      <c r="G63" s="51">
        <v>0</v>
      </c>
      <c r="H63" s="51">
        <v>0.2</v>
      </c>
      <c r="I63" s="49">
        <f>IF(A63&lt;&gt;0,(B63-(B62-D62))/(A63-A62),"")</f>
        <v>13.225714285714288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225.7</v>
      </c>
      <c r="C64" s="60">
        <v>3</v>
      </c>
      <c r="D64" s="60">
        <v>57.27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13.7775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301.06</v>
      </c>
      <c r="C65" s="60">
        <v>4</v>
      </c>
      <c r="D65" s="60">
        <v>69.17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13.263000000000002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350.41</v>
      </c>
      <c r="C66" s="60">
        <v>5</v>
      </c>
      <c r="D66" s="60">
        <v>63.69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11.852000000000004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389.11</v>
      </c>
      <c r="C67" s="60">
        <v>6</v>
      </c>
      <c r="D67" s="60">
        <v>69.790000000000006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10.238999999999999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400.15</v>
      </c>
      <c r="C68" s="60">
        <v>7</v>
      </c>
      <c r="D68" s="60">
        <v>400.15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8.0829999999999984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21</v>
      </c>
      <c r="B84" s="52" t="str">
        <f>IF(B11="","",B11)</f>
        <v>Chêne sessile</v>
      </c>
      <c r="D84" s="229" t="s">
        <v>46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47</v>
      </c>
      <c r="C86" s="265" t="s">
        <v>48</v>
      </c>
      <c r="D86" s="265"/>
      <c r="E86" s="266" t="s">
        <v>49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50</v>
      </c>
      <c r="B87" s="36" t="s">
        <v>51</v>
      </c>
      <c r="C87" s="48" t="s">
        <v>52</v>
      </c>
      <c r="D87" s="48" t="s">
        <v>53</v>
      </c>
      <c r="E87" s="36" t="s">
        <v>54</v>
      </c>
      <c r="F87" s="36" t="s">
        <v>55</v>
      </c>
      <c r="G87" s="36" t="s">
        <v>56</v>
      </c>
      <c r="H87" s="36" t="s">
        <v>57</v>
      </c>
      <c r="I87" s="48" t="s">
        <v>58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23</v>
      </c>
      <c r="B110" s="52" t="str">
        <f>IF(B12="","",B12)</f>
        <v>Charme</v>
      </c>
      <c r="D110" s="229" t="s">
        <v>46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47</v>
      </c>
      <c r="C112" s="265" t="s">
        <v>48</v>
      </c>
      <c r="D112" s="265"/>
      <c r="E112" s="266" t="s">
        <v>49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50</v>
      </c>
      <c r="B113" s="36" t="s">
        <v>51</v>
      </c>
      <c r="C113" s="48" t="s">
        <v>52</v>
      </c>
      <c r="D113" s="48" t="s">
        <v>53</v>
      </c>
      <c r="E113" s="36" t="s">
        <v>54</v>
      </c>
      <c r="F113" s="36" t="s">
        <v>55</v>
      </c>
      <c r="G113" s="36" t="s">
        <v>56</v>
      </c>
      <c r="H113" s="36" t="s">
        <v>57</v>
      </c>
      <c r="I113" s="48" t="s">
        <v>58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25</v>
      </c>
      <c r="B136" s="52" t="str">
        <f>IF(B13="","",B13)</f>
        <v/>
      </c>
      <c r="D136" s="229" t="s">
        <v>46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47</v>
      </c>
      <c r="C138" s="265" t="s">
        <v>48</v>
      </c>
      <c r="D138" s="265"/>
      <c r="E138" s="266" t="s">
        <v>49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50</v>
      </c>
      <c r="B139" s="36" t="s">
        <v>51</v>
      </c>
      <c r="C139" s="48" t="s">
        <v>52</v>
      </c>
      <c r="D139" s="48" t="s">
        <v>53</v>
      </c>
      <c r="E139" s="36" t="s">
        <v>54</v>
      </c>
      <c r="F139" s="36" t="s">
        <v>55</v>
      </c>
      <c r="G139" s="36" t="s">
        <v>56</v>
      </c>
      <c r="H139" s="36" t="s">
        <v>57</v>
      </c>
      <c r="I139" s="48" t="s">
        <v>58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27</v>
      </c>
      <c r="B162" s="52" t="str">
        <f>IF(B14="","",B14)</f>
        <v/>
      </c>
      <c r="D162" s="229" t="s">
        <v>46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47</v>
      </c>
      <c r="C164" s="265" t="s">
        <v>48</v>
      </c>
      <c r="D164" s="265"/>
      <c r="E164" s="266" t="s">
        <v>49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50</v>
      </c>
      <c r="B165" s="36" t="s">
        <v>51</v>
      </c>
      <c r="C165" s="48" t="s">
        <v>52</v>
      </c>
      <c r="D165" s="48" t="s">
        <v>53</v>
      </c>
      <c r="E165" s="36" t="s">
        <v>54</v>
      </c>
      <c r="F165" s="36" t="s">
        <v>55</v>
      </c>
      <c r="G165" s="36" t="s">
        <v>56</v>
      </c>
      <c r="H165" s="36" t="s">
        <v>57</v>
      </c>
      <c r="I165" s="48" t="s">
        <v>58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28</v>
      </c>
      <c r="B188" s="52" t="str">
        <f>IF(B15="","",B15)</f>
        <v/>
      </c>
      <c r="D188" s="229" t="s">
        <v>46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47</v>
      </c>
      <c r="C190" s="265" t="s">
        <v>48</v>
      </c>
      <c r="D190" s="265"/>
      <c r="E190" s="266" t="s">
        <v>49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50</v>
      </c>
      <c r="B191" s="36" t="s">
        <v>51</v>
      </c>
      <c r="C191" s="48" t="s">
        <v>52</v>
      </c>
      <c r="D191" s="48" t="s">
        <v>53</v>
      </c>
      <c r="E191" s="36" t="s">
        <v>54</v>
      </c>
      <c r="F191" s="36" t="s">
        <v>55</v>
      </c>
      <c r="G191" s="36" t="s">
        <v>56</v>
      </c>
      <c r="H191" s="36" t="s">
        <v>57</v>
      </c>
      <c r="I191" s="48" t="s">
        <v>58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29</v>
      </c>
      <c r="B214" s="52" t="str">
        <f>IF(B16="","",B16)</f>
        <v/>
      </c>
      <c r="D214" s="229" t="s">
        <v>46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47</v>
      </c>
      <c r="C216" s="265" t="s">
        <v>48</v>
      </c>
      <c r="D216" s="265"/>
      <c r="E216" s="266" t="s">
        <v>49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50</v>
      </c>
      <c r="B217" s="36" t="s">
        <v>51</v>
      </c>
      <c r="C217" s="48" t="s">
        <v>52</v>
      </c>
      <c r="D217" s="48" t="s">
        <v>53</v>
      </c>
      <c r="E217" s="36" t="s">
        <v>54</v>
      </c>
      <c r="F217" s="36" t="s">
        <v>55</v>
      </c>
      <c r="G217" s="36" t="s">
        <v>56</v>
      </c>
      <c r="H217" s="36" t="s">
        <v>57</v>
      </c>
      <c r="I217" s="48" t="s">
        <v>58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30</v>
      </c>
      <c r="B240" s="52" t="str">
        <f>IF(B17="","",B17)</f>
        <v/>
      </c>
      <c r="D240" s="229" t="s">
        <v>46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47</v>
      </c>
      <c r="C242" s="265" t="s">
        <v>48</v>
      </c>
      <c r="D242" s="265"/>
      <c r="E242" s="266" t="s">
        <v>49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50</v>
      </c>
      <c r="B243" s="36" t="s">
        <v>51</v>
      </c>
      <c r="C243" s="48" t="s">
        <v>52</v>
      </c>
      <c r="D243" s="48" t="s">
        <v>53</v>
      </c>
      <c r="E243" s="36" t="s">
        <v>54</v>
      </c>
      <c r="F243" s="36" t="s">
        <v>55</v>
      </c>
      <c r="G243" s="36" t="s">
        <v>56</v>
      </c>
      <c r="H243" s="36" t="s">
        <v>57</v>
      </c>
      <c r="I243" s="48" t="s">
        <v>58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31</v>
      </c>
      <c r="B266" s="52" t="str">
        <f>IF(B18="","",B18)</f>
        <v/>
      </c>
      <c r="D266" s="229" t="s">
        <v>46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47</v>
      </c>
      <c r="C268" s="265" t="s">
        <v>48</v>
      </c>
      <c r="D268" s="265"/>
      <c r="E268" s="266" t="s">
        <v>49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50</v>
      </c>
      <c r="B269" s="36" t="s">
        <v>51</v>
      </c>
      <c r="C269" s="48" t="s">
        <v>52</v>
      </c>
      <c r="D269" s="48" t="s">
        <v>53</v>
      </c>
      <c r="E269" s="36" t="s">
        <v>54</v>
      </c>
      <c r="F269" s="36" t="s">
        <v>55</v>
      </c>
      <c r="G269" s="36" t="s">
        <v>56</v>
      </c>
      <c r="H269" s="36" t="s">
        <v>57</v>
      </c>
      <c r="I269" s="48" t="s">
        <v>58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9" sqref="B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59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60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61</v>
      </c>
      <c r="C7" s="100" t="s">
        <v>62</v>
      </c>
      <c r="D7" s="215"/>
      <c r="E7" s="101"/>
      <c r="F7" s="26" t="s">
        <v>61</v>
      </c>
      <c r="G7" s="100" t="s">
        <v>63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64</v>
      </c>
      <c r="D8" s="23"/>
      <c r="E8" s="105">
        <v>4</v>
      </c>
      <c r="F8" s="61">
        <v>0</v>
      </c>
      <c r="G8" s="102" t="s">
        <v>65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66</v>
      </c>
      <c r="D9" s="23"/>
      <c r="E9" s="105">
        <v>5</v>
      </c>
      <c r="F9" s="61">
        <v>0</v>
      </c>
      <c r="G9" s="103" t="s">
        <v>67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68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69</v>
      </c>
      <c r="D13" s="216"/>
      <c r="E13" s="99"/>
      <c r="F13" s="107"/>
      <c r="G13" s="98" t="s">
        <v>70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71</v>
      </c>
      <c r="D14" s="216"/>
      <c r="E14" s="99"/>
      <c r="F14" s="107"/>
      <c r="G14" s="98" t="s">
        <v>72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61</v>
      </c>
      <c r="C15" s="4"/>
      <c r="D15" s="23"/>
      <c r="E15" s="4"/>
      <c r="F15" s="4"/>
      <c r="G15" s="2" t="s">
        <v>73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74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75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76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77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taeda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Pin laricio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sessile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Charme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78</v>
      </c>
      <c r="B2" s="72" t="s">
        <v>79</v>
      </c>
      <c r="C2" s="5" t="s">
        <v>80</v>
      </c>
      <c r="D2" s="5" t="s">
        <v>81</v>
      </c>
      <c r="E2" s="5" t="s">
        <v>82</v>
      </c>
      <c r="F2" s="5" t="s">
        <v>83</v>
      </c>
      <c r="G2" s="5" t="s">
        <v>84</v>
      </c>
      <c r="H2" s="66" t="s">
        <v>85</v>
      </c>
      <c r="I2" s="68" t="s">
        <v>82</v>
      </c>
      <c r="J2" s="69" t="s">
        <v>83</v>
      </c>
      <c r="K2" s="6" t="s">
        <v>86</v>
      </c>
      <c r="L2" s="6" t="s">
        <v>87</v>
      </c>
      <c r="M2" s="6" t="s">
        <v>87</v>
      </c>
      <c r="N2" s="6" t="s">
        <v>88</v>
      </c>
      <c r="O2" s="6" t="s">
        <v>89</v>
      </c>
      <c r="P2" s="6" t="s">
        <v>90</v>
      </c>
      <c r="Q2" s="6" t="s">
        <v>84</v>
      </c>
      <c r="R2" s="6" t="s">
        <v>91</v>
      </c>
      <c r="S2" s="6" t="s">
        <v>92</v>
      </c>
      <c r="T2" s="6" t="s">
        <v>93</v>
      </c>
      <c r="U2" s="7" t="s">
        <v>94</v>
      </c>
      <c r="V2" s="8" t="s">
        <v>95</v>
      </c>
      <c r="W2" s="7" t="s">
        <v>54</v>
      </c>
      <c r="X2" s="7" t="s">
        <v>55</v>
      </c>
      <c r="Y2" s="7" t="s">
        <v>96</v>
      </c>
      <c r="Z2" s="8" t="s">
        <v>97</v>
      </c>
      <c r="AA2" s="8" t="s">
        <v>98</v>
      </c>
      <c r="AB2" s="8" t="s">
        <v>99</v>
      </c>
      <c r="AC2" s="9" t="s">
        <v>100</v>
      </c>
      <c r="AD2" s="69" t="s">
        <v>82</v>
      </c>
      <c r="AE2" s="69" t="s">
        <v>83</v>
      </c>
      <c r="AF2" s="6" t="s">
        <v>86</v>
      </c>
      <c r="AG2" s="6" t="s">
        <v>87</v>
      </c>
      <c r="AH2" s="6" t="s">
        <v>87</v>
      </c>
      <c r="AI2" s="6" t="s">
        <v>88</v>
      </c>
      <c r="AJ2" s="6" t="s">
        <v>89</v>
      </c>
      <c r="AK2" s="6" t="s">
        <v>90</v>
      </c>
      <c r="AL2" s="6" t="s">
        <v>84</v>
      </c>
      <c r="AM2" s="6" t="s">
        <v>91</v>
      </c>
      <c r="AN2" s="6" t="s">
        <v>92</v>
      </c>
      <c r="AO2" s="6" t="s">
        <v>93</v>
      </c>
      <c r="AP2" s="7" t="s">
        <v>94</v>
      </c>
      <c r="AQ2" s="8" t="s">
        <v>95</v>
      </c>
      <c r="AR2" s="7" t="s">
        <v>54</v>
      </c>
      <c r="AS2" s="7" t="s">
        <v>55</v>
      </c>
      <c r="AT2" s="8" t="s">
        <v>101</v>
      </c>
      <c r="AU2" s="8" t="s">
        <v>97</v>
      </c>
      <c r="AV2" s="8" t="s">
        <v>98</v>
      </c>
      <c r="AW2" s="8" t="s">
        <v>99</v>
      </c>
      <c r="AX2" s="8" t="s">
        <v>100</v>
      </c>
      <c r="AY2" s="68" t="s">
        <v>82</v>
      </c>
      <c r="AZ2" s="69" t="s">
        <v>83</v>
      </c>
      <c r="BA2" s="6" t="s">
        <v>86</v>
      </c>
      <c r="BB2" s="6" t="s">
        <v>87</v>
      </c>
      <c r="BC2" s="6" t="s">
        <v>87</v>
      </c>
      <c r="BD2" s="6" t="s">
        <v>88</v>
      </c>
      <c r="BE2" s="6" t="s">
        <v>89</v>
      </c>
      <c r="BF2" s="6" t="s">
        <v>90</v>
      </c>
      <c r="BG2" s="6" t="s">
        <v>84</v>
      </c>
      <c r="BH2" s="6" t="s">
        <v>91</v>
      </c>
      <c r="BI2" s="6" t="s">
        <v>92</v>
      </c>
      <c r="BJ2" s="6" t="s">
        <v>93</v>
      </c>
      <c r="BK2" s="7" t="s">
        <v>94</v>
      </c>
      <c r="BL2" s="8" t="s">
        <v>95</v>
      </c>
      <c r="BM2" s="7" t="s">
        <v>54</v>
      </c>
      <c r="BN2" s="7" t="s">
        <v>55</v>
      </c>
      <c r="BO2" s="8" t="s">
        <v>101</v>
      </c>
      <c r="BP2" s="8" t="s">
        <v>97</v>
      </c>
      <c r="BQ2" s="8" t="s">
        <v>98</v>
      </c>
      <c r="BR2" s="8" t="s">
        <v>99</v>
      </c>
      <c r="BS2" s="9" t="s">
        <v>100</v>
      </c>
      <c r="BT2" s="68" t="s">
        <v>82</v>
      </c>
      <c r="BU2" s="69" t="s">
        <v>83</v>
      </c>
      <c r="BV2" s="6" t="s">
        <v>86</v>
      </c>
      <c r="BW2" s="6" t="s">
        <v>87</v>
      </c>
      <c r="BX2" s="6" t="s">
        <v>87</v>
      </c>
      <c r="BY2" s="6" t="s">
        <v>88</v>
      </c>
      <c r="BZ2" s="6" t="s">
        <v>89</v>
      </c>
      <c r="CA2" s="6" t="s">
        <v>90</v>
      </c>
      <c r="CB2" s="6" t="s">
        <v>84</v>
      </c>
      <c r="CC2" s="6" t="s">
        <v>91</v>
      </c>
      <c r="CD2" s="6" t="s">
        <v>92</v>
      </c>
      <c r="CE2" s="6" t="s">
        <v>93</v>
      </c>
      <c r="CF2" s="7" t="s">
        <v>94</v>
      </c>
      <c r="CG2" s="8" t="s">
        <v>95</v>
      </c>
      <c r="CH2" s="7" t="s">
        <v>54</v>
      </c>
      <c r="CI2" s="7" t="s">
        <v>55</v>
      </c>
      <c r="CJ2" s="8" t="s">
        <v>101</v>
      </c>
      <c r="CK2" s="8" t="s">
        <v>97</v>
      </c>
      <c r="CL2" s="8" t="s">
        <v>98</v>
      </c>
      <c r="CM2" s="8" t="s">
        <v>99</v>
      </c>
      <c r="CN2" s="9" t="s">
        <v>100</v>
      </c>
      <c r="CO2" s="68" t="s">
        <v>82</v>
      </c>
      <c r="CP2" s="69" t="s">
        <v>83</v>
      </c>
      <c r="CQ2" s="6" t="s">
        <v>86</v>
      </c>
      <c r="CR2" s="6" t="s">
        <v>87</v>
      </c>
      <c r="CS2" s="6" t="s">
        <v>87</v>
      </c>
      <c r="CT2" s="6" t="s">
        <v>88</v>
      </c>
      <c r="CU2" s="6" t="s">
        <v>89</v>
      </c>
      <c r="CV2" s="6" t="s">
        <v>90</v>
      </c>
      <c r="CW2" s="6" t="s">
        <v>84</v>
      </c>
      <c r="CX2" s="6" t="s">
        <v>91</v>
      </c>
      <c r="CY2" s="6" t="s">
        <v>92</v>
      </c>
      <c r="CZ2" s="6" t="s">
        <v>93</v>
      </c>
      <c r="DA2" s="7" t="s">
        <v>94</v>
      </c>
      <c r="DB2" s="8" t="s">
        <v>95</v>
      </c>
      <c r="DC2" s="7" t="s">
        <v>54</v>
      </c>
      <c r="DD2" s="7" t="s">
        <v>55</v>
      </c>
      <c r="DE2" s="8" t="s">
        <v>101</v>
      </c>
      <c r="DF2" s="8" t="s">
        <v>97</v>
      </c>
      <c r="DG2" s="8" t="s">
        <v>98</v>
      </c>
      <c r="DH2" s="8" t="s">
        <v>99</v>
      </c>
      <c r="DI2" s="9" t="s">
        <v>100</v>
      </c>
      <c r="DJ2" s="68" t="s">
        <v>82</v>
      </c>
      <c r="DK2" s="69" t="s">
        <v>83</v>
      </c>
      <c r="DL2" s="6" t="s">
        <v>86</v>
      </c>
      <c r="DM2" s="6" t="s">
        <v>87</v>
      </c>
      <c r="DN2" s="6" t="s">
        <v>87</v>
      </c>
      <c r="DO2" s="6" t="s">
        <v>88</v>
      </c>
      <c r="DP2" s="6" t="s">
        <v>89</v>
      </c>
      <c r="DQ2" s="6" t="s">
        <v>90</v>
      </c>
      <c r="DR2" s="6" t="s">
        <v>84</v>
      </c>
      <c r="DS2" s="6" t="s">
        <v>91</v>
      </c>
      <c r="DT2" s="6" t="s">
        <v>92</v>
      </c>
      <c r="DU2" s="6" t="s">
        <v>93</v>
      </c>
      <c r="DV2" s="7" t="s">
        <v>94</v>
      </c>
      <c r="DW2" s="8" t="s">
        <v>95</v>
      </c>
      <c r="DX2" s="7" t="s">
        <v>54</v>
      </c>
      <c r="DY2" s="7" t="s">
        <v>55</v>
      </c>
      <c r="DZ2" s="8" t="s">
        <v>101</v>
      </c>
      <c r="EA2" s="8" t="s">
        <v>97</v>
      </c>
      <c r="EB2" s="8" t="s">
        <v>98</v>
      </c>
      <c r="EC2" s="8" t="s">
        <v>99</v>
      </c>
      <c r="ED2" s="9" t="s">
        <v>100</v>
      </c>
      <c r="EE2" s="68" t="s">
        <v>82</v>
      </c>
      <c r="EF2" s="69" t="s">
        <v>83</v>
      </c>
      <c r="EG2" s="6" t="s">
        <v>86</v>
      </c>
      <c r="EH2" s="6" t="s">
        <v>87</v>
      </c>
      <c r="EI2" s="6" t="s">
        <v>87</v>
      </c>
      <c r="EJ2" s="6" t="s">
        <v>88</v>
      </c>
      <c r="EK2" s="6" t="s">
        <v>89</v>
      </c>
      <c r="EL2" s="6" t="s">
        <v>90</v>
      </c>
      <c r="EM2" s="6" t="s">
        <v>84</v>
      </c>
      <c r="EN2" s="6" t="s">
        <v>91</v>
      </c>
      <c r="EO2" s="6" t="s">
        <v>92</v>
      </c>
      <c r="EP2" s="6" t="s">
        <v>93</v>
      </c>
      <c r="EQ2" s="7" t="s">
        <v>94</v>
      </c>
      <c r="ER2" s="8" t="s">
        <v>95</v>
      </c>
      <c r="ES2" s="7" t="s">
        <v>54</v>
      </c>
      <c r="ET2" s="7" t="s">
        <v>55</v>
      </c>
      <c r="EU2" s="8" t="s">
        <v>101</v>
      </c>
      <c r="EV2" s="8" t="s">
        <v>97</v>
      </c>
      <c r="EW2" s="8" t="s">
        <v>98</v>
      </c>
      <c r="EX2" s="8" t="s">
        <v>99</v>
      </c>
      <c r="EY2" s="9" t="s">
        <v>100</v>
      </c>
      <c r="EZ2" s="68" t="s">
        <v>82</v>
      </c>
      <c r="FA2" s="69" t="s">
        <v>83</v>
      </c>
      <c r="FB2" s="6" t="s">
        <v>86</v>
      </c>
      <c r="FC2" s="6" t="s">
        <v>87</v>
      </c>
      <c r="FD2" s="6" t="s">
        <v>87</v>
      </c>
      <c r="FE2" s="6" t="s">
        <v>88</v>
      </c>
      <c r="FF2" s="6" t="s">
        <v>89</v>
      </c>
      <c r="FG2" s="6" t="s">
        <v>90</v>
      </c>
      <c r="FH2" s="6" t="s">
        <v>84</v>
      </c>
      <c r="FI2" s="6" t="s">
        <v>91</v>
      </c>
      <c r="FJ2" s="6" t="s">
        <v>92</v>
      </c>
      <c r="FK2" s="6" t="s">
        <v>93</v>
      </c>
      <c r="FL2" s="7" t="s">
        <v>94</v>
      </c>
      <c r="FM2" s="8" t="s">
        <v>95</v>
      </c>
      <c r="FN2" s="7" t="s">
        <v>54</v>
      </c>
      <c r="FO2" s="7" t="s">
        <v>55</v>
      </c>
      <c r="FP2" s="8" t="s">
        <v>102</v>
      </c>
      <c r="FQ2" s="8" t="s">
        <v>97</v>
      </c>
      <c r="FR2" s="8" t="s">
        <v>98</v>
      </c>
      <c r="FS2" s="8" t="s">
        <v>99</v>
      </c>
      <c r="FT2" s="9" t="s">
        <v>100</v>
      </c>
      <c r="FU2" s="68" t="s">
        <v>82</v>
      </c>
      <c r="FV2" s="69" t="s">
        <v>83</v>
      </c>
      <c r="FW2" s="6" t="s">
        <v>86</v>
      </c>
      <c r="FX2" s="6" t="s">
        <v>87</v>
      </c>
      <c r="FY2" s="6" t="s">
        <v>87</v>
      </c>
      <c r="FZ2" s="6" t="s">
        <v>88</v>
      </c>
      <c r="GA2" s="6" t="s">
        <v>89</v>
      </c>
      <c r="GB2" s="6" t="s">
        <v>90</v>
      </c>
      <c r="GC2" s="6" t="s">
        <v>84</v>
      </c>
      <c r="GD2" s="6" t="s">
        <v>91</v>
      </c>
      <c r="GE2" s="6" t="s">
        <v>92</v>
      </c>
      <c r="GF2" s="6" t="s">
        <v>93</v>
      </c>
      <c r="GG2" s="7" t="s">
        <v>94</v>
      </c>
      <c r="GH2" s="8" t="s">
        <v>95</v>
      </c>
      <c r="GI2" s="7" t="s">
        <v>54</v>
      </c>
      <c r="GJ2" s="7" t="s">
        <v>55</v>
      </c>
      <c r="GK2" s="8" t="s">
        <v>101</v>
      </c>
      <c r="GL2" s="8" t="s">
        <v>97</v>
      </c>
      <c r="GM2" s="8" t="s">
        <v>98</v>
      </c>
      <c r="GN2" s="8" t="s">
        <v>99</v>
      </c>
      <c r="GO2" s="8" t="s">
        <v>100</v>
      </c>
      <c r="GP2" s="68" t="s">
        <v>82</v>
      </c>
      <c r="GQ2" s="69" t="s">
        <v>83</v>
      </c>
      <c r="GR2" s="6" t="s">
        <v>86</v>
      </c>
      <c r="GS2" s="6" t="s">
        <v>87</v>
      </c>
      <c r="GT2" s="6" t="s">
        <v>87</v>
      </c>
      <c r="GU2" s="6" t="s">
        <v>88</v>
      </c>
      <c r="GV2" s="6" t="s">
        <v>89</v>
      </c>
      <c r="GW2" s="6" t="s">
        <v>90</v>
      </c>
      <c r="GX2" s="6" t="s">
        <v>84</v>
      </c>
      <c r="GY2" s="6" t="s">
        <v>91</v>
      </c>
      <c r="GZ2" s="6" t="s">
        <v>92</v>
      </c>
      <c r="HA2" s="6" t="s">
        <v>93</v>
      </c>
      <c r="HB2" s="7" t="s">
        <v>94</v>
      </c>
      <c r="HC2" s="8" t="s">
        <v>95</v>
      </c>
      <c r="HD2" s="7" t="s">
        <v>54</v>
      </c>
      <c r="HE2" s="7" t="s">
        <v>55</v>
      </c>
      <c r="HF2" s="8" t="s">
        <v>101</v>
      </c>
      <c r="HG2" s="8" t="s">
        <v>97</v>
      </c>
      <c r="HH2" s="8" t="s">
        <v>98</v>
      </c>
      <c r="HI2" s="8" t="s">
        <v>99</v>
      </c>
      <c r="HJ2" s="9" t="s">
        <v>100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297.34058997955685</v>
      </c>
      <c r="T3" s="59">
        <f>IF('Données projet'!E9&gt;30,$R$33-$H$33,LOOKUP('Données projet'!$E$9,$A$3:$A$203,R3:R203)-LOOKUP('Données projet'!$E$9,$A$3:$A$203,$H$3:$H$203))</f>
        <v>440.06633724144069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302.29526572690196</v>
      </c>
      <c r="AO3" s="59">
        <f>IF('Données projet'!E10&gt;30,$AM$33-$H$33,LOOKUP('Données projet'!$E$10,$A$3:$A$203,AM3:AM203)-LOOKUP('Données projet'!$E$10,$A$3:$A$203,$H$3:$H$203))</f>
        <v>234.86746802631617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627.65081154031589</v>
      </c>
      <c r="BJ3" s="59">
        <f>IF('Données projet'!E11&gt;30,$BH$33-$H$33,LOOKUP('Données projet'!$E$11,$A$3:$A$203,BH3:BH203)-LOOKUP('Données projet'!$E$11,$A$3:$A$203,$H$3:$H$203))</f>
        <v>288.78083487077618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655.36321433908199</v>
      </c>
      <c r="CE3" s="59">
        <f>IF('Données projet'!E12&gt;30,$CC$33-$H$33,LOOKUP('Données projet'!$E$12,$A$3:$A$203,CC3:CC203)-LOOKUP('Données projet'!$E$12,$A$3:$A$203,$H$3:$H$203))</f>
        <v>300.52980782068698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7.7271428571428578</v>
      </c>
      <c r="N4" s="13">
        <f>IF('Données projet'!$A$36&gt;35,N3+M4-V3,IF(A4&lt;'Données projet'!$A$36,$K$205^A4,IF(A4='Données projet'!$A$36,'Données projet'!$B$36,N3+M4-V3)))</f>
        <v>1.3973210857138749</v>
      </c>
      <c r="O4" s="13">
        <f>N4*VLOOKUP('Données projet'!$B$9,Paramètres!$A$1:$I$89,3,0)*VLOOKUP('Données projet'!$B$9,Paramètres!$A$1:$I$89,5,0)</f>
        <v>0.83559800925689731</v>
      </c>
      <c r="P4" s="13">
        <f>EXP(-1.0587+0.8836*LN(O4)+0.284)</f>
        <v>0.39321399318577704</v>
      </c>
      <c r="Q4" s="20">
        <f t="shared" ref="Q4:Q34" si="2">(O4+P4)*0.475*44/12</f>
        <v>2.1401809042543243</v>
      </c>
      <c r="R4" s="59">
        <f t="shared" si="0"/>
        <v>169.95261485717816</v>
      </c>
      <c r="S4" s="59">
        <f ca="1">AVERAGE(OFFSET($R$3,0,0,'Données projet'!$E$9+1,1))-AVERAGE(OFFSET($H$3,0,0,'Données projet'!$E$9+1,1))</f>
        <v>297.34058997955685</v>
      </c>
      <c r="T4" s="59">
        <f>$T$3</f>
        <v>440.06633724144069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4.7439999999999998</v>
      </c>
      <c r="AI4" s="13">
        <f>IF('Données projet'!$A$62&gt;35,AI3+AH4-AQ3,IF(A4&lt;'Données projet'!$A$62,$AF$205^A4,IF(A4='Données projet'!$A$62,'Données projet'!$B$62,AI3+AH4-AQ3)))</f>
        <v>1.2104960804879272</v>
      </c>
      <c r="AJ4" s="13">
        <f>AI4*VLOOKUP('Données projet'!$B$10,Paramètres!$A$1:$I$89,3,0)*VLOOKUP('Données projet'!$B$10,Paramètres!$A$1:$I$89,5,0)</f>
        <v>0.72387665613178054</v>
      </c>
      <c r="AK4" s="13">
        <f>EXP(-1.0587+0.8836*LN(AJ4)+0.284)</f>
        <v>0.34637910066862415</v>
      </c>
      <c r="AL4" s="20">
        <f t="shared" ref="AL4:AL67" si="4">(AJ4+AK4)*0.475*44/12</f>
        <v>1.8640287764273715</v>
      </c>
      <c r="AM4" s="59">
        <f t="shared" ref="AM4:AM67" si="5">AL4+(AD4+AE4)*44/12</f>
        <v>169.67646272935121</v>
      </c>
      <c r="AN4" s="59">
        <f ca="1">AVERAGE(OFFSET($AM$3,0,0,'Données projet'!$E$10+1,1))-AVERAGE(OFFSET($H$3,0,0,'Données projet'!$E$10+1,1))</f>
        <v>302.29526572690196</v>
      </c>
      <c r="AO4" s="59">
        <f>$AO$3</f>
        <v>234.86746802631617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3.5170868571428571</v>
      </c>
      <c r="BF4" s="13">
        <f>EXP(-1.0587+0.8836*LN(BE4)+0.284)</f>
        <v>1.400101260019349</v>
      </c>
      <c r="BG4" s="20">
        <f t="shared" ref="BG4:BG67" si="7">(BE4+BF4)*0.475*44/12</f>
        <v>8.5641026373908407</v>
      </c>
      <c r="BH4" s="59">
        <f t="shared" ref="BH4:BH67" si="8">BG4+(AY4+AZ4)*44/12</f>
        <v>176.37653659031469</v>
      </c>
      <c r="BI4" s="59">
        <f ca="1">AVERAGE(OFFSET($BH$3,0,0,'Données projet'!$E$11+1,1))-AVERAGE(OFFSET($H$3,0,0,'Données projet'!$E$11+1,1))</f>
        <v>627.65081154031589</v>
      </c>
      <c r="BJ4" s="59">
        <f>$BJ$3</f>
        <v>288.78083487077618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3.6990051428571427</v>
      </c>
      <c r="CA4" s="13">
        <f>EXP(-1.0587+0.8836*LN(BZ4)+0.284)</f>
        <v>1.4639016946999945</v>
      </c>
      <c r="CB4" s="20">
        <f t="shared" ref="CB4:CB67" si="10">(BZ4+CA4)*0.475*44/12</f>
        <v>8.9920627420786783</v>
      </c>
      <c r="CC4" s="59">
        <f t="shared" ref="CC4:CC67" si="11">CB4+(BT4+BU4)*44/12</f>
        <v>176.80449669500251</v>
      </c>
      <c r="CD4" s="59">
        <f ca="1">AVERAGE(OFFSET($CC$3,0,0,'Données projet'!$E$12+1,1))-AVERAGE(OFFSET($H$3,0,0,'Données projet'!$E$12+1,1))</f>
        <v>655.36321433908199</v>
      </c>
      <c r="CE4" s="59">
        <f>$CE$3</f>
        <v>300.52980782068698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7.7271428571428578</v>
      </c>
      <c r="N5" s="13">
        <f>IF('Données projet'!$A$36&gt;35,N4+M5-V4,IF(A5&lt;'Données projet'!$A$36,$K$205^A5,IF(A5='Données projet'!$A$36,'Données projet'!$B$36,N4+M5-V4)))</f>
        <v>1.9525062165806022</v>
      </c>
      <c r="O5" s="13">
        <f>N5*VLOOKUP('Données projet'!$B$9,Paramètres!$A$1:$I$89,3,0)*VLOOKUP('Données projet'!$B$9,Paramètres!$A$1:$I$89,5,0)</f>
        <v>1.1675987175152003</v>
      </c>
      <c r="P5" s="13">
        <f t="shared" ref="P5:P68" si="33">EXP(-1.0587+0.8836*LN(O5)+0.284)</f>
        <v>0.52846070284819757</v>
      </c>
      <c r="Q5" s="20">
        <f t="shared" si="2"/>
        <v>2.9539701571329178</v>
      </c>
      <c r="R5" s="59">
        <f t="shared" si="0"/>
        <v>173.55125144463375</v>
      </c>
      <c r="S5" s="59">
        <f ca="1">AVERAGE(OFFSET($R$3,0,0,'Données projet'!$E$9+1,1))-AVERAGE(OFFSET($H$3,0,0,'Données projet'!$E$9+1,1))</f>
        <v>297.34058997955685</v>
      </c>
      <c r="T5" s="59">
        <f t="shared" ref="T5:T68" si="34">$T$3</f>
        <v>440.06633724144069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4.7439999999999998</v>
      </c>
      <c r="AI5" s="13">
        <f>IF('Données projet'!$A$62&gt;35,AI4+AH5-AQ4,IF(A5&lt;'Données projet'!$A$62,$AF$205^A5,IF(A5='Données projet'!$A$62,'Données projet'!$B$62,AI4+AH5-AQ4)))</f>
        <v>1.4653007608766344</v>
      </c>
      <c r="AJ5" s="13">
        <f>AI5*VLOOKUP('Données projet'!$B$10,Paramètres!$A$1:$I$89,3,0)*VLOOKUP('Données projet'!$B$10,Paramètres!$A$1:$I$89,5,0)</f>
        <v>0.87624985500422747</v>
      </c>
      <c r="AK5" s="13">
        <f t="shared" ref="AK5:AK68" si="35">EXP(-1.0587+0.8836*LN(AJ5)+0.284)</f>
        <v>0.41007012398625681</v>
      </c>
      <c r="AL5" s="20">
        <f t="shared" si="4"/>
        <v>2.2403406300750932</v>
      </c>
      <c r="AM5" s="59">
        <f t="shared" si="5"/>
        <v>172.83762191757592</v>
      </c>
      <c r="AN5" s="59">
        <f ca="1">AVERAGE(OFFSET($AM$3,0,0,'Données projet'!$E$10+1,1))-AVERAGE(OFFSET($H$3,0,0,'Données projet'!$E$10+1,1))</f>
        <v>302.29526572690196</v>
      </c>
      <c r="AO5" s="59">
        <f t="shared" ref="AO5:AO68" si="36">$AO$3</f>
        <v>234.86746802631617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7.0341737142857141</v>
      </c>
      <c r="BF5" s="13">
        <f t="shared" ref="BF5:BF68" si="37">EXP(-1.0587+0.8836*LN(BE5)+0.284)</f>
        <v>2.5831495528484112</v>
      </c>
      <c r="BG5" s="20">
        <f t="shared" si="7"/>
        <v>16.750171356925268</v>
      </c>
      <c r="BH5" s="59">
        <f t="shared" si="8"/>
        <v>187.34745264442611</v>
      </c>
      <c r="BI5" s="59">
        <f ca="1">AVERAGE(OFFSET($BH$3,0,0,'Données projet'!$E$11+1,1))-AVERAGE(OFFSET($H$3,0,0,'Données projet'!$E$11+1,1))</f>
        <v>627.65081154031589</v>
      </c>
      <c r="BJ5" s="59">
        <f t="shared" ref="BJ5:BJ68" si="38">$BJ$3</f>
        <v>288.78083487077618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7.3980102857142853</v>
      </c>
      <c r="CA5" s="13">
        <f t="shared" ref="CA5:CA68" si="39">EXP(-1.0587+0.8836*LN(BZ5)+0.284)</f>
        <v>2.7008596564123262</v>
      </c>
      <c r="CB5" s="20">
        <f t="shared" si="10"/>
        <v>17.588865149203851</v>
      </c>
      <c r="CC5" s="59">
        <f t="shared" si="11"/>
        <v>188.18614643670469</v>
      </c>
      <c r="CD5" s="59">
        <f ca="1">AVERAGE(OFFSET($CC$3,0,0,'Données projet'!$E$12+1,1))-AVERAGE(OFFSET($H$3,0,0,'Données projet'!$E$12+1,1))</f>
        <v>655.36321433908199</v>
      </c>
      <c r="CE5" s="59">
        <f t="shared" ref="CE5:CE68" si="40">$CE$3</f>
        <v>300.52980782068698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7.7271428571428578</v>
      </c>
      <c r="N6" s="13">
        <f>IF('Données projet'!$A$36&gt;35,N5+M6-V5,IF(A6&lt;'Données projet'!$A$36,$K$205^A6,IF(A6='Données projet'!$A$36,'Données projet'!$B$36,N5+M6-V5)))</f>
        <v>2.7282781064154973</v>
      </c>
      <c r="O6" s="13">
        <f>N6*VLOOKUP('Données projet'!$B$9,Paramètres!$A$1:$I$89,3,0)*VLOOKUP('Données projet'!$B$9,Paramètres!$A$1:$I$89,5,0)</f>
        <v>1.6315103076364676</v>
      </c>
      <c r="P6" s="13">
        <f t="shared" si="33"/>
        <v>0.71022577856955182</v>
      </c>
      <c r="Q6" s="20">
        <f t="shared" si="2"/>
        <v>4.0785236834754839</v>
      </c>
      <c r="R6" s="59">
        <f t="shared" si="0"/>
        <v>177.43354425336037</v>
      </c>
      <c r="S6" s="59">
        <f ca="1">AVERAGE(OFFSET($R$3,0,0,'Données projet'!$E$9+1,1))-AVERAGE(OFFSET($H$3,0,0,'Données projet'!$E$9+1,1))</f>
        <v>297.34058997955685</v>
      </c>
      <c r="T6" s="59">
        <f t="shared" si="34"/>
        <v>440.06633724144069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4.7439999999999998</v>
      </c>
      <c r="AI6" s="13">
        <f>IF('Données projet'!$A$62&gt;35,AI5+AH6-AQ5,IF(A6&lt;'Données projet'!$A$62,$AF$205^A6,IF(A6='Données projet'!$A$62,'Données projet'!$B$62,AI5+AH6-AQ5)))</f>
        <v>1.7737408277771434</v>
      </c>
      <c r="AJ6" s="13">
        <f>AI6*VLOOKUP('Données projet'!$B$10,Paramètres!$A$1:$I$89,3,0)*VLOOKUP('Données projet'!$B$10,Paramètres!$A$1:$I$89,5,0)</f>
        <v>1.0606970150107318</v>
      </c>
      <c r="AK6" s="13">
        <f t="shared" si="35"/>
        <v>0.48547243832409476</v>
      </c>
      <c r="AL6" s="20">
        <f t="shared" si="4"/>
        <v>2.6929117978914889</v>
      </c>
      <c r="AM6" s="59">
        <f t="shared" si="5"/>
        <v>176.04793236777638</v>
      </c>
      <c r="AN6" s="59">
        <f ca="1">AVERAGE(OFFSET($AM$3,0,0,'Données projet'!$E$10+1,1))-AVERAGE(OFFSET($H$3,0,0,'Données projet'!$E$10+1,1))</f>
        <v>302.29526572690196</v>
      </c>
      <c r="AO6" s="59">
        <f t="shared" si="36"/>
        <v>234.86746802631617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10.551260571428571</v>
      </c>
      <c r="BF6" s="13">
        <f t="shared" si="37"/>
        <v>3.6961006326523931</v>
      </c>
      <c r="BG6" s="20">
        <f t="shared" si="7"/>
        <v>24.814154097107675</v>
      </c>
      <c r="BH6" s="59">
        <f t="shared" si="8"/>
        <v>198.16917466699255</v>
      </c>
      <c r="BI6" s="59">
        <f ca="1">AVERAGE(OFFSET($BH$3,0,0,'Données projet'!$E$11+1,1))-AVERAGE(OFFSET($H$3,0,0,'Données projet'!$E$11+1,1))</f>
        <v>627.65081154031589</v>
      </c>
      <c r="BJ6" s="59">
        <f t="shared" si="38"/>
        <v>288.78083487077618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11.097015428571428</v>
      </c>
      <c r="CA6" s="13">
        <f t="shared" si="39"/>
        <v>3.8645261842324077</v>
      </c>
      <c r="CB6" s="20">
        <f t="shared" si="10"/>
        <v>26.05801830896668</v>
      </c>
      <c r="CC6" s="59">
        <f t="shared" si="11"/>
        <v>199.41303887885158</v>
      </c>
      <c r="CD6" s="59">
        <f ca="1">AVERAGE(OFFSET($CC$3,0,0,'Données projet'!$E$12+1,1))-AVERAGE(OFFSET($H$3,0,0,'Données projet'!$E$12+1,1))</f>
        <v>655.36321433908199</v>
      </c>
      <c r="CE6" s="59">
        <f t="shared" si="40"/>
        <v>300.52980782068698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7.7271428571428578</v>
      </c>
      <c r="N7" s="13">
        <f>IF('Données projet'!$A$36&gt;35,N6+M7-V6,IF(A7&lt;'Données projet'!$A$36,$K$205^A7,IF(A7='Données projet'!$A$36,'Données projet'!$B$36,N6+M7-V6)))</f>
        <v>3.8122805257858974</v>
      </c>
      <c r="O7" s="13">
        <f>N7*VLOOKUP('Données projet'!$B$9,Paramètres!$A$1:$I$89,3,0)*VLOOKUP('Données projet'!$B$9,Paramètres!$A$1:$I$89,5,0)</f>
        <v>2.2797437544199668</v>
      </c>
      <c r="P7" s="13">
        <f t="shared" si="33"/>
        <v>0.95450930187636462</v>
      </c>
      <c r="Q7" s="20">
        <f t="shared" si="2"/>
        <v>5.632990739716111</v>
      </c>
      <c r="R7" s="59">
        <f t="shared" si="0"/>
        <v>181.71911280389307</v>
      </c>
      <c r="S7" s="59">
        <f ca="1">AVERAGE(OFFSET($R$3,0,0,'Données projet'!$E$9+1,1))-AVERAGE(OFFSET($H$3,0,0,'Données projet'!$E$9+1,1))</f>
        <v>297.34058997955685</v>
      </c>
      <c r="T7" s="59">
        <f t="shared" si="34"/>
        <v>440.06633724144069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4.7439999999999998</v>
      </c>
      <c r="AI7" s="13">
        <f>IF('Données projet'!$A$62&gt;35,AI6+AH7-AQ6,IF(A7&lt;'Données projet'!$A$62,$AF$205^A7,IF(A7='Données projet'!$A$62,'Données projet'!$B$62,AI6+AH7-AQ6)))</f>
        <v>2.1471063198256437</v>
      </c>
      <c r="AJ7" s="13">
        <f>AI7*VLOOKUP('Données projet'!$B$10,Paramètres!$A$1:$I$89,3,0)*VLOOKUP('Données projet'!$B$10,Paramètres!$A$1:$I$89,5,0)</f>
        <v>1.2839695792557351</v>
      </c>
      <c r="AK7" s="13">
        <f t="shared" si="35"/>
        <v>0.5747394764614473</v>
      </c>
      <c r="AL7" s="20">
        <f t="shared" si="4"/>
        <v>3.2372516053740923</v>
      </c>
      <c r="AM7" s="59">
        <f t="shared" si="5"/>
        <v>179.32337366955105</v>
      </c>
      <c r="AN7" s="59">
        <f ca="1">AVERAGE(OFFSET($AM$3,0,0,'Données projet'!$E$10+1,1))-AVERAGE(OFFSET($H$3,0,0,'Données projet'!$E$10+1,1))</f>
        <v>302.29526572690196</v>
      </c>
      <c r="AO7" s="59">
        <f t="shared" si="36"/>
        <v>234.86746802631617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14.068347428571428</v>
      </c>
      <c r="BF7" s="13">
        <f t="shared" si="37"/>
        <v>4.7658421593654818</v>
      </c>
      <c r="BG7" s="20">
        <f t="shared" si="7"/>
        <v>32.802880198990124</v>
      </c>
      <c r="BH7" s="59">
        <f t="shared" si="8"/>
        <v>208.88900226316707</v>
      </c>
      <c r="BI7" s="59">
        <f ca="1">AVERAGE(OFFSET($BH$3,0,0,'Données projet'!$E$11+1,1))-AVERAGE(OFFSET($H$3,0,0,'Données projet'!$E$11+1,1))</f>
        <v>627.65081154031589</v>
      </c>
      <c r="BJ7" s="59">
        <f t="shared" si="38"/>
        <v>288.78083487077618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14.796020571428571</v>
      </c>
      <c r="CA7" s="13">
        <f t="shared" si="39"/>
        <v>4.9830141668977559</v>
      </c>
      <c r="CB7" s="20">
        <f t="shared" si="10"/>
        <v>34.448485502585022</v>
      </c>
      <c r="CC7" s="59">
        <f t="shared" si="11"/>
        <v>210.53460756676196</v>
      </c>
      <c r="CD7" s="59">
        <f ca="1">AVERAGE(OFFSET($CC$3,0,0,'Données projet'!$E$12+1,1))-AVERAGE(OFFSET($H$3,0,0,'Données projet'!$E$12+1,1))</f>
        <v>655.36321433908199</v>
      </c>
      <c r="CE7" s="59">
        <f t="shared" si="40"/>
        <v>300.52980782068698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7.7271428571428578</v>
      </c>
      <c r="N8" s="13">
        <f>IF('Données projet'!$A$36&gt;35,N7+M8-V7,IF(A8&lt;'Données projet'!$A$36,$K$205^A8,IF(A8='Données projet'!$A$36,'Données projet'!$B$36,N7+M8-V7)))</f>
        <v>5.3269799633370116</v>
      </c>
      <c r="O8" s="13">
        <f>N8*VLOOKUP('Données projet'!$B$9,Paramètres!$A$1:$I$89,3,0)*VLOOKUP('Données projet'!$B$9,Paramètres!$A$1:$I$89,5,0)</f>
        <v>3.1855340180755332</v>
      </c>
      <c r="P8" s="13">
        <f t="shared" si="33"/>
        <v>1.2828146131269762</v>
      </c>
      <c r="Q8" s="20">
        <f t="shared" si="2"/>
        <v>7.7823738660110378</v>
      </c>
      <c r="R8" s="59">
        <f t="shared" si="0"/>
        <v>186.57342174245838</v>
      </c>
      <c r="S8" s="59">
        <f ca="1">AVERAGE(OFFSET($R$3,0,0,'Données projet'!$E$9+1,1))-AVERAGE(OFFSET($H$3,0,0,'Données projet'!$E$9+1,1))</f>
        <v>297.34058997955685</v>
      </c>
      <c r="T8" s="59">
        <f t="shared" si="34"/>
        <v>440.06633724144069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4.7439999999999998</v>
      </c>
      <c r="AI8" s="13">
        <f>IF('Données projet'!$A$62&gt;35,AI7+AH8-AQ7,IF(A8&lt;'Données projet'!$A$62,$AF$205^A8,IF(A8='Données projet'!$A$62,'Données projet'!$B$62,AI7+AH8-AQ7)))</f>
        <v>2.5990637845397995</v>
      </c>
      <c r="AJ8" s="13">
        <f>AI8*VLOOKUP('Données projet'!$B$10,Paramètres!$A$1:$I$89,3,0)*VLOOKUP('Données projet'!$B$10,Paramètres!$A$1:$I$89,5,0)</f>
        <v>1.5542401431548003</v>
      </c>
      <c r="AK8" s="13">
        <f t="shared" si="35"/>
        <v>0.68042063714986378</v>
      </c>
      <c r="AL8" s="20">
        <f t="shared" si="4"/>
        <v>3.8920341923639565</v>
      </c>
      <c r="AM8" s="59">
        <f t="shared" si="5"/>
        <v>182.6830820688113</v>
      </c>
      <c r="AN8" s="59">
        <f ca="1">AVERAGE(OFFSET($AM$3,0,0,'Données projet'!$E$10+1,1))-AVERAGE(OFFSET($H$3,0,0,'Données projet'!$E$10+1,1))</f>
        <v>302.29526572690196</v>
      </c>
      <c r="AO8" s="59">
        <f t="shared" si="36"/>
        <v>234.86746802631617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17.585434285714282</v>
      </c>
      <c r="BF8" s="13">
        <f t="shared" si="37"/>
        <v>5.804560501905633</v>
      </c>
      <c r="BG8" s="20">
        <f t="shared" si="7"/>
        <v>40.737574255104683</v>
      </c>
      <c r="BH8" s="59">
        <f t="shared" si="8"/>
        <v>219.52862213155203</v>
      </c>
      <c r="BI8" s="59">
        <f ca="1">AVERAGE(OFFSET($BH$3,0,0,'Données projet'!$E$11+1,1))-AVERAGE(OFFSET($H$3,0,0,'Données projet'!$E$11+1,1))</f>
        <v>627.65081154031589</v>
      </c>
      <c r="BJ8" s="59">
        <f t="shared" si="38"/>
        <v>288.78083487077618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18.495025714285713</v>
      </c>
      <c r="CA8" s="13">
        <f t="shared" si="39"/>
        <v>6.0690652871856443</v>
      </c>
      <c r="CB8" s="20">
        <f t="shared" si="10"/>
        <v>42.782458494229274</v>
      </c>
      <c r="CC8" s="59">
        <f t="shared" si="11"/>
        <v>221.57350637067663</v>
      </c>
      <c r="CD8" s="59">
        <f ca="1">AVERAGE(OFFSET($CC$3,0,0,'Données projet'!$E$12+1,1))-AVERAGE(OFFSET($H$3,0,0,'Données projet'!$E$12+1,1))</f>
        <v>655.36321433908199</v>
      </c>
      <c r="CE8" s="59">
        <f t="shared" si="40"/>
        <v>300.52980782068698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7.7271428571428578</v>
      </c>
      <c r="N9" s="13">
        <f>IF('Données projet'!$A$36&gt;35,N8+M9-V8,IF(A9&lt;'Données projet'!$A$36,$K$205^A9,IF(A9='Données projet'!$A$36,'Données projet'!$B$36,N8+M9-V8)))</f>
        <v>7.4435014259461312</v>
      </c>
      <c r="O9" s="13">
        <f>N9*VLOOKUP('Données projet'!$B$9,Paramètres!$A$1:$I$89,3,0)*VLOOKUP('Données projet'!$B$9,Paramètres!$A$1:$I$89,5,0)</f>
        <v>4.451213852715787</v>
      </c>
      <c r="P9" s="13">
        <f t="shared" si="33"/>
        <v>1.7240411679772885</v>
      </c>
      <c r="Q9" s="20">
        <f t="shared" si="2"/>
        <v>10.755235827707105</v>
      </c>
      <c r="R9" s="59">
        <f t="shared" si="0"/>
        <v>192.22548792396609</v>
      </c>
      <c r="S9" s="59">
        <f ca="1">AVERAGE(OFFSET($R$3,0,0,'Données projet'!$E$9+1,1))-AVERAGE(OFFSET($H$3,0,0,'Données projet'!$E$9+1,1))</f>
        <v>297.34058997955685</v>
      </c>
      <c r="T9" s="59">
        <f t="shared" si="34"/>
        <v>440.06633724144069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4.7439999999999998</v>
      </c>
      <c r="AI9" s="13">
        <f>IF('Données projet'!$A$62&gt;35,AI8+AH9-AQ8,IF(A9&lt;'Données projet'!$A$62,$AF$205^A9,IF(A9='Données projet'!$A$62,'Données projet'!$B$62,AI8+AH9-AQ8)))</f>
        <v>3.1461565241235463</v>
      </c>
      <c r="AJ9" s="13">
        <f>AI9*VLOOKUP('Données projet'!$B$10,Paramètres!$A$1:$I$89,3,0)*VLOOKUP('Données projet'!$B$10,Paramètres!$A$1:$I$89,5,0)</f>
        <v>1.8814016014258808</v>
      </c>
      <c r="AK9" s="13">
        <f t="shared" si="35"/>
        <v>0.80553409400351517</v>
      </c>
      <c r="AL9" s="20">
        <f t="shared" si="4"/>
        <v>4.6797463362061977</v>
      </c>
      <c r="AM9" s="59">
        <f t="shared" si="5"/>
        <v>186.14999843246517</v>
      </c>
      <c r="AN9" s="59">
        <f ca="1">AVERAGE(OFFSET($AM$3,0,0,'Données projet'!$E$10+1,1))-AVERAGE(OFFSET($H$3,0,0,'Données projet'!$E$10+1,1))</f>
        <v>302.29526572690196</v>
      </c>
      <c r="AO9" s="59">
        <f t="shared" si="36"/>
        <v>234.86746802631617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21.102521142857139</v>
      </c>
      <c r="BF9" s="13">
        <f t="shared" si="37"/>
        <v>6.8192072738987575</v>
      </c>
      <c r="BG9" s="20">
        <f t="shared" si="7"/>
        <v>48.630343659183183</v>
      </c>
      <c r="BH9" s="59">
        <f t="shared" si="8"/>
        <v>230.10059575544216</v>
      </c>
      <c r="BI9" s="59">
        <f ca="1">AVERAGE(OFFSET($BH$3,0,0,'Données projet'!$E$11+1,1))-AVERAGE(OFFSET($H$3,0,0,'Données projet'!$E$11+1,1))</f>
        <v>627.65081154031589</v>
      </c>
      <c r="BJ9" s="59">
        <f t="shared" si="38"/>
        <v>288.78083487077618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22.194030857142852</v>
      </c>
      <c r="CA9" s="13">
        <f t="shared" si="39"/>
        <v>7.1299479329323407</v>
      </c>
      <c r="CB9" s="20">
        <f t="shared" si="10"/>
        <v>51.072596392714296</v>
      </c>
      <c r="CC9" s="59">
        <f t="shared" si="11"/>
        <v>232.54284848897328</v>
      </c>
      <c r="CD9" s="59">
        <f ca="1">AVERAGE(OFFSET($CC$3,0,0,'Données projet'!$E$12+1,1))-AVERAGE(OFFSET($H$3,0,0,'Données projet'!$E$12+1,1))</f>
        <v>655.36321433908199</v>
      </c>
      <c r="CE9" s="59">
        <f t="shared" si="40"/>
        <v>300.52980782068698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7.7271428571428578</v>
      </c>
      <c r="N10" s="13">
        <f>IF('Données projet'!$A$36&gt;35,N9+M10-V9,IF(A10&lt;'Données projet'!$A$36,$K$205^A10,IF(A10='Données projet'!$A$36,'Données projet'!$B$36,N9+M10-V9)))</f>
        <v>10.400961494015824</v>
      </c>
      <c r="O10" s="13">
        <f>N10*VLOOKUP('Données projet'!$B$9,Paramètres!$A$1:$I$89,3,0)*VLOOKUP('Données projet'!$B$9,Paramètres!$A$1:$I$89,5,0)</f>
        <v>6.2197749734214636</v>
      </c>
      <c r="P10" s="13">
        <f t="shared" si="33"/>
        <v>2.3170284454705419</v>
      </c>
      <c r="Q10" s="20">
        <f t="shared" si="2"/>
        <v>14.868265954570242</v>
      </c>
      <c r="R10" s="59">
        <f t="shared" si="0"/>
        <v>198.99244689030647</v>
      </c>
      <c r="S10" s="59">
        <f ca="1">AVERAGE(OFFSET($R$3,0,0,'Données projet'!$E$9+1,1))-AVERAGE(OFFSET($H$3,0,0,'Données projet'!$E$9+1,1))</f>
        <v>297.34058997955685</v>
      </c>
      <c r="T10" s="59">
        <f t="shared" si="34"/>
        <v>440.06633724144069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4.7439999999999998</v>
      </c>
      <c r="AI10" s="13">
        <f>IF('Données projet'!$A$62&gt;35,AI9+AH10-AQ9,IF(A10&lt;'Données projet'!$A$62,$AF$205^A10,IF(A10='Données projet'!$A$62,'Données projet'!$B$62,AI9+AH10-AQ9)))</f>
        <v>3.8084101410530731</v>
      </c>
      <c r="AJ10" s="13">
        <f>AI10*VLOOKUP('Données projet'!$B$10,Paramètres!$A$1:$I$89,3,0)*VLOOKUP('Données projet'!$B$10,Paramètres!$A$1:$I$89,5,0)</f>
        <v>2.2774292643497378</v>
      </c>
      <c r="AK10" s="13">
        <f t="shared" si="35"/>
        <v>0.95365299224330546</v>
      </c>
      <c r="AL10" s="20">
        <f t="shared" si="4"/>
        <v>5.6274682635662172</v>
      </c>
      <c r="AM10" s="59">
        <f t="shared" si="5"/>
        <v>189.75164919930245</v>
      </c>
      <c r="AN10" s="59">
        <f ca="1">AVERAGE(OFFSET($AM$3,0,0,'Données projet'!$E$10+1,1))-AVERAGE(OFFSET($H$3,0,0,'Données projet'!$E$10+1,1))</f>
        <v>302.29526572690196</v>
      </c>
      <c r="AO10" s="59">
        <f t="shared" si="36"/>
        <v>234.86746802631617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24.619607999999992</v>
      </c>
      <c r="BF10" s="13">
        <f t="shared" si="37"/>
        <v>7.8142639118614152</v>
      </c>
      <c r="BG10" s="20">
        <f t="shared" si="7"/>
        <v>56.488993579825284</v>
      </c>
      <c r="BH10" s="59">
        <f t="shared" si="8"/>
        <v>240.61317451556152</v>
      </c>
      <c r="BI10" s="59">
        <f ca="1">AVERAGE(OFFSET($BH$3,0,0,'Données projet'!$E$11+1,1))-AVERAGE(OFFSET($H$3,0,0,'Données projet'!$E$11+1,1))</f>
        <v>627.65081154031589</v>
      </c>
      <c r="BJ10" s="59">
        <f t="shared" si="38"/>
        <v>288.78083487077618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25.893035999999995</v>
      </c>
      <c r="CA10" s="13">
        <f t="shared" si="39"/>
        <v>8.1703477527395769</v>
      </c>
      <c r="CB10" s="20">
        <f t="shared" si="10"/>
        <v>59.327060036021408</v>
      </c>
      <c r="CC10" s="59">
        <f t="shared" si="11"/>
        <v>243.45124097175764</v>
      </c>
      <c r="CD10" s="59">
        <f ca="1">AVERAGE(OFFSET($CC$3,0,0,'Données projet'!$E$12+1,1))-AVERAGE(OFFSET($H$3,0,0,'Données projet'!$E$12+1,1))</f>
        <v>655.36321433908199</v>
      </c>
      <c r="CE10" s="59">
        <f t="shared" si="40"/>
        <v>300.52980782068698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7.7271428571428578</v>
      </c>
      <c r="N11" s="13">
        <f>IF('Données projet'!$A$36&gt;35,N10+M11-V10,IF(A11&lt;'Données projet'!$A$36,$K$205^A11,IF(A11='Données projet'!$A$36,'Données projet'!$B$36,N10+M11-V10)))</f>
        <v>14.533482807286399</v>
      </c>
      <c r="O11" s="13">
        <f>N11*VLOOKUP('Données projet'!$B$9,Paramètres!$A$1:$I$89,3,0)*VLOOKUP('Données projet'!$B$9,Paramètres!$A$1:$I$89,5,0)</f>
        <v>8.6910227187572673</v>
      </c>
      <c r="P11" s="13">
        <f t="shared" si="33"/>
        <v>3.1139748382101038</v>
      </c>
      <c r="Q11" s="20">
        <f t="shared" si="2"/>
        <v>20.560370745051507</v>
      </c>
      <c r="R11" s="59">
        <f t="shared" si="0"/>
        <v>207.31364361127206</v>
      </c>
      <c r="S11" s="59">
        <f ca="1">AVERAGE(OFFSET($R$3,0,0,'Données projet'!$E$9+1,1))-AVERAGE(OFFSET($H$3,0,0,'Données projet'!$E$9+1,1))</f>
        <v>297.34058997955685</v>
      </c>
      <c r="T11" s="59">
        <f t="shared" si="34"/>
        <v>440.06633724144069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4.7439999999999998</v>
      </c>
      <c r="AI11" s="13">
        <f>IF('Données projet'!$A$62&gt;35,AI10+AH11-AQ10,IF(A11&lt;'Données projet'!$A$62,$AF$205^A11,IF(A11='Données projet'!$A$62,'Données projet'!$B$62,AI10+AH11-AQ10)))</f>
        <v>4.6100655486352196</v>
      </c>
      <c r="AJ11" s="13">
        <f>AI11*VLOOKUP('Données projet'!$B$10,Paramètres!$A$1:$I$89,3,0)*VLOOKUP('Données projet'!$B$10,Paramètres!$A$1:$I$89,5,0)</f>
        <v>2.7568191980838614</v>
      </c>
      <c r="AK11" s="13">
        <f t="shared" si="35"/>
        <v>1.1290074950082019</v>
      </c>
      <c r="AL11" s="20">
        <f t="shared" si="4"/>
        <v>6.7678148238020102</v>
      </c>
      <c r="AM11" s="59">
        <f t="shared" si="5"/>
        <v>193.52108769002257</v>
      </c>
      <c r="AN11" s="59">
        <f ca="1">AVERAGE(OFFSET($AM$3,0,0,'Données projet'!$E$10+1,1))-AVERAGE(OFFSET($H$3,0,0,'Données projet'!$E$10+1,1))</f>
        <v>302.29526572690196</v>
      </c>
      <c r="AO11" s="59">
        <f t="shared" si="36"/>
        <v>234.86746802631617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28.136694857142849</v>
      </c>
      <c r="BF11" s="13">
        <f t="shared" si="37"/>
        <v>8.792851913254415</v>
      </c>
      <c r="BG11" s="20">
        <f t="shared" si="7"/>
        <v>64.318960625108559</v>
      </c>
      <c r="BH11" s="59">
        <f t="shared" si="8"/>
        <v>251.07223349132911</v>
      </c>
      <c r="BI11" s="59">
        <f ca="1">AVERAGE(OFFSET($BH$3,0,0,'Données projet'!$E$11+1,1))-AVERAGE(OFFSET($H$3,0,0,'Données projet'!$E$11+1,1))</f>
        <v>627.65081154031589</v>
      </c>
      <c r="BJ11" s="59">
        <f t="shared" si="38"/>
        <v>288.78083487077618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29.592041142857138</v>
      </c>
      <c r="CA11" s="13">
        <f t="shared" si="39"/>
        <v>9.1935284858477626</v>
      </c>
      <c r="CB11" s="20">
        <f t="shared" si="10"/>
        <v>67.551533769994364</v>
      </c>
      <c r="CC11" s="59">
        <f t="shared" si="11"/>
        <v>254.30480663621492</v>
      </c>
      <c r="CD11" s="59">
        <f ca="1">AVERAGE(OFFSET($CC$3,0,0,'Données projet'!$E$12+1,1))-AVERAGE(OFFSET($H$3,0,0,'Données projet'!$E$12+1,1))</f>
        <v>655.36321433908199</v>
      </c>
      <c r="CE11" s="59">
        <f t="shared" si="40"/>
        <v>300.52980782068698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7.7271428571428578</v>
      </c>
      <c r="N12" s="13">
        <f>IF('Données projet'!$A$36&gt;35,N11+M12-V11,IF(A12&lt;'Données projet'!$A$36,$K$205^A12,IF(A12='Données projet'!$A$36,'Données projet'!$B$36,N11+M12-V11)))</f>
        <v>20.307941975481366</v>
      </c>
      <c r="O12" s="13">
        <f>N12*VLOOKUP('Données projet'!$B$9,Paramètres!$A$1:$I$89,3,0)*VLOOKUP('Données projet'!$B$9,Paramètres!$A$1:$I$89,5,0)</f>
        <v>12.144149301337858</v>
      </c>
      <c r="P12" s="13">
        <f t="shared" si="33"/>
        <v>4.1850324763865441</v>
      </c>
      <c r="Q12" s="20">
        <f t="shared" si="2"/>
        <v>28.439991596203328</v>
      </c>
      <c r="R12" s="59">
        <f t="shared" si="0"/>
        <v>217.7979503487594</v>
      </c>
      <c r="S12" s="59">
        <f ca="1">AVERAGE(OFFSET($R$3,0,0,'Données projet'!$E$9+1,1))-AVERAGE(OFFSET($H$3,0,0,'Données projet'!$E$9+1,1))</f>
        <v>297.34058997955685</v>
      </c>
      <c r="T12" s="59">
        <f t="shared" si="34"/>
        <v>440.06633724144069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4.7439999999999998</v>
      </c>
      <c r="AI12" s="13">
        <f>IF('Données projet'!$A$62&gt;35,AI11+AH12-AQ11,IF(A12&lt;'Données projet'!$A$62,$AF$205^A12,IF(A12='Données projet'!$A$62,'Données projet'!$B$62,AI11+AH12-AQ11)))</f>
        <v>5.5804662774153595</v>
      </c>
      <c r="AJ12" s="13">
        <f>AI12*VLOOKUP('Données projet'!$B$10,Paramètres!$A$1:$I$89,3,0)*VLOOKUP('Données projet'!$B$10,Paramètres!$A$1:$I$89,5,0)</f>
        <v>3.3371188338943854</v>
      </c>
      <c r="AK12" s="13">
        <f t="shared" si="35"/>
        <v>1.336605593598863</v>
      </c>
      <c r="AL12" s="20">
        <f t="shared" si="4"/>
        <v>8.1400700445507415</v>
      </c>
      <c r="AM12" s="59">
        <f t="shared" si="5"/>
        <v>197.49802879710683</v>
      </c>
      <c r="AN12" s="59">
        <f ca="1">AVERAGE(OFFSET($AM$3,0,0,'Données projet'!$E$10+1,1))-AVERAGE(OFFSET($H$3,0,0,'Données projet'!$E$10+1,1))</f>
        <v>302.29526572690196</v>
      </c>
      <c r="AO12" s="59">
        <f t="shared" si="36"/>
        <v>234.86746802631617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31.653781714285703</v>
      </c>
      <c r="BF12" s="13">
        <f t="shared" si="37"/>
        <v>9.757265618420071</v>
      </c>
      <c r="BG12" s="20">
        <f t="shared" si="7"/>
        <v>72.124240771129223</v>
      </c>
      <c r="BH12" s="59">
        <f t="shared" si="8"/>
        <v>261.48219952368527</v>
      </c>
      <c r="BI12" s="59">
        <f ca="1">AVERAGE(OFFSET($BH$3,0,0,'Données projet'!$E$11+1,1))-AVERAGE(OFFSET($H$3,0,0,'Données projet'!$E$11+1,1))</f>
        <v>627.65081154031589</v>
      </c>
      <c r="BJ12" s="59">
        <f t="shared" si="38"/>
        <v>288.78083487077618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33.291046285714273</v>
      </c>
      <c r="CA12" s="13">
        <f t="shared" si="39"/>
        <v>10.201889022116685</v>
      </c>
      <c r="CB12" s="20">
        <f t="shared" si="10"/>
        <v>75.750195661138918</v>
      </c>
      <c r="CC12" s="59">
        <f t="shared" si="11"/>
        <v>265.10815441369499</v>
      </c>
      <c r="CD12" s="59">
        <f ca="1">AVERAGE(OFFSET($CC$3,0,0,'Données projet'!$E$12+1,1))-AVERAGE(OFFSET($H$3,0,0,'Données projet'!$E$12+1,1))</f>
        <v>655.36321433908199</v>
      </c>
      <c r="CE12" s="59">
        <f t="shared" si="40"/>
        <v>300.52980782068698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7.7271428571428578</v>
      </c>
      <c r="N13" s="13">
        <f>IF('Données projet'!$A$36&gt;35,N12+M13-V12,IF(A13&lt;'Données projet'!$A$36,$K$205^A13,IF(A13='Données projet'!$A$36,'Données projet'!$B$36,N12+M13-V12)))</f>
        <v>28.376715529793994</v>
      </c>
      <c r="O13" s="13">
        <f>N13*VLOOKUP('Données projet'!$B$9,Paramètres!$A$1:$I$89,3,0)*VLOOKUP('Données projet'!$B$9,Paramètres!$A$1:$I$89,5,0)</f>
        <v>16.96927588681681</v>
      </c>
      <c r="P13" s="13">
        <f t="shared" si="33"/>
        <v>5.6244824503711541</v>
      </c>
      <c r="Q13" s="20">
        <f t="shared" si="2"/>
        <v>39.350795770602367</v>
      </c>
      <c r="R13" s="59">
        <f t="shared" si="0"/>
        <v>231.28945775564725</v>
      </c>
      <c r="S13" s="59">
        <f ca="1">AVERAGE(OFFSET($R$3,0,0,'Données projet'!$E$9+1,1))-AVERAGE(OFFSET($H$3,0,0,'Données projet'!$E$9+1,1))</f>
        <v>297.34058997955685</v>
      </c>
      <c r="T13" s="59">
        <f t="shared" si="34"/>
        <v>440.06633724144069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4.7439999999999998</v>
      </c>
      <c r="AI13" s="13">
        <f>IF('Données projet'!$A$62&gt;35,AI12+AH13-AQ12,IF(A13&lt;'Données projet'!$A$62,$AF$205^A13,IF(A13='Données projet'!$A$62,'Données projet'!$B$62,AI12+AH13-AQ12)))</f>
        <v>6.7551325561063464</v>
      </c>
      <c r="AJ13" s="13">
        <f>AI13*VLOOKUP('Données projet'!$B$10,Paramètres!$A$1:$I$89,3,0)*VLOOKUP('Données projet'!$B$10,Paramètres!$A$1:$I$89,5,0)</f>
        <v>4.0395692685515954</v>
      </c>
      <c r="AK13" s="13">
        <f t="shared" si="35"/>
        <v>1.5823761319022867</v>
      </c>
      <c r="AL13" s="20">
        <f t="shared" si="4"/>
        <v>9.7915549057905107</v>
      </c>
      <c r="AM13" s="59">
        <f t="shared" si="5"/>
        <v>201.73021689083541</v>
      </c>
      <c r="AN13" s="59">
        <f ca="1">AVERAGE(OFFSET($AM$3,0,0,'Données projet'!$E$10+1,1))-AVERAGE(OFFSET($H$3,0,0,'Données projet'!$E$10+1,1))</f>
        <v>302.29526572690196</v>
      </c>
      <c r="AO13" s="59">
        <f t="shared" si="36"/>
        <v>234.86746802631617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35.170868571428556</v>
      </c>
      <c r="BF13" s="13">
        <f t="shared" si="37"/>
        <v>10.709259603674569</v>
      </c>
      <c r="BG13" s="20">
        <f t="shared" si="7"/>
        <v>79.90788990497127</v>
      </c>
      <c r="BH13" s="59">
        <f t="shared" si="8"/>
        <v>271.84655189001614</v>
      </c>
      <c r="BI13" s="59">
        <f ca="1">AVERAGE(OFFSET($BH$3,0,0,'Données projet'!$E$11+1,1))-AVERAGE(OFFSET($H$3,0,0,'Données projet'!$E$11+1,1))</f>
        <v>627.65081154031589</v>
      </c>
      <c r="BJ13" s="59">
        <f t="shared" si="38"/>
        <v>288.78083487077618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36.990051428571419</v>
      </c>
      <c r="CA13" s="13">
        <f t="shared" si="39"/>
        <v>11.197263891173662</v>
      </c>
      <c r="CB13" s="20">
        <f t="shared" si="10"/>
        <v>83.92624084855602</v>
      </c>
      <c r="CC13" s="59">
        <f t="shared" si="11"/>
        <v>275.86490283360092</v>
      </c>
      <c r="CD13" s="59">
        <f ca="1">AVERAGE(OFFSET($CC$3,0,0,'Données projet'!$E$12+1,1))-AVERAGE(OFFSET($H$3,0,0,'Données projet'!$E$12+1,1))</f>
        <v>655.36321433908199</v>
      </c>
      <c r="CE13" s="59">
        <f t="shared" si="40"/>
        <v>300.52980782068698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7.7271428571428578</v>
      </c>
      <c r="N14" s="13">
        <f>IF('Données projet'!$A$36&gt;35,N13+M14-V13,IF(A14&lt;'Données projet'!$A$36,$K$205^A14,IF(A14='Données projet'!$A$36,'Données projet'!$B$36,N13+M14-V13)))</f>
        <v>39.651382953085523</v>
      </c>
      <c r="O14" s="13">
        <f>N14*VLOOKUP('Données projet'!$B$9,Paramètres!$A$1:$I$89,3,0)*VLOOKUP('Données projet'!$B$9,Paramètres!$A$1:$I$89,5,0)</f>
        <v>23.711527005945143</v>
      </c>
      <c r="P14" s="13">
        <f t="shared" si="33"/>
        <v>7.5590340130042035</v>
      </c>
      <c r="Q14" s="20">
        <f t="shared" si="2"/>
        <v>54.462893774670114</v>
      </c>
      <c r="R14" s="59">
        <f t="shared" si="0"/>
        <v>248.95869238378424</v>
      </c>
      <c r="S14" s="59">
        <f ca="1">AVERAGE(OFFSET($R$3,0,0,'Données projet'!$E$9+1,1))-AVERAGE(OFFSET($H$3,0,0,'Données projet'!$E$9+1,1))</f>
        <v>297.34058997955685</v>
      </c>
      <c r="T14" s="59">
        <f t="shared" si="34"/>
        <v>440.06633724144069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4.7439999999999998</v>
      </c>
      <c r="AI14" s="13">
        <f>IF('Données projet'!$A$62&gt;35,AI13+AH14-AQ13,IF(A14&lt;'Données projet'!$A$62,$AF$205^A14,IF(A14='Données projet'!$A$62,'Données projet'!$B$62,AI13+AH14-AQ13)))</f>
        <v>8.1770614823431256</v>
      </c>
      <c r="AJ14" s="13">
        <f>AI14*VLOOKUP('Données projet'!$B$10,Paramètres!$A$1:$I$89,3,0)*VLOOKUP('Données projet'!$B$10,Paramètres!$A$1:$I$89,5,0)</f>
        <v>4.8898827664411897</v>
      </c>
      <c r="AK14" s="13">
        <f t="shared" si="35"/>
        <v>1.8733381296663256</v>
      </c>
      <c r="AL14" s="20">
        <f t="shared" si="4"/>
        <v>11.779276394053923</v>
      </c>
      <c r="AM14" s="59">
        <f t="shared" si="5"/>
        <v>206.27507500316807</v>
      </c>
      <c r="AN14" s="59">
        <f ca="1">AVERAGE(OFFSET($AM$3,0,0,'Données projet'!$E$10+1,1))-AVERAGE(OFFSET($H$3,0,0,'Données projet'!$E$10+1,1))</f>
        <v>302.29526572690196</v>
      </c>
      <c r="AO14" s="59">
        <f t="shared" si="36"/>
        <v>234.86746802631617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38.687955428571414</v>
      </c>
      <c r="BF14" s="13">
        <f t="shared" si="37"/>
        <v>11.650217223542473</v>
      </c>
      <c r="BG14" s="20">
        <f t="shared" si="7"/>
        <v>87.672317369098337</v>
      </c>
      <c r="BH14" s="59">
        <f t="shared" si="8"/>
        <v>282.16811597821248</v>
      </c>
      <c r="BI14" s="59">
        <f ca="1">AVERAGE(OFFSET($BH$3,0,0,'Données projet'!$E$11+1,1))-AVERAGE(OFFSET($H$3,0,0,'Données projet'!$E$11+1,1))</f>
        <v>627.65081154031589</v>
      </c>
      <c r="BJ14" s="59">
        <f t="shared" si="38"/>
        <v>288.78083487077618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40.689056571428559</v>
      </c>
      <c r="CA14" s="13">
        <f t="shared" si="39"/>
        <v>12.181099484855261</v>
      </c>
      <c r="CB14" s="20">
        <f t="shared" si="10"/>
        <v>92.082188464694312</v>
      </c>
      <c r="CC14" s="59">
        <f t="shared" si="11"/>
        <v>286.57798707380846</v>
      </c>
      <c r="CD14" s="59">
        <f ca="1">AVERAGE(OFFSET($CC$3,0,0,'Données projet'!$E$12+1,1))-AVERAGE(OFFSET($H$3,0,0,'Données projet'!$E$12+1,1))</f>
        <v>655.36321433908199</v>
      </c>
      <c r="CE14" s="59">
        <f t="shared" si="40"/>
        <v>300.52980782068698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7.7271428571428578</v>
      </c>
      <c r="N15" s="13">
        <f>IF('Données projet'!$A$36&gt;35,N14+M15-V14,IF(A15&lt;'Données projet'!$A$36,$K$205^A15,IF(A15='Données projet'!$A$36,'Données projet'!$B$36,N14+M15-V14)))</f>
        <v>55.40571347806209</v>
      </c>
      <c r="O15" s="13">
        <f>N15*VLOOKUP('Données projet'!$B$9,Paramètres!$A$1:$I$89,3,0)*VLOOKUP('Données projet'!$B$9,Paramètres!$A$1:$I$89,5,0)</f>
        <v>33.13261665988113</v>
      </c>
      <c r="P15" s="13">
        <f t="shared" si="33"/>
        <v>10.158978308481325</v>
      </c>
      <c r="Q15" s="20">
        <f t="shared" si="2"/>
        <v>75.39952790323126</v>
      </c>
      <c r="R15" s="59">
        <f t="shared" si="0"/>
        <v>272.42930535596412</v>
      </c>
      <c r="S15" s="59">
        <f ca="1">AVERAGE(OFFSET($R$3,0,0,'Données projet'!$E$9+1,1))-AVERAGE(OFFSET($H$3,0,0,'Données projet'!$E$9+1,1))</f>
        <v>297.34058997955685</v>
      </c>
      <c r="T15" s="59">
        <f t="shared" si="34"/>
        <v>440.06633724144069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4.7439999999999998</v>
      </c>
      <c r="AI15" s="13">
        <f>IF('Données projet'!$A$62&gt;35,AI14+AH15-AQ14,IF(A15&lt;'Données projet'!$A$62,$AF$205^A15,IF(A15='Données projet'!$A$62,'Données projet'!$B$62,AI14+AH15-AQ14)))</f>
        <v>9.8983008742851535</v>
      </c>
      <c r="AJ15" s="13">
        <f>AI15*VLOOKUP('Données projet'!$B$10,Paramètres!$A$1:$I$89,3,0)*VLOOKUP('Données projet'!$B$10,Paramètres!$A$1:$I$89,5,0)</f>
        <v>5.9191839228225227</v>
      </c>
      <c r="AK15" s="13">
        <f t="shared" si="35"/>
        <v>2.217801240368074</v>
      </c>
      <c r="AL15" s="20">
        <f t="shared" si="4"/>
        <v>14.171915825890288</v>
      </c>
      <c r="AM15" s="59">
        <f t="shared" si="5"/>
        <v>211.20169327862317</v>
      </c>
      <c r="AN15" s="59">
        <f ca="1">AVERAGE(OFFSET($AM$3,0,0,'Données projet'!$E$10+1,1))-AVERAGE(OFFSET($H$3,0,0,'Données projet'!$E$10+1,1))</f>
        <v>302.29526572690196</v>
      </c>
      <c r="AO15" s="59">
        <f t="shared" si="36"/>
        <v>234.86746802631617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42.205042285714271</v>
      </c>
      <c r="BF15" s="13">
        <f t="shared" si="37"/>
        <v>12.581255887241159</v>
      </c>
      <c r="BG15" s="20">
        <f t="shared" si="7"/>
        <v>95.419469317897367</v>
      </c>
      <c r="BH15" s="59">
        <f t="shared" si="8"/>
        <v>292.44924677063023</v>
      </c>
      <c r="BI15" s="59">
        <f ca="1">AVERAGE(OFFSET($BH$3,0,0,'Données projet'!$E$11+1,1))-AVERAGE(OFFSET($H$3,0,0,'Données projet'!$E$11+1,1))</f>
        <v>627.65081154031589</v>
      </c>
      <c r="BJ15" s="59">
        <f t="shared" si="38"/>
        <v>288.78083487077618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44.388061714285698</v>
      </c>
      <c r="CA15" s="13">
        <f t="shared" si="39"/>
        <v>13.154564130977278</v>
      </c>
      <c r="CB15" s="20">
        <f t="shared" si="10"/>
        <v>100.22007334716635</v>
      </c>
      <c r="CC15" s="59">
        <f t="shared" si="11"/>
        <v>297.24985079989921</v>
      </c>
      <c r="CD15" s="59">
        <f ca="1">AVERAGE(OFFSET($CC$3,0,0,'Données projet'!$E$12+1,1))-AVERAGE(OFFSET($H$3,0,0,'Données projet'!$E$12+1,1))</f>
        <v>655.36321433908199</v>
      </c>
      <c r="CE15" s="59">
        <f t="shared" si="40"/>
        <v>300.52980782068698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7.7271428571428578</v>
      </c>
      <c r="N16" s="13">
        <f>IF('Données projet'!$A$36&gt;35,N15+M16-V15,IF(A16&lt;'Données projet'!$A$36,$K$205^A16,IF(A16='Données projet'!$A$36,'Données projet'!$B$36,N15+M16-V15)))</f>
        <v>77.419571711917584</v>
      </c>
      <c r="O16" s="13">
        <f>N16*VLOOKUP('Données projet'!$B$9,Paramètres!$A$1:$I$89,3,0)*VLOOKUP('Données projet'!$B$9,Paramètres!$A$1:$I$89,5,0)</f>
        <v>46.296903883726721</v>
      </c>
      <c r="P16" s="13">
        <f t="shared" si="33"/>
        <v>13.653178447754749</v>
      </c>
      <c r="Q16" s="20">
        <f t="shared" si="2"/>
        <v>104.41306006066355</v>
      </c>
      <c r="R16" s="59">
        <f t="shared" si="0"/>
        <v>303.95406031228237</v>
      </c>
      <c r="S16" s="59">
        <f ca="1">AVERAGE(OFFSET($R$3,0,0,'Données projet'!$E$9+1,1))-AVERAGE(OFFSET($H$3,0,0,'Données projet'!$E$9+1,1))</f>
        <v>297.34058997955685</v>
      </c>
      <c r="T16" s="59">
        <f t="shared" si="34"/>
        <v>440.06633724144069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4.7439999999999998</v>
      </c>
      <c r="AI16" s="13">
        <f>IF('Données projet'!$A$62&gt;35,AI15+AH16-AQ15,IF(A16&lt;'Données projet'!$A$62,$AF$205^A16,IF(A16='Données projet'!$A$62,'Données projet'!$B$62,AI15+AH16-AQ15)))</f>
        <v>11.981854411812401</v>
      </c>
      <c r="AJ16" s="13">
        <f>AI16*VLOOKUP('Données projet'!$B$10,Paramètres!$A$1:$I$89,3,0)*VLOOKUP('Données projet'!$B$10,Paramètres!$A$1:$I$89,5,0)</f>
        <v>7.1651489382638172</v>
      </c>
      <c r="AK16" s="13">
        <f t="shared" si="35"/>
        <v>2.6256030686004697</v>
      </c>
      <c r="AL16" s="20">
        <f t="shared" si="4"/>
        <v>17.052226411955296</v>
      </c>
      <c r="AM16" s="59">
        <f t="shared" si="5"/>
        <v>216.59322666357411</v>
      </c>
      <c r="AN16" s="59">
        <f ca="1">AVERAGE(OFFSET($AM$3,0,0,'Données projet'!$E$10+1,1))-AVERAGE(OFFSET($H$3,0,0,'Données projet'!$E$10+1,1))</f>
        <v>302.29526572690196</v>
      </c>
      <c r="AO16" s="59">
        <f t="shared" si="36"/>
        <v>234.86746802631617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45.722129142857128</v>
      </c>
      <c r="BF16" s="13">
        <f t="shared" si="37"/>
        <v>13.50329614922042</v>
      </c>
      <c r="BG16" s="20">
        <f t="shared" si="7"/>
        <v>103.1509490503684</v>
      </c>
      <c r="BH16" s="59">
        <f t="shared" si="8"/>
        <v>302.69194930198722</v>
      </c>
      <c r="BI16" s="59">
        <f ca="1">AVERAGE(OFFSET($BH$3,0,0,'Données projet'!$E$11+1,1))-AVERAGE(OFFSET($H$3,0,0,'Données projet'!$E$11+1,1))</f>
        <v>627.65081154031589</v>
      </c>
      <c r="BJ16" s="59">
        <f t="shared" si="38"/>
        <v>288.78083487077618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48.087066857142844</v>
      </c>
      <c r="CA16" s="13">
        <f t="shared" si="39"/>
        <v>14.118620332222624</v>
      </c>
      <c r="CB16" s="20">
        <f t="shared" si="10"/>
        <v>108.34157185481153</v>
      </c>
      <c r="CC16" s="59">
        <f t="shared" si="11"/>
        <v>307.88257210643036</v>
      </c>
      <c r="CD16" s="59">
        <f ca="1">AVERAGE(OFFSET($CC$3,0,0,'Données projet'!$E$12+1,1))-AVERAGE(OFFSET($H$3,0,0,'Données projet'!$E$12+1,1))</f>
        <v>655.36321433908199</v>
      </c>
      <c r="CE16" s="59">
        <f t="shared" si="40"/>
        <v>300.52980782068698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7.7271428571428578</v>
      </c>
      <c r="M17" s="12">
        <f t="array" ref="M17">INDEX(L:L,MIN(IF(ISNUMBER(L17:L213),ROW(L17:L213),"")))</f>
        <v>7.7271428571428578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346.65935167965762</v>
      </c>
      <c r="S17" s="59">
        <f ca="1">AVERAGE(OFFSET($R$3,0,0,'Données projet'!$E$9+1,1))-AVERAGE(OFFSET($H$3,0,0,'Données projet'!$E$9+1,1))</f>
        <v>297.34058997955685</v>
      </c>
      <c r="T17" s="59">
        <f t="shared" si="34"/>
        <v>440.06633724144069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0.45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12.17837301020951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12.17837301020951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4.7439999999999998</v>
      </c>
      <c r="AI17" s="13">
        <f>IF('Données projet'!$A$62&gt;35,AI16+AH17-AQ16,IF(A17&lt;'Données projet'!$A$62,$AF$205^A17,IF(A17='Données projet'!$A$62,'Données projet'!$B$62,AI16+AH17-AQ16)))</f>
        <v>14.503987802475892</v>
      </c>
      <c r="AJ17" s="13">
        <f>AI17*VLOOKUP('Données projet'!$B$10,Paramètres!$A$1:$I$89,3,0)*VLOOKUP('Données projet'!$B$10,Paramètres!$A$1:$I$89,5,0)</f>
        <v>8.6733847058805846</v>
      </c>
      <c r="AK17" s="13">
        <f t="shared" si="35"/>
        <v>3.1083901245812644</v>
      </c>
      <c r="AL17" s="20">
        <f t="shared" si="4"/>
        <v>20.51992449638772</v>
      </c>
      <c r="AM17" s="59">
        <f t="shared" si="5"/>
        <v>222.54978626866091</v>
      </c>
      <c r="AN17" s="59">
        <f ca="1">AVERAGE(OFFSET($AM$3,0,0,'Données projet'!$E$10+1,1))-AVERAGE(OFFSET($H$3,0,0,'Données projet'!$E$10+1,1))</f>
        <v>302.29526572690196</v>
      </c>
      <c r="AO17" s="59">
        <f t="shared" si="36"/>
        <v>234.86746802631617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49.239215999999978</v>
      </c>
      <c r="BF17" s="13">
        <f t="shared" si="37"/>
        <v>14.417108895027585</v>
      </c>
      <c r="BG17" s="20">
        <f t="shared" si="7"/>
        <v>110.86809919217301</v>
      </c>
      <c r="BH17" s="59">
        <f t="shared" si="8"/>
        <v>312.89796096444621</v>
      </c>
      <c r="BI17" s="59">
        <f ca="1">AVERAGE(OFFSET($BH$3,0,0,'Données projet'!$E$11+1,1))-AVERAGE(OFFSET($H$3,0,0,'Données projet'!$E$11+1,1))</f>
        <v>627.65081154031589</v>
      </c>
      <c r="BJ17" s="59">
        <f t="shared" si="38"/>
        <v>288.78083487077618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51.78607199999999</v>
      </c>
      <c r="CA17" s="13">
        <f t="shared" si="39"/>
        <v>15.07407410219286</v>
      </c>
      <c r="CB17" s="20">
        <f t="shared" si="10"/>
        <v>116.44808779465257</v>
      </c>
      <c r="CC17" s="59">
        <f t="shared" si="11"/>
        <v>318.47794956692576</v>
      </c>
      <c r="CD17" s="59">
        <f ca="1">AVERAGE(OFFSET($CC$3,0,0,'Données projet'!$E$12+1,1))-AVERAGE(OFFSET($H$3,0,0,'Données projet'!$E$12+1,1))</f>
        <v>655.36321433908199</v>
      </c>
      <c r="CE17" s="59">
        <f t="shared" si="40"/>
        <v>300.52980782068698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333.10621865389516</v>
      </c>
      <c r="S18" s="59">
        <f ca="1">AVERAGE(OFFSET($R$3,0,0,'Données projet'!$E$9+1,1))-AVERAGE(OFFSET($H$3,0,0,'Données projet'!$E$9+1,1))</f>
        <v>297.34058997955685</v>
      </c>
      <c r="T18" s="59">
        <f t="shared" si="34"/>
        <v>440.06633724144069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11.845354759812528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11.845354759812528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4.7439999999999998</v>
      </c>
      <c r="AI18" s="13">
        <f>IF('Données projet'!$A$62&gt;35,AI17+AH18-AQ17,IF(A18&lt;'Données projet'!$A$62,$AF$205^A18,IF(A18='Données projet'!$A$62,'Données projet'!$B$62,AI17+AH18-AQ17)))</f>
        <v>17.557020386341769</v>
      </c>
      <c r="AJ18" s="13">
        <f>AI18*VLOOKUP('Données projet'!$B$10,Paramètres!$A$1:$I$89,3,0)*VLOOKUP('Données projet'!$B$10,Paramètres!$A$1:$I$89,5,0)</f>
        <v>10.499098191032378</v>
      </c>
      <c r="AK18" s="13">
        <f t="shared" si="35"/>
        <v>3.6799504396315821</v>
      </c>
      <c r="AL18" s="20">
        <f t="shared" si="4"/>
        <v>24.695176365073063</v>
      </c>
      <c r="AM18" s="59">
        <f t="shared" si="5"/>
        <v>229.1919262979541</v>
      </c>
      <c r="AN18" s="59">
        <f ca="1">AVERAGE(OFFSET($AM$3,0,0,'Données projet'!$E$10+1,1))-AVERAGE(OFFSET($H$3,0,0,'Données projet'!$E$10+1,1))</f>
        <v>302.29526572690196</v>
      </c>
      <c r="AO18" s="59">
        <f t="shared" si="36"/>
        <v>234.86746802631617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52.756302857142842</v>
      </c>
      <c r="BF18" s="13">
        <f t="shared" si="37"/>
        <v>15.323348643415981</v>
      </c>
      <c r="BG18" s="20">
        <f t="shared" si="7"/>
        <v>118.57205969680662</v>
      </c>
      <c r="BH18" s="59">
        <f t="shared" si="8"/>
        <v>323.06880962968768</v>
      </c>
      <c r="BI18" s="59">
        <f ca="1">AVERAGE(OFFSET($BH$3,0,0,'Données projet'!$E$11+1,1))-AVERAGE(OFFSET($H$3,0,0,'Données projet'!$E$11+1,1))</f>
        <v>627.65081154031589</v>
      </c>
      <c r="BJ18" s="59">
        <f t="shared" si="38"/>
        <v>288.78083487077618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55.485077142857122</v>
      </c>
      <c r="CA18" s="13">
        <f t="shared" si="39"/>
        <v>16.021609785041925</v>
      </c>
      <c r="CB18" s="20">
        <f t="shared" si="10"/>
        <v>124.54081306609082</v>
      </c>
      <c r="CC18" s="59">
        <f t="shared" si="11"/>
        <v>329.03756299897185</v>
      </c>
      <c r="CD18" s="59">
        <f ca="1">AVERAGE(OFFSET($CC$3,0,0,'Données projet'!$E$12+1,1))-AVERAGE(OFFSET($H$3,0,0,'Données projet'!$E$12+1,1))</f>
        <v>655.36321433908199</v>
      </c>
      <c r="CE18" s="59">
        <f t="shared" si="40"/>
        <v>300.52980782068698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364.17525188813124</v>
      </c>
      <c r="S19" s="59">
        <f ca="1">AVERAGE(OFFSET($R$3,0,0,'Données projet'!$E$9+1,1))-AVERAGE(OFFSET($H$3,0,0,'Données projet'!$E$9+1,1))</f>
        <v>297.34058997955685</v>
      </c>
      <c r="T19" s="59">
        <f t="shared" si="34"/>
        <v>440.06633724144069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11.521442910985321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11.521442910985321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4.7439999999999998</v>
      </c>
      <c r="AI19" s="13">
        <f>IF('Données projet'!$A$62&gt;35,AI18+AH19-AQ18,IF(A19&lt;'Données projet'!$A$62,$AF$205^A19,IF(A19='Données projet'!$A$62,'Données projet'!$B$62,AI18+AH19-AQ18)))</f>
        <v>21.252704362713349</v>
      </c>
      <c r="AJ19" s="13">
        <f>AI19*VLOOKUP('Données projet'!$B$10,Paramètres!$A$1:$I$89,3,0)*VLOOKUP('Données projet'!$B$10,Paramètres!$A$1:$I$89,5,0)</f>
        <v>12.709117208902583</v>
      </c>
      <c r="AK19" s="13">
        <f t="shared" si="35"/>
        <v>4.3566073418692719</v>
      </c>
      <c r="AL19" s="20">
        <f t="shared" si="4"/>
        <v>29.722803592594314</v>
      </c>
      <c r="AM19" s="59">
        <f t="shared" si="5"/>
        <v>236.66484951470838</v>
      </c>
      <c r="AN19" s="59">
        <f ca="1">AVERAGE(OFFSET($AM$3,0,0,'Données projet'!$E$10+1,1))-AVERAGE(OFFSET($H$3,0,0,'Données projet'!$E$10+1,1))</f>
        <v>302.29526572690196</v>
      </c>
      <c r="AO19" s="59">
        <f t="shared" si="36"/>
        <v>234.86746802631617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56.273389714285692</v>
      </c>
      <c r="BF19" s="13">
        <f t="shared" si="37"/>
        <v>16.222577706752112</v>
      </c>
      <c r="BG19" s="20">
        <f t="shared" si="7"/>
        <v>126.26380992497417</v>
      </c>
      <c r="BH19" s="59">
        <f t="shared" si="8"/>
        <v>333.20585584708823</v>
      </c>
      <c r="BI19" s="59">
        <f ca="1">AVERAGE(OFFSET($BH$3,0,0,'Données projet'!$E$11+1,1))-AVERAGE(OFFSET($H$3,0,0,'Données projet'!$E$11+1,1))</f>
        <v>627.65081154031589</v>
      </c>
      <c r="BJ19" s="59">
        <f t="shared" si="38"/>
        <v>288.78083487077618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59.184082285714261</v>
      </c>
      <c r="CA19" s="13">
        <f t="shared" si="39"/>
        <v>16.961815316835434</v>
      </c>
      <c r="CB19" s="20">
        <f t="shared" si="10"/>
        <v>132.62077165777404</v>
      </c>
      <c r="CC19" s="59">
        <f t="shared" si="11"/>
        <v>339.56281757988813</v>
      </c>
      <c r="CD19" s="59">
        <f ca="1">AVERAGE(OFFSET($CC$3,0,0,'Données projet'!$E$12+1,1))-AVERAGE(OFFSET($H$3,0,0,'Données projet'!$E$12+1,1))</f>
        <v>655.36321433908199</v>
      </c>
      <c r="CE19" s="59">
        <f t="shared" si="40"/>
        <v>300.52980782068698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395.09904320176639</v>
      </c>
      <c r="S20" s="59">
        <f ca="1">AVERAGE(OFFSET($R$3,0,0,'Données projet'!$E$9+1,1))-AVERAGE(OFFSET($H$3,0,0,'Données projet'!$E$9+1,1))</f>
        <v>297.34058997955685</v>
      </c>
      <c r="T20" s="59">
        <f t="shared" si="34"/>
        <v>440.06633724144069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11.206388448698078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11.206388448698078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4.7439999999999998</v>
      </c>
      <c r="AI20" s="13">
        <f>IF('Données projet'!$A$62&gt;35,AI19+AH20-AQ19,IF(A20&lt;'Données projet'!$A$62,$AF$205^A20,IF(A20='Données projet'!$A$62,'Données projet'!$B$62,AI19+AH20-AQ19)))</f>
        <v>25.726315330833181</v>
      </c>
      <c r="AJ20" s="13">
        <f>AI20*VLOOKUP('Données projet'!$B$10,Paramètres!$A$1:$I$89,3,0)*VLOOKUP('Données projet'!$B$10,Paramètres!$A$1:$I$89,5,0)</f>
        <v>15.384336567838243</v>
      </c>
      <c r="AK20" s="13">
        <f t="shared" si="35"/>
        <v>5.1576856380515324</v>
      </c>
      <c r="AL20" s="20">
        <f t="shared" si="4"/>
        <v>35.777355341924697</v>
      </c>
      <c r="AM20" s="59">
        <f t="shared" si="5"/>
        <v>245.14347965779743</v>
      </c>
      <c r="AN20" s="59">
        <f ca="1">AVERAGE(OFFSET($AM$3,0,0,'Données projet'!$E$10+1,1))-AVERAGE(OFFSET($H$3,0,0,'Données projet'!$E$10+1,1))</f>
        <v>302.29526572690196</v>
      </c>
      <c r="AO20" s="59">
        <f t="shared" si="36"/>
        <v>234.86746802631617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59.790476571428549</v>
      </c>
      <c r="BF20" s="13">
        <f t="shared" si="37"/>
        <v>17.115284135607041</v>
      </c>
      <c r="BG20" s="20">
        <f t="shared" si="7"/>
        <v>133.94419989808699</v>
      </c>
      <c r="BH20" s="59">
        <f t="shared" si="8"/>
        <v>343.31032421395969</v>
      </c>
      <c r="BI20" s="59">
        <f ca="1">AVERAGE(OFFSET($BH$3,0,0,'Données projet'!$E$11+1,1))-AVERAGE(OFFSET($H$3,0,0,'Données projet'!$E$11+1,1))</f>
        <v>627.65081154031589</v>
      </c>
      <c r="BJ20" s="59">
        <f t="shared" si="38"/>
        <v>288.78083487077618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62.883087428571407</v>
      </c>
      <c r="CA20" s="13">
        <f t="shared" si="39"/>
        <v>17.895200987849151</v>
      </c>
      <c r="CB20" s="20">
        <f t="shared" si="10"/>
        <v>140.6888523252658</v>
      </c>
      <c r="CC20" s="59">
        <f t="shared" si="11"/>
        <v>350.05497664113852</v>
      </c>
      <c r="CD20" s="59">
        <f ca="1">AVERAGE(OFFSET($CC$3,0,0,'Données projet'!$E$12+1,1))-AVERAGE(OFFSET($H$3,0,0,'Données projet'!$E$12+1,1))</f>
        <v>655.36321433908199</v>
      </c>
      <c r="CE20" s="59">
        <f t="shared" si="40"/>
        <v>300.52980782068698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425.89971088775462</v>
      </c>
      <c r="S21" s="59">
        <f ca="1">AVERAGE(OFFSET($R$3,0,0,'Données projet'!$E$9+1,1))-AVERAGE(OFFSET($H$3,0,0,'Données projet'!$E$9+1,1))</f>
        <v>297.34058997955685</v>
      </c>
      <c r="T21" s="59">
        <f t="shared" si="34"/>
        <v>440.06633724144069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10.899949167250073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10.899949167250073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4.7439999999999998</v>
      </c>
      <c r="AI21" s="13">
        <f>IF('Données projet'!$A$62&gt;35,AI20+AH21-AQ20,IF(A21&lt;'Données projet'!$A$62,$AF$205^A21,IF(A21='Données projet'!$A$62,'Données projet'!$B$62,AI20+AH21-AQ20)))</f>
        <v>31.141603873370038</v>
      </c>
      <c r="AJ21" s="13">
        <f>AI21*VLOOKUP('Données projet'!$B$10,Paramètres!$A$1:$I$89,3,0)*VLOOKUP('Données projet'!$B$10,Paramètres!$A$1:$I$89,5,0)</f>
        <v>18.622679116275282</v>
      </c>
      <c r="AK21" s="13">
        <f t="shared" si="35"/>
        <v>6.1060635153658716</v>
      </c>
      <c r="AL21" s="20">
        <f t="shared" si="4"/>
        <v>43.069226750108349</v>
      </c>
      <c r="AM21" s="59">
        <f t="shared" si="5"/>
        <v>254.83857994211147</v>
      </c>
      <c r="AN21" s="59">
        <f ca="1">AVERAGE(OFFSET($AM$3,0,0,'Données projet'!$E$10+1,1))-AVERAGE(OFFSET($H$3,0,0,'Données projet'!$E$10+1,1))</f>
        <v>302.29526572690196</v>
      </c>
      <c r="AO21" s="59">
        <f t="shared" si="36"/>
        <v>234.86746802631617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63.307563428571406</v>
      </c>
      <c r="BF21" s="13">
        <f t="shared" si="37"/>
        <v>18.001895319269028</v>
      </c>
      <c r="BG21" s="20">
        <f t="shared" si="7"/>
        <v>141.61397398582207</v>
      </c>
      <c r="BH21" s="59">
        <f t="shared" si="8"/>
        <v>353.38332717782521</v>
      </c>
      <c r="BI21" s="59">
        <f ca="1">AVERAGE(OFFSET($BH$3,0,0,'Données projet'!$E$11+1,1))-AVERAGE(OFFSET($H$3,0,0,'Données projet'!$E$11+1,1))</f>
        <v>627.65081154031589</v>
      </c>
      <c r="BJ21" s="59">
        <f t="shared" si="38"/>
        <v>288.78083487077618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66.582092571428547</v>
      </c>
      <c r="CA21" s="13">
        <f t="shared" si="39"/>
        <v>18.822213662835811</v>
      </c>
      <c r="CB21" s="20">
        <f t="shared" si="10"/>
        <v>148.7458333580104</v>
      </c>
      <c r="CC21" s="59">
        <f t="shared" si="11"/>
        <v>360.51518655001348</v>
      </c>
      <c r="CD21" s="59">
        <f ca="1">AVERAGE(OFFSET($CC$3,0,0,'Données projet'!$E$12+1,1))-AVERAGE(OFFSET($H$3,0,0,'Données projet'!$E$12+1,1))</f>
        <v>655.36321433908199</v>
      </c>
      <c r="CE21" s="59">
        <f t="shared" si="40"/>
        <v>300.52980782068698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456.59309942217516</v>
      </c>
      <c r="S22" s="59">
        <f ca="1">AVERAGE(OFFSET($R$3,0,0,'Données projet'!$E$9+1,1))-AVERAGE(OFFSET($H$3,0,0,'Données projet'!$E$9+1,1))</f>
        <v>297.34058997955685</v>
      </c>
      <c r="T22" s="59">
        <f t="shared" si="34"/>
        <v>440.06633724144069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0.45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31.75847909304531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31.75847909304531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4.7439999999999998</v>
      </c>
      <c r="AI22" s="13">
        <f>IF('Données projet'!$A$62&gt;35,AI21+AH22-AQ21,IF(A22&lt;'Données projet'!$A$62,$AF$205^A22,IF(A22='Données projet'!$A$62,'Données projet'!$B$62,AI21+AH22-AQ21)))</f>
        <v>37.696789428822079</v>
      </c>
      <c r="AJ22" s="13">
        <f>AI22*VLOOKUP('Données projet'!$B$10,Paramètres!$A$1:$I$89,3,0)*VLOOKUP('Données projet'!$B$10,Paramètres!$A$1:$I$89,5,0)</f>
        <v>22.542680078435605</v>
      </c>
      <c r="AK22" s="13">
        <f t="shared" si="35"/>
        <v>7.2288259250649807</v>
      </c>
      <c r="AL22" s="20">
        <f t="shared" si="4"/>
        <v>51.85203962276352</v>
      </c>
      <c r="AM22" s="59">
        <f t="shared" si="5"/>
        <v>266.00413386578703</v>
      </c>
      <c r="AN22" s="59">
        <f ca="1">AVERAGE(OFFSET($AM$3,0,0,'Données projet'!$E$10+1,1))-AVERAGE(OFFSET($H$3,0,0,'Données projet'!$E$10+1,1))</f>
        <v>302.29526572690196</v>
      </c>
      <c r="AO22" s="59">
        <f t="shared" si="36"/>
        <v>234.86746802631617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66.82465028571427</v>
      </c>
      <c r="BF22" s="13">
        <f t="shared" si="37"/>
        <v>18.882788477272459</v>
      </c>
      <c r="BG22" s="20">
        <f t="shared" si="7"/>
        <v>149.27378917886855</v>
      </c>
      <c r="BH22" s="59">
        <f t="shared" si="8"/>
        <v>363.42588342189208</v>
      </c>
      <c r="BI22" s="59">
        <f ca="1">AVERAGE(OFFSET($BH$3,0,0,'Données projet'!$E$11+1,1))-AVERAGE(OFFSET($H$3,0,0,'Données projet'!$E$11+1,1))</f>
        <v>627.65081154031589</v>
      </c>
      <c r="BJ22" s="59">
        <f t="shared" si="38"/>
        <v>288.78083487077618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70.281097714285707</v>
      </c>
      <c r="CA22" s="13">
        <f t="shared" si="39"/>
        <v>19.743247750636755</v>
      </c>
      <c r="CB22" s="20">
        <f t="shared" si="10"/>
        <v>156.79240168473996</v>
      </c>
      <c r="CC22" s="59">
        <f t="shared" si="11"/>
        <v>370.94449592776346</v>
      </c>
      <c r="CD22" s="59">
        <f ca="1">AVERAGE(OFFSET($CC$3,0,0,'Données projet'!$E$12+1,1))-AVERAGE(OFFSET($H$3,0,0,'Données projet'!$E$12+1,1))</f>
        <v>655.36321433908199</v>
      </c>
      <c r="CE22" s="59">
        <f t="shared" si="40"/>
        <v>300.52980782068698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21.403333333333332</v>
      </c>
      <c r="N23" s="13">
        <f>IF('Données projet'!$A$36&gt;35,N22+M23-V22,IF(A23&lt;'Données projet'!$A$36,$K$205^A23,IF(A23='Données projet'!$A$36,'Données projet'!$B$36,N22+M23-V22)))</f>
        <v>145.67333333333332</v>
      </c>
      <c r="O23" s="13">
        <f>N23*VLOOKUP('Données projet'!$B$9,Paramètres!$A$1:$I$89,3,0)*VLOOKUP('Données projet'!$B$9,Paramètres!$A$1:$I$89,5,0)</f>
        <v>87.112653333333327</v>
      </c>
      <c r="P23" s="13">
        <f t="shared" si="33"/>
        <v>23.867550507152405</v>
      </c>
      <c r="Q23" s="20">
        <f t="shared" si="2"/>
        <v>193.29052168884596</v>
      </c>
      <c r="R23" s="59">
        <f t="shared" si="0"/>
        <v>409.8052245757417</v>
      </c>
      <c r="S23" s="59">
        <f ca="1">AVERAGE(OFFSET($R$3,0,0,'Données projet'!$E$9+1,1))-AVERAGE(OFFSET($H$3,0,0,'Données projet'!$E$9+1,1))</f>
        <v>297.34058997955685</v>
      </c>
      <c r="T23" s="59">
        <f t="shared" si="34"/>
        <v>440.06633724144069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30.890041812140154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30.890041812140154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4.7439999999999998</v>
      </c>
      <c r="AI23" s="13">
        <f>IF('Données projet'!$A$62&gt;35,AI22+AH23-AQ22,IF(A23&lt;'Données projet'!$A$62,$AF$205^A23,IF(A23='Données projet'!$A$62,'Données projet'!$B$62,AI22+AH23-AQ22)))</f>
        <v>45.631815850567861</v>
      </c>
      <c r="AJ23" s="13">
        <f>AI23*VLOOKUP('Données projet'!$B$10,Paramètres!$A$1:$I$89,3,0)*VLOOKUP('Données projet'!$B$10,Paramètres!$A$1:$I$89,5,0)</f>
        <v>27.287825878639584</v>
      </c>
      <c r="AK23" s="13">
        <f t="shared" si="35"/>
        <v>8.5580381080854853</v>
      </c>
      <c r="AL23" s="20">
        <f t="shared" si="4"/>
        <v>62.431546443546161</v>
      </c>
      <c r="AM23" s="59">
        <f t="shared" si="5"/>
        <v>278.9462493304419</v>
      </c>
      <c r="AN23" s="59">
        <f ca="1">AVERAGE(OFFSET($AM$3,0,0,'Données projet'!$E$10+1,1))-AVERAGE(OFFSET($H$3,0,0,'Données projet'!$E$10+1,1))</f>
        <v>302.29526572690196</v>
      </c>
      <c r="AO23" s="59">
        <f t="shared" si="36"/>
        <v>234.86746802631617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70.341737142857127</v>
      </c>
      <c r="BF23" s="13">
        <f t="shared" si="37"/>
        <v>19.758298879173367</v>
      </c>
      <c r="BG23" s="20">
        <f t="shared" si="7"/>
        <v>156.92422940503644</v>
      </c>
      <c r="BH23" s="59">
        <f t="shared" si="8"/>
        <v>373.43893229193213</v>
      </c>
      <c r="BI23" s="59">
        <f ca="1">AVERAGE(OFFSET($BH$3,0,0,'Données projet'!$E$11+1,1))-AVERAGE(OFFSET($H$3,0,0,'Données projet'!$E$11+1,1))</f>
        <v>627.65081154031589</v>
      </c>
      <c r="BJ23" s="59">
        <f t="shared" si="38"/>
        <v>288.78083487077618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73.980102857142853</v>
      </c>
      <c r="CA23" s="13">
        <f t="shared" si="39"/>
        <v>20.65865379851968</v>
      </c>
      <c r="CB23" s="20">
        <f t="shared" si="10"/>
        <v>164.82916784194558</v>
      </c>
      <c r="CC23" s="59">
        <f t="shared" si="11"/>
        <v>381.3438707288413</v>
      </c>
      <c r="CD23" s="59">
        <f ca="1">AVERAGE(OFFSET($CC$3,0,0,'Données projet'!$E$12+1,1))-AVERAGE(OFFSET($H$3,0,0,'Données projet'!$E$12+1,1))</f>
        <v>655.36321433908199</v>
      </c>
      <c r="CE23" s="59">
        <f t="shared" si="40"/>
        <v>300.52980782068698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21.403333333333332</v>
      </c>
      <c r="N24" s="13">
        <f>IF('Données projet'!$A$36&gt;35,N23+M24-V23,IF(A24&lt;'Données projet'!$A$36,$K$205^A24,IF(A24='Données projet'!$A$36,'Données projet'!$B$36,N23+M24-V23)))</f>
        <v>167.07666666666665</v>
      </c>
      <c r="O24" s="13">
        <f>N24*VLOOKUP('Données projet'!$B$9,Paramètres!$A$1:$I$89,3,0)*VLOOKUP('Données projet'!$B$9,Paramètres!$A$1:$I$89,5,0)</f>
        <v>99.911846666666662</v>
      </c>
      <c r="P24" s="13">
        <f t="shared" si="33"/>
        <v>26.940995154457852</v>
      </c>
      <c r="Q24" s="20">
        <f t="shared" si="2"/>
        <v>220.93536617179186</v>
      </c>
      <c r="R24" s="59">
        <f t="shared" si="0"/>
        <v>439.79289454766626</v>
      </c>
      <c r="S24" s="59">
        <f ca="1">AVERAGE(OFFSET($R$3,0,0,'Données projet'!$E$9+1,1))-AVERAGE(OFFSET($H$3,0,0,'Données projet'!$E$9+1,1))</f>
        <v>297.34058997955685</v>
      </c>
      <c r="T24" s="59">
        <f t="shared" si="34"/>
        <v>440.06633724144069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30.045351994350483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30.045351994350483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4.7439999999999998</v>
      </c>
      <c r="AI24" s="13">
        <f>IF('Données projet'!$A$62&gt;35,AI23+AH24-AQ23,IF(A24&lt;'Données projet'!$A$62,$AF$205^A24,IF(A24='Données projet'!$A$62,'Données projet'!$B$62,AI23+AH24-AQ23)))</f>
        <v>55.237134232659265</v>
      </c>
      <c r="AJ24" s="13">
        <f>AI24*VLOOKUP('Données projet'!$B$10,Paramètres!$A$1:$I$89,3,0)*VLOOKUP('Données projet'!$B$10,Paramètres!$A$1:$I$89,5,0)</f>
        <v>33.031806271130243</v>
      </c>
      <c r="AK24" s="13">
        <f t="shared" si="35"/>
        <v>10.131661353954241</v>
      </c>
      <c r="AL24" s="20">
        <f t="shared" si="4"/>
        <v>75.176372780355464</v>
      </c>
      <c r="AM24" s="59">
        <f t="shared" si="5"/>
        <v>294.03390115622983</v>
      </c>
      <c r="AN24" s="59">
        <f ca="1">AVERAGE(OFFSET($AM$3,0,0,'Données projet'!$E$10+1,1))-AVERAGE(OFFSET($H$3,0,0,'Données projet'!$E$10+1,1))</f>
        <v>302.29526572690196</v>
      </c>
      <c r="AO24" s="59">
        <f t="shared" si="36"/>
        <v>234.86746802631617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73.858823999999984</v>
      </c>
      <c r="BF24" s="13">
        <f t="shared" si="37"/>
        <v>20.628726373651425</v>
      </c>
      <c r="BG24" s="20">
        <f t="shared" si="7"/>
        <v>164.56581690077618</v>
      </c>
      <c r="BH24" s="59">
        <f t="shared" si="8"/>
        <v>383.42334527665059</v>
      </c>
      <c r="BI24" s="59">
        <f ca="1">AVERAGE(OFFSET($BH$3,0,0,'Données projet'!$E$11+1,1))-AVERAGE(OFFSET($H$3,0,0,'Données projet'!$E$11+1,1))</f>
        <v>627.65081154031589</v>
      </c>
      <c r="BJ24" s="59">
        <f t="shared" si="38"/>
        <v>288.78083487077618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77.679107999999985</v>
      </c>
      <c r="CA24" s="13">
        <f t="shared" si="39"/>
        <v>21.568745318801785</v>
      </c>
      <c r="CB24" s="20">
        <f t="shared" si="10"/>
        <v>172.85667786357976</v>
      </c>
      <c r="CC24" s="59">
        <f t="shared" si="11"/>
        <v>391.71420623945414</v>
      </c>
      <c r="CD24" s="59">
        <f ca="1">AVERAGE(OFFSET($CC$3,0,0,'Données projet'!$E$12+1,1))-AVERAGE(OFFSET($H$3,0,0,'Données projet'!$E$12+1,1))</f>
        <v>655.36321433908199</v>
      </c>
      <c r="CE24" s="59">
        <f t="shared" si="40"/>
        <v>300.52980782068698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21.403333333333332</v>
      </c>
      <c r="N25" s="13">
        <f>IF('Données projet'!$A$36&gt;35,N24+M25-V24,IF(A25&lt;'Données projet'!$A$36,$K$205^A25,IF(A25='Données projet'!$A$36,'Données projet'!$B$36,N24+M25-V24)))</f>
        <v>188.48</v>
      </c>
      <c r="O25" s="13">
        <f>N25*VLOOKUP('Données projet'!$B$9,Paramètres!$A$1:$I$89,3,0)*VLOOKUP('Données projet'!$B$9,Paramètres!$A$1:$I$89,5,0)</f>
        <v>112.71104000000001</v>
      </c>
      <c r="P25" s="13">
        <f t="shared" si="33"/>
        <v>29.968818833735142</v>
      </c>
      <c r="Q25" s="20">
        <f t="shared" si="2"/>
        <v>248.50075413542206</v>
      </c>
      <c r="R25" s="59">
        <f t="shared" si="0"/>
        <v>469.68166803889045</v>
      </c>
      <c r="S25" s="59">
        <f ca="1">AVERAGE(OFFSET($R$3,0,0,'Données projet'!$E$9+1,1))-AVERAGE(OFFSET($H$3,0,0,'Données projet'!$E$9+1,1))</f>
        <v>297.34058997955685</v>
      </c>
      <c r="T25" s="59">
        <f t="shared" si="34"/>
        <v>440.06633724144069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29.223760264048579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29.223760264048579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4.7439999999999998</v>
      </c>
      <c r="AI25" s="13">
        <f>IF('Données projet'!$A$62&gt;35,AI24+AH25-AQ24,IF(A25&lt;'Données projet'!$A$62,$AF$205^A25,IF(A25='Données projet'!$A$62,'Données projet'!$B$62,AI24+AH25-AQ24)))</f>
        <v>66.864334486019558</v>
      </c>
      <c r="AJ25" s="13">
        <f>AI25*VLOOKUP('Données projet'!$B$10,Paramètres!$A$1:$I$89,3,0)*VLOOKUP('Données projet'!$B$10,Paramètres!$A$1:$I$89,5,0)</f>
        <v>39.984872022639699</v>
      </c>
      <c r="AK25" s="13">
        <f t="shared" si="35"/>
        <v>11.994637146360388</v>
      </c>
      <c r="AL25" s="20">
        <f t="shared" si="4"/>
        <v>90.530978469341832</v>
      </c>
      <c r="AM25" s="59">
        <f t="shared" si="5"/>
        <v>311.71189237281021</v>
      </c>
      <c r="AN25" s="59">
        <f ca="1">AVERAGE(OFFSET($AM$3,0,0,'Données projet'!$E$10+1,1))-AVERAGE(OFFSET($H$3,0,0,'Données projet'!$E$10+1,1))</f>
        <v>302.29526572690196</v>
      </c>
      <c r="AO25" s="59">
        <f t="shared" si="36"/>
        <v>234.86746802631617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77.375910857142856</v>
      </c>
      <c r="BF25" s="13">
        <f t="shared" si="37"/>
        <v>21.49434063873689</v>
      </c>
      <c r="BG25" s="20">
        <f t="shared" si="7"/>
        <v>172.19902135532388</v>
      </c>
      <c r="BH25" s="59">
        <f t="shared" si="8"/>
        <v>393.37993525879227</v>
      </c>
      <c r="BI25" s="59">
        <f ca="1">AVERAGE(OFFSET($BH$3,0,0,'Données projet'!$E$11+1,1))-AVERAGE(OFFSET($H$3,0,0,'Données projet'!$E$11+1,1))</f>
        <v>627.65081154031589</v>
      </c>
      <c r="BJ25" s="59">
        <f t="shared" si="38"/>
        <v>288.78083487077618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81.378113142857146</v>
      </c>
      <c r="CA25" s="13">
        <f t="shared" si="39"/>
        <v>22.4738042783213</v>
      </c>
      <c r="CB25" s="20">
        <f t="shared" si="10"/>
        <v>180.87542284188578</v>
      </c>
      <c r="CC25" s="59">
        <f t="shared" si="11"/>
        <v>402.0563367453542</v>
      </c>
      <c r="CD25" s="59">
        <f ca="1">AVERAGE(OFFSET($CC$3,0,0,'Données projet'!$E$12+1,1))-AVERAGE(OFFSET($H$3,0,0,'Données projet'!$E$12+1,1))</f>
        <v>655.36321433908199</v>
      </c>
      <c r="CE25" s="59">
        <f t="shared" si="40"/>
        <v>300.52980782068698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21.403333333333332</v>
      </c>
      <c r="N26" s="13">
        <f>IF('Données projet'!$A$36&gt;35,N25+M26-V25,IF(A26&lt;'Données projet'!$A$36,$K$205^A26,IF(A26='Données projet'!$A$36,'Données projet'!$B$36,N25+M26-V25)))</f>
        <v>209.88333333333333</v>
      </c>
      <c r="O26" s="13">
        <f>N26*VLOOKUP('Données projet'!$B$9,Paramètres!$A$1:$I$89,3,0)*VLOOKUP('Données projet'!$B$9,Paramètres!$A$1:$I$89,5,0)</f>
        <v>125.51023333333335</v>
      </c>
      <c r="P26" s="13">
        <f t="shared" si="33"/>
        <v>32.956793460624539</v>
      </c>
      <c r="Q26" s="20">
        <f t="shared" si="2"/>
        <v>275.99673833280997</v>
      </c>
      <c r="R26" s="59">
        <f t="shared" si="0"/>
        <v>499.48193504235644</v>
      </c>
      <c r="S26" s="59">
        <f ca="1">AVERAGE(OFFSET($R$3,0,0,'Données projet'!$E$9+1,1))-AVERAGE(OFFSET($H$3,0,0,'Données projet'!$E$9+1,1))</f>
        <v>297.34058997955685</v>
      </c>
      <c r="T26" s="59">
        <f t="shared" si="34"/>
        <v>440.06633724144069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28.424635002817411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28.424635002817411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4.7439999999999998</v>
      </c>
      <c r="AI26" s="13">
        <f>IF('Données projet'!$A$62&gt;35,AI25+AH26-AQ25,IF(A26&lt;'Données projet'!$A$62,$AF$205^A26,IF(A26='Données projet'!$A$62,'Données projet'!$B$62,AI25+AH26-AQ25)))</f>
        <v>80.939014819760402</v>
      </c>
      <c r="AJ26" s="13">
        <f>AI26*VLOOKUP('Données projet'!$B$10,Paramètres!$A$1:$I$89,3,0)*VLOOKUP('Données projet'!$B$10,Paramètres!$A$1:$I$89,5,0)</f>
        <v>48.401530862216724</v>
      </c>
      <c r="AK26" s="13">
        <f t="shared" si="35"/>
        <v>14.200170657766563</v>
      </c>
      <c r="AL26" s="20">
        <f t="shared" si="4"/>
        <v>109.03129681397088</v>
      </c>
      <c r="AM26" s="59">
        <f t="shared" si="5"/>
        <v>332.5164935235174</v>
      </c>
      <c r="AN26" s="59">
        <f ca="1">AVERAGE(OFFSET($AM$3,0,0,'Données projet'!$E$10+1,1))-AVERAGE(OFFSET($H$3,0,0,'Données projet'!$E$10+1,1))</f>
        <v>302.29526572690196</v>
      </c>
      <c r="AO26" s="59">
        <f t="shared" si="36"/>
        <v>234.86746802631617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80.892997714285713</v>
      </c>
      <c r="BF26" s="13">
        <f t="shared" si="37"/>
        <v>22.355385450466887</v>
      </c>
      <c r="BG26" s="20">
        <f t="shared" si="7"/>
        <v>179.82426734527743</v>
      </c>
      <c r="BH26" s="59">
        <f t="shared" si="8"/>
        <v>403.30946405482393</v>
      </c>
      <c r="BI26" s="59">
        <f ca="1">AVERAGE(OFFSET($BH$3,0,0,'Données projet'!$E$11+1,1))-AVERAGE(OFFSET($H$3,0,0,'Données projet'!$E$11+1,1))</f>
        <v>627.65081154031589</v>
      </c>
      <c r="BJ26" s="59">
        <f t="shared" si="38"/>
        <v>288.78083487077618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85.077118285714292</v>
      </c>
      <c r="CA26" s="13">
        <f t="shared" si="39"/>
        <v>23.374085561609906</v>
      </c>
      <c r="CB26" s="20">
        <f t="shared" si="10"/>
        <v>188.88584670075628</v>
      </c>
      <c r="CC26" s="59">
        <f t="shared" si="11"/>
        <v>412.37104341030278</v>
      </c>
      <c r="CD26" s="59">
        <f ca="1">AVERAGE(OFFSET($CC$3,0,0,'Données projet'!$E$12+1,1))-AVERAGE(OFFSET($H$3,0,0,'Données projet'!$E$12+1,1))</f>
        <v>655.36321433908199</v>
      </c>
      <c r="CE26" s="59">
        <f t="shared" si="40"/>
        <v>300.52980782068698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21.403333333333332</v>
      </c>
      <c r="N27" s="13">
        <f>IF('Données projet'!$A$36&gt;35,N26+M27-V26,IF(A27&lt;'Données projet'!$A$36,$K$205^A27,IF(A27='Données projet'!$A$36,'Données projet'!$B$36,N26+M27-V26)))</f>
        <v>231.28666666666666</v>
      </c>
      <c r="O27" s="13">
        <f>N27*VLOOKUP('Données projet'!$B$9,Paramètres!$A$1:$I$89,3,0)*VLOOKUP('Données projet'!$B$9,Paramètres!$A$1:$I$89,5,0)</f>
        <v>138.30942666666667</v>
      </c>
      <c r="P27" s="13">
        <f t="shared" si="33"/>
        <v>35.909445469885178</v>
      </c>
      <c r="Q27" s="20">
        <f t="shared" si="2"/>
        <v>303.43120230449443</v>
      </c>
      <c r="R27" s="59">
        <f t="shared" si="0"/>
        <v>529.20191048811421</v>
      </c>
      <c r="S27" s="59">
        <f ca="1">AVERAGE(OFFSET($R$3,0,0,'Données projet'!$E$9+1,1))-AVERAGE(OFFSET($H$3,0,0,'Données projet'!$E$9+1,1))</f>
        <v>297.34058997955685</v>
      </c>
      <c r="T27" s="59">
        <f t="shared" si="34"/>
        <v>440.06633724144069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27.647361863878778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27.647361863878778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4.7439999999999998</v>
      </c>
      <c r="AI27" s="13">
        <f>IF('Données projet'!$A$62&gt;35,AI26+AH27-AQ26,IF(A27&lt;'Données projet'!$A$62,$AF$205^A27,IF(A27='Données projet'!$A$62,'Données projet'!$B$62,AI26+AH27-AQ26)))</f>
        <v>97.976360197874243</v>
      </c>
      <c r="AJ27" s="13">
        <f>AI27*VLOOKUP('Données projet'!$B$10,Paramètres!$A$1:$I$89,3,0)*VLOOKUP('Données projet'!$B$10,Paramètres!$A$1:$I$89,5,0)</f>
        <v>58.589863398328795</v>
      </c>
      <c r="AK27" s="13">
        <f t="shared" si="35"/>
        <v>16.811250248689749</v>
      </c>
      <c r="AL27" s="20">
        <f t="shared" si="4"/>
        <v>131.32360626855731</v>
      </c>
      <c r="AM27" s="59">
        <f t="shared" si="5"/>
        <v>357.09431445217712</v>
      </c>
      <c r="AN27" s="59">
        <f ca="1">AVERAGE(OFFSET($AM$3,0,0,'Données projet'!$E$10+1,1))-AVERAGE(OFFSET($H$3,0,0,'Données projet'!$E$10+1,1))</f>
        <v>302.29526572690196</v>
      </c>
      <c r="AO27" s="59">
        <f t="shared" si="36"/>
        <v>234.86746802631617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84.410084571428584</v>
      </c>
      <c r="BF27" s="13">
        <f t="shared" si="37"/>
        <v>23.212082188219242</v>
      </c>
      <c r="BG27" s="20">
        <f t="shared" si="7"/>
        <v>187.44194043971996</v>
      </c>
      <c r="BH27" s="59">
        <f t="shared" si="8"/>
        <v>413.21264862333976</v>
      </c>
      <c r="BI27" s="59">
        <f ca="1">AVERAGE(OFFSET($BH$3,0,0,'Données projet'!$E$11+1,1))-AVERAGE(OFFSET($H$3,0,0,'Données projet'!$E$11+1,1))</f>
        <v>627.65081154031589</v>
      </c>
      <c r="BJ27" s="59">
        <f t="shared" si="38"/>
        <v>288.78083487077618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88.776123428571438</v>
      </c>
      <c r="CA27" s="13">
        <f t="shared" si="39"/>
        <v>24.269820635958951</v>
      </c>
      <c r="CB27" s="20">
        <f t="shared" si="10"/>
        <v>196.88835257905711</v>
      </c>
      <c r="CC27" s="59">
        <f t="shared" si="11"/>
        <v>422.65906076267692</v>
      </c>
      <c r="CD27" s="59">
        <f ca="1">AVERAGE(OFFSET($CC$3,0,0,'Données projet'!$E$12+1,1))-AVERAGE(OFFSET($H$3,0,0,'Données projet'!$E$12+1,1))</f>
        <v>655.36321433908199</v>
      </c>
      <c r="CE27" s="59">
        <f t="shared" si="40"/>
        <v>300.52980782068698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21.403333333333332</v>
      </c>
      <c r="M28" s="12">
        <f t="array" ref="M28">INDEX(L:L,MIN(IF(ISNUMBER(L28:L224),ROW(L28:L224),"")))</f>
        <v>21.403333333333332</v>
      </c>
      <c r="N28" s="13">
        <f>IF('Données projet'!$A$36&gt;35,N27+M28-V27,IF(A28&lt;'Données projet'!$A$36,$K$205^A28,IF(A28='Données projet'!$A$36,'Données projet'!$B$36,N27+M28-V27)))</f>
        <v>252.69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558.84826065821358</v>
      </c>
      <c r="S28" s="59">
        <f ca="1">AVERAGE(OFFSET($R$3,0,0,'Données projet'!$E$9+1,1))-AVERAGE(OFFSET($H$3,0,0,'Données projet'!$E$9+1,1))</f>
        <v>297.34058997955685</v>
      </c>
      <c r="T28" s="59">
        <f t="shared" si="34"/>
        <v>440.06633724144069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0.36000000000000004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2.1761409052687246</v>
      </c>
      <c r="AA28" s="21">
        <f>EXP(-LN(2)/25)*AA27+(1-EXP(-LN(2)/25))/(LN(2)/25)*Calculateur!V28*Calculateur!X28*VLOOKUP('Données projet'!$B$9,Paramètres!$A$1:$I$89,3,0)*0.475*44/12</f>
        <v>44.231924174599371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46.408065079868095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118.6</v>
      </c>
      <c r="AG28" s="12">
        <f>VLOOKUP(A28,'Données projet'!$A$61:$I$81,9,0)</f>
        <v>4.7439999999999998</v>
      </c>
      <c r="AH28" s="12">
        <f t="array" ref="AH28">INDEX(AG:AG,MIN(IF(ISNUMBER(AG28:AG224),ROW(AG28:AG224),"")))</f>
        <v>4.7439999999999998</v>
      </c>
      <c r="AI28" s="13">
        <f>IF('Données projet'!$A$62&gt;35,AI27+AH28-AQ27,IF(A28&lt;'Données projet'!$A$62,$AF$205^A28,IF(A28='Données projet'!$A$62,'Données projet'!$B$62,AI27+AH28-AQ27)))</f>
        <v>118.6</v>
      </c>
      <c r="AJ28" s="13">
        <f>AI28*VLOOKUP('Données projet'!$B$10,Paramètres!$A$1:$I$89,3,0)*VLOOKUP('Données projet'!$B$10,Paramètres!$A$1:$I$89,5,0)</f>
        <v>70.922799999999995</v>
      </c>
      <c r="AK28" s="13">
        <f t="shared" si="35"/>
        <v>19.902446367396117</v>
      </c>
      <c r="AL28" s="20">
        <f t="shared" si="4"/>
        <v>158.18730408988156</v>
      </c>
      <c r="AM28" s="59">
        <f t="shared" si="5"/>
        <v>386.22507805621365</v>
      </c>
      <c r="AN28" s="59">
        <f ca="1">AVERAGE(OFFSET($AM$3,0,0,'Données projet'!$E$10+1,1))-AVERAGE(OFFSET($H$3,0,0,'Données projet'!$E$10+1,1))</f>
        <v>302.29526572690196</v>
      </c>
      <c r="AO28" s="59">
        <f t="shared" si="36"/>
        <v>234.86746802631617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50.02</v>
      </c>
      <c r="AR28" s="16">
        <f>IF(ISNA(VLOOKUP(A28,'Données projet'!$A$61:$I$81,5,0)),0%,VLOOKUP(A28,'Données projet'!$A$61:$I$81,5,0)*VLOOKUP('Données projet'!$B$10,Paramètres!$A$1:$I$89,7,0))</f>
        <v>4.5000000000000005E-2</v>
      </c>
      <c r="AS28" s="16">
        <f>IF(ISNA(VLOOKUP(A28,'Données projet'!$A$61:$I$81,6,0)),0%,VLOOKUP(A28,'Données projet'!$A$61:$I$81,6,0)*VLOOKUP('Données projet'!$B$10,Paramètres!$A$1:$I$89,7,0))</f>
        <v>0.36000000000000004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1.7856064317838189</v>
      </c>
      <c r="AV28" s="21">
        <f>EXP(-LN(2)/25)*AV27+(1-EXP(-LN(2)/25))/(LN(2)/25)*Calculateur!AQ28*Calculateur!AS28*VLOOKUP('Données projet'!$B$10,Paramètres!$A$1:$I$89,3,0)*0.475*44/12</f>
        <v>14.228606551139967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16.014212982923787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87.927171428571441</v>
      </c>
      <c r="BF28" s="13">
        <f t="shared" si="37"/>
        <v>24.06463273936156</v>
      </c>
      <c r="BG28" s="20">
        <f t="shared" si="7"/>
        <v>195.05239225914997</v>
      </c>
      <c r="BH28" s="59">
        <f t="shared" si="8"/>
        <v>423.09016622548211</v>
      </c>
      <c r="BI28" s="59">
        <f ca="1">AVERAGE(OFFSET($BH$3,0,0,'Données projet'!$E$11+1,1))-AVERAGE(OFFSET($H$3,0,0,'Données projet'!$E$11+1,1))</f>
        <v>627.65081154031589</v>
      </c>
      <c r="BJ28" s="59">
        <f t="shared" si="38"/>
        <v>288.78083487077618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92.475128571428584</v>
      </c>
      <c r="CA28" s="13">
        <f t="shared" si="39"/>
        <v>25.161220588429078</v>
      </c>
      <c r="CB28" s="20">
        <f t="shared" si="10"/>
        <v>204.88330812008542</v>
      </c>
      <c r="CC28" s="59">
        <f t="shared" si="11"/>
        <v>432.92108208641753</v>
      </c>
      <c r="CD28" s="59">
        <f ca="1">AVERAGE(OFFSET($CC$3,0,0,'Données projet'!$E$12+1,1))-AVERAGE(OFFSET($H$3,0,0,'Données projet'!$E$12+1,1))</f>
        <v>655.36321433908199</v>
      </c>
      <c r="CE28" s="59">
        <f t="shared" si="40"/>
        <v>300.52980782068698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20.575714285714287</v>
      </c>
      <c r="N29" s="13">
        <f>IF('Données projet'!$A$36&gt;35,N28+M29-V28,IF(A29&lt;'Données projet'!$A$36,$K$205^A29,IF(A29='Données projet'!$A$36,'Données projet'!$B$36,N28+M29-V28)))</f>
        <v>212.30571428571429</v>
      </c>
      <c r="O29" s="13">
        <f>N29*VLOOKUP('Données projet'!$B$9,Paramètres!$A$1:$I$89,3,0)*VLOOKUP('Données projet'!$B$9,Paramètres!$A$1:$I$89,5,0)</f>
        <v>126.95881714285716</v>
      </c>
      <c r="P29" s="13">
        <f t="shared" si="33"/>
        <v>33.292666057268733</v>
      </c>
      <c r="Q29" s="20">
        <f t="shared" si="2"/>
        <v>279.10466657355261</v>
      </c>
      <c r="R29" s="59">
        <f t="shared" si="0"/>
        <v>509.39138062274276</v>
      </c>
      <c r="S29" s="59">
        <f ca="1">AVERAGE(OFFSET($R$3,0,0,'Données projet'!$E$9+1,1))-AVERAGE(OFFSET($H$3,0,0,'Données projet'!$E$9+1,1))</f>
        <v>297.34058997955685</v>
      </c>
      <c r="T29" s="59">
        <f t="shared" si="34"/>
        <v>440.06633724144069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2.1334681094312957</v>
      </c>
      <c r="AA29" s="21">
        <f>EXP(-LN(2)/25)*AA28+(1-EXP(-LN(2)/25))/(LN(2)/25)*Calculateur!V29*Calculateur!X29*VLOOKUP('Données projet'!$B$9,Paramètres!$A$1:$I$89,3,0)*0.475*44/12</f>
        <v>43.022399881989152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45.15586799142045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13.225714285714288</v>
      </c>
      <c r="AI29" s="13">
        <f>IF('Données projet'!$A$62&gt;35,AI28+AH29-AQ28,IF(A29&lt;'Données projet'!$A$62,$AF$205^A29,IF(A29='Données projet'!$A$62,'Données projet'!$B$62,AI28+AH29-AQ28)))</f>
        <v>81.805714285714259</v>
      </c>
      <c r="AJ29" s="13">
        <f>AI29*VLOOKUP('Données projet'!$B$10,Paramètres!$A$1:$I$89,3,0)*VLOOKUP('Données projet'!$B$10,Paramètres!$A$1:$I$89,5,0)</f>
        <v>48.919817142857127</v>
      </c>
      <c r="AK29" s="13">
        <f t="shared" si="35"/>
        <v>14.334444129673157</v>
      </c>
      <c r="AL29" s="20">
        <f t="shared" si="4"/>
        <v>110.16783838299024</v>
      </c>
      <c r="AM29" s="59">
        <f t="shared" si="5"/>
        <v>340.45455243218044</v>
      </c>
      <c r="AN29" s="59">
        <f ca="1">AVERAGE(OFFSET($AM$3,0,0,'Données projet'!$E$10+1,1))-AVERAGE(OFFSET($H$3,0,0,'Données projet'!$E$10+1,1))</f>
        <v>302.29526572690196</v>
      </c>
      <c r="AO29" s="59">
        <f t="shared" si="36"/>
        <v>234.86746802631617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1.7505917787689207</v>
      </c>
      <c r="AV29" s="21">
        <f>EXP(-LN(2)/25)*AV28+(1-EXP(-LN(2)/25))/(LN(2)/25)*Calculateur!AQ29*Calculateur!AS29*VLOOKUP('Données projet'!$B$10,Paramètres!$A$1:$I$89,3,0)*0.475*44/12</f>
        <v>13.839524556749145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15.590116335518067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91.444258285714298</v>
      </c>
      <c r="BF29" s="13">
        <f t="shared" si="37"/>
        <v>24.913221926074399</v>
      </c>
      <c r="BG29" s="20">
        <f t="shared" si="7"/>
        <v>202.65594470219867</v>
      </c>
      <c r="BH29" s="59">
        <f t="shared" si="8"/>
        <v>432.94265875138888</v>
      </c>
      <c r="BI29" s="59">
        <f ca="1">AVERAGE(OFFSET($BH$3,0,0,'Données projet'!$E$11+1,1))-AVERAGE(OFFSET($H$3,0,0,'Données projet'!$E$11+1,1))</f>
        <v>627.65081154031589</v>
      </c>
      <c r="BJ29" s="59">
        <f t="shared" si="38"/>
        <v>288.78083487077618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96.17413371428573</v>
      </c>
      <c r="CA29" s="13">
        <f t="shared" si="39"/>
        <v>26.048478663259949</v>
      </c>
      <c r="CB29" s="20">
        <f t="shared" si="10"/>
        <v>212.87104989089207</v>
      </c>
      <c r="CC29" s="59">
        <f t="shared" si="11"/>
        <v>443.15776394008225</v>
      </c>
      <c r="CD29" s="59">
        <f ca="1">AVERAGE(OFFSET($CC$3,0,0,'Données projet'!$E$12+1,1))-AVERAGE(OFFSET($H$3,0,0,'Données projet'!$E$12+1,1))</f>
        <v>655.36321433908199</v>
      </c>
      <c r="CE29" s="59">
        <f t="shared" si="40"/>
        <v>300.52980782068698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20.575714285714287</v>
      </c>
      <c r="N30" s="13">
        <f>IF('Données projet'!$A$36&gt;35,N29+M30-V29,IF(A30&lt;'Données projet'!$A$36,$K$205^A30,IF(A30='Données projet'!$A$36,'Données projet'!$B$36,N29+M30-V29)))</f>
        <v>232.88142857142859</v>
      </c>
      <c r="O30" s="13">
        <f>N30*VLOOKUP('Données projet'!$B$9,Paramètres!$A$1:$I$89,3,0)*VLOOKUP('Données projet'!$B$9,Paramètres!$A$1:$I$89,5,0)</f>
        <v>139.26309428571432</v>
      </c>
      <c r="P30" s="13">
        <f t="shared" si="33"/>
        <v>36.128138927166717</v>
      </c>
      <c r="Q30" s="20">
        <f t="shared" si="2"/>
        <v>305.47306451243452</v>
      </c>
      <c r="R30" s="59">
        <f t="shared" si="0"/>
        <v>537.99090738499808</v>
      </c>
      <c r="S30" s="59">
        <f ca="1">AVERAGE(OFFSET($R$3,0,0,'Données projet'!$E$9+1,1))-AVERAGE(OFFSET($H$3,0,0,'Données projet'!$E$9+1,1))</f>
        <v>297.34058997955685</v>
      </c>
      <c r="T30" s="59">
        <f t="shared" si="34"/>
        <v>440.06633724144069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2.0916321010924035</v>
      </c>
      <c r="AA30" s="21">
        <f>EXP(-LN(2)/25)*AA29+(1-EXP(-LN(2)/25))/(LN(2)/25)*Calculateur!V30*Calculateur!X30*VLOOKUP('Données projet'!$B$9,Paramètres!$A$1:$I$89,3,0)*0.475*44/12</f>
        <v>41.845950094766479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43.93758219585888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13.225714285714288</v>
      </c>
      <c r="AI30" s="13">
        <f>IF('Données projet'!$A$62&gt;35,AI29+AH30-AQ29,IF(A30&lt;'Données projet'!$A$62,$AF$205^A30,IF(A30='Données projet'!$A$62,'Données projet'!$B$62,AI29+AH30-AQ29)))</f>
        <v>95.031428571428549</v>
      </c>
      <c r="AJ30" s="13">
        <f>AI30*VLOOKUP('Données projet'!$B$10,Paramètres!$A$1:$I$89,3,0)*VLOOKUP('Données projet'!$B$10,Paramètres!$A$1:$I$89,5,0)</f>
        <v>56.828794285714281</v>
      </c>
      <c r="AK30" s="13">
        <f t="shared" si="35"/>
        <v>16.363972467387253</v>
      </c>
      <c r="AL30" s="20">
        <f t="shared" si="4"/>
        <v>127.47740209498517</v>
      </c>
      <c r="AM30" s="59">
        <f t="shared" si="5"/>
        <v>359.99524496754867</v>
      </c>
      <c r="AN30" s="59">
        <f ca="1">AVERAGE(OFFSET($AM$3,0,0,'Données projet'!$E$10+1,1))-AVERAGE(OFFSET($H$3,0,0,'Données projet'!$E$10+1,1))</f>
        <v>302.29526572690196</v>
      </c>
      <c r="AO30" s="59">
        <f t="shared" si="36"/>
        <v>234.86746802631617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1.716263741742815</v>
      </c>
      <c r="AV30" s="21">
        <f>EXP(-LN(2)/25)*AV29+(1-EXP(-LN(2)/25))/(LN(2)/25)*Calculateur!AQ30*Calculateur!AS30*VLOOKUP('Données projet'!$B$10,Paramètres!$A$1:$I$89,3,0)*0.475*44/12</f>
        <v>13.461082029955874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15.177345771698688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94.961345142857169</v>
      </c>
      <c r="BF30" s="13">
        <f t="shared" si="37"/>
        <v>25.758019548315733</v>
      </c>
      <c r="BG30" s="20">
        <f t="shared" si="7"/>
        <v>210.25289350379276</v>
      </c>
      <c r="BH30" s="59">
        <f t="shared" si="8"/>
        <v>442.77073637635624</v>
      </c>
      <c r="BI30" s="59">
        <f ca="1">AVERAGE(OFFSET($BH$3,0,0,'Données projet'!$E$11+1,1))-AVERAGE(OFFSET($H$3,0,0,'Données projet'!$E$11+1,1))</f>
        <v>627.65081154031589</v>
      </c>
      <c r="BJ30" s="59">
        <f t="shared" si="38"/>
        <v>288.78083487077618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99.873138857142877</v>
      </c>
      <c r="CA30" s="13">
        <f t="shared" si="39"/>
        <v>26.931772397929201</v>
      </c>
      <c r="CB30" s="20">
        <f t="shared" si="10"/>
        <v>220.85188710258387</v>
      </c>
      <c r="CC30" s="59">
        <f t="shared" si="11"/>
        <v>453.36972997514738</v>
      </c>
      <c r="CD30" s="59">
        <f ca="1">AVERAGE(OFFSET($CC$3,0,0,'Données projet'!$E$12+1,1))-AVERAGE(OFFSET($H$3,0,0,'Données projet'!$E$12+1,1))</f>
        <v>655.36321433908199</v>
      </c>
      <c r="CE30" s="59">
        <f t="shared" si="40"/>
        <v>300.52980782068698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20.575714285714287</v>
      </c>
      <c r="N31" s="13">
        <f>IF('Données projet'!$A$36&gt;35,N30+M31-V30,IF(A31&lt;'Données projet'!$A$36,$K$205^A31,IF(A31='Données projet'!$A$36,'Données projet'!$B$36,N30+M31-V30)))</f>
        <v>253.45714285714288</v>
      </c>
      <c r="O31" s="13">
        <f>N31*VLOOKUP('Données projet'!$B$9,Paramètres!$A$1:$I$89,3,0)*VLOOKUP('Données projet'!$B$9,Paramètres!$A$1:$I$89,5,0)</f>
        <v>151.56737142857145</v>
      </c>
      <c r="P31" s="13">
        <f t="shared" si="33"/>
        <v>38.934560626064055</v>
      </c>
      <c r="Q31" s="20">
        <f t="shared" si="2"/>
        <v>331.79086499515682</v>
      </c>
      <c r="R31" s="59">
        <f t="shared" si="0"/>
        <v>566.52233441714088</v>
      </c>
      <c r="S31" s="59">
        <f ca="1">AVERAGE(OFFSET($R$3,0,0,'Données projet'!$E$9+1,1))-AVERAGE(OFFSET($H$3,0,0,'Données projet'!$E$9+1,1))</f>
        <v>297.34058997955685</v>
      </c>
      <c r="T31" s="59">
        <f t="shared" si="34"/>
        <v>440.06633724144069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2.0506164713595911</v>
      </c>
      <c r="AA31" s="21">
        <f>EXP(-LN(2)/25)*AA30+(1-EXP(-LN(2)/25))/(LN(2)/25)*Calculateur!V31*Calculateur!X31*VLOOKUP('Données projet'!$B$9,Paramètres!$A$1:$I$89,3,0)*0.475*44/12</f>
        <v>40.701670388842217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42.752286860201806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13.225714285714288</v>
      </c>
      <c r="AI31" s="13">
        <f>IF('Données projet'!$A$62&gt;35,AI30+AH31-AQ30,IF(A31&lt;'Données projet'!$A$62,$AF$205^A31,IF(A31='Données projet'!$A$62,'Données projet'!$B$62,AI30+AH31-AQ30)))</f>
        <v>108.25714285714284</v>
      </c>
      <c r="AJ31" s="13">
        <f>AI31*VLOOKUP('Données projet'!$B$10,Paramètres!$A$1:$I$89,3,0)*VLOOKUP('Données projet'!$B$10,Paramètres!$A$1:$I$89,5,0)</f>
        <v>64.737771428571421</v>
      </c>
      <c r="AK31" s="13">
        <f t="shared" si="35"/>
        <v>18.360776676259963</v>
      </c>
      <c r="AL31" s="20">
        <f t="shared" si="4"/>
        <v>144.72997128258132</v>
      </c>
      <c r="AM31" s="59">
        <f t="shared" si="5"/>
        <v>379.4614407045654</v>
      </c>
      <c r="AN31" s="59">
        <f ca="1">AVERAGE(OFFSET($AM$3,0,0,'Données projet'!$E$10+1,1))-AVERAGE(OFFSET($H$3,0,0,'Données projet'!$E$10+1,1))</f>
        <v>302.29526572690196</v>
      </c>
      <c r="AO31" s="59">
        <f t="shared" si="36"/>
        <v>234.86746802631617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1.6826088565847563</v>
      </c>
      <c r="AV31" s="21">
        <f>EXP(-LN(2)/25)*AV30+(1-EXP(-LN(2)/25))/(LN(2)/25)*Calculateur!AQ31*Calculateur!AS31*VLOOKUP('Données projet'!$B$10,Paramètres!$A$1:$I$89,3,0)*0.475*44/12</f>
        <v>13.092988033959191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14.775596890543948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98.478432000000026</v>
      </c>
      <c r="BF31" s="13">
        <f t="shared" si="37"/>
        <v>26.599182115615513</v>
      </c>
      <c r="BG31" s="20">
        <f t="shared" si="7"/>
        <v>217.84351125136371</v>
      </c>
      <c r="BH31" s="59">
        <f t="shared" si="8"/>
        <v>452.5749806733478</v>
      </c>
      <c r="BI31" s="59">
        <f ca="1">AVERAGE(OFFSET($BH$3,0,0,'Données projet'!$E$11+1,1))-AVERAGE(OFFSET($H$3,0,0,'Données projet'!$E$11+1,1))</f>
        <v>627.65081154031589</v>
      </c>
      <c r="BJ31" s="59">
        <f t="shared" si="38"/>
        <v>288.78083487077618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103.57214400000004</v>
      </c>
      <c r="CA31" s="13">
        <f t="shared" si="39"/>
        <v>27.811265433862424</v>
      </c>
      <c r="CB31" s="20">
        <f t="shared" si="10"/>
        <v>228.8261047639771</v>
      </c>
      <c r="CC31" s="59">
        <f t="shared" si="11"/>
        <v>463.55757418596119</v>
      </c>
      <c r="CD31" s="59">
        <f ca="1">AVERAGE(OFFSET($CC$3,0,0,'Données projet'!$E$12+1,1))-AVERAGE(OFFSET($H$3,0,0,'Données projet'!$E$12+1,1))</f>
        <v>655.36321433908199</v>
      </c>
      <c r="CE31" s="59">
        <f t="shared" si="40"/>
        <v>300.52980782068698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20.575714285714287</v>
      </c>
      <c r="N32" s="13">
        <f>IF('Données projet'!$A$36&gt;35,N31+M32-V31,IF(A32&lt;'Données projet'!$A$36,$K$205^A32,IF(A32='Données projet'!$A$36,'Données projet'!$B$36,N31+M32-V31)))</f>
        <v>274.03285714285715</v>
      </c>
      <c r="O32" s="13">
        <f>N32*VLOOKUP('Données projet'!$B$9,Paramètres!$A$1:$I$89,3,0)*VLOOKUP('Données projet'!$B$9,Paramètres!$A$1:$I$89,5,0)</f>
        <v>163.87164857142858</v>
      </c>
      <c r="P32" s="13">
        <f t="shared" si="33"/>
        <v>41.714557659402736</v>
      </c>
      <c r="Q32" s="20">
        <f t="shared" si="2"/>
        <v>358.06264251869788</v>
      </c>
      <c r="R32" s="59">
        <f t="shared" si="0"/>
        <v>594.99053984147372</v>
      </c>
      <c r="S32" s="59">
        <f ca="1">AVERAGE(OFFSET($R$3,0,0,'Données projet'!$E$9+1,1))-AVERAGE(OFFSET($H$3,0,0,'Données projet'!$E$9+1,1))</f>
        <v>297.34058997955685</v>
      </c>
      <c r="T32" s="59">
        <f t="shared" si="34"/>
        <v>440.06633724144069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2.0104051331087756</v>
      </c>
      <c r="AA32" s="21">
        <f>EXP(-LN(2)/25)*AA31+(1-EXP(-LN(2)/25))/(LN(2)/25)*Calculateur!V32*Calculateur!X32*VLOOKUP('Données projet'!$B$9,Paramètres!$A$1:$I$89,3,0)*0.475*44/12</f>
        <v>39.588681071651507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41.599086204760283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13.225714285714288</v>
      </c>
      <c r="AI32" s="13">
        <f>IF('Données projet'!$A$62&gt;35,AI31+AH32-AQ31,IF(A32&lt;'Données projet'!$A$62,$AF$205^A32,IF(A32='Données projet'!$A$62,'Données projet'!$B$62,AI31+AH32-AQ31)))</f>
        <v>121.48285714285713</v>
      </c>
      <c r="AJ32" s="13">
        <f>AI32*VLOOKUP('Données projet'!$B$10,Paramètres!$A$1:$I$89,3,0)*VLOOKUP('Données projet'!$B$10,Paramètres!$A$1:$I$89,5,0)</f>
        <v>72.64674857142856</v>
      </c>
      <c r="AK32" s="13">
        <f t="shared" si="35"/>
        <v>20.3293120778808</v>
      </c>
      <c r="AL32" s="20">
        <f t="shared" si="4"/>
        <v>161.93330563088048</v>
      </c>
      <c r="AM32" s="59">
        <f t="shared" si="5"/>
        <v>398.86120295365629</v>
      </c>
      <c r="AN32" s="59">
        <f ca="1">AVERAGE(OFFSET($AM$3,0,0,'Données projet'!$E$10+1,1))-AVERAGE(OFFSET($H$3,0,0,'Données projet'!$E$10+1,1))</f>
        <v>302.29526572690196</v>
      </c>
      <c r="AO32" s="59">
        <f t="shared" si="36"/>
        <v>234.86746802631617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1.649613923197194</v>
      </c>
      <c r="AV32" s="21">
        <f>EXP(-LN(2)/25)*AV31+(1-EXP(-LN(2)/25))/(LN(2)/25)*Calculateur!AQ32*Calculateur!AS32*VLOOKUP('Données projet'!$B$10,Paramètres!$A$1:$I$89,3,0)*0.475*44/12</f>
        <v>12.73495958764026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14.384573510837454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101.99551885714288</v>
      </c>
      <c r="BF32" s="13">
        <f t="shared" si="37"/>
        <v>27.436854324518826</v>
      </c>
      <c r="BG32" s="20">
        <f t="shared" si="7"/>
        <v>225.4280499580608</v>
      </c>
      <c r="BH32" s="59">
        <f t="shared" si="8"/>
        <v>462.35594728083663</v>
      </c>
      <c r="BI32" s="59">
        <f ca="1">AVERAGE(OFFSET($BH$3,0,0,'Données projet'!$E$11+1,1))-AVERAGE(OFFSET($H$3,0,0,'Données projet'!$E$11+1,1))</f>
        <v>627.65081154031589</v>
      </c>
      <c r="BJ32" s="59">
        <f t="shared" si="38"/>
        <v>288.78083487077618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107.27114914285718</v>
      </c>
      <c r="CA32" s="13">
        <f t="shared" si="39"/>
        <v>28.687109061200964</v>
      </c>
      <c r="CB32" s="20">
        <f t="shared" si="10"/>
        <v>236.79396637206796</v>
      </c>
      <c r="CC32" s="59">
        <f t="shared" si="11"/>
        <v>473.72186369484382</v>
      </c>
      <c r="CD32" s="59">
        <f ca="1">AVERAGE(OFFSET($CC$3,0,0,'Données projet'!$E$12+1,1))-AVERAGE(OFFSET($H$3,0,0,'Données projet'!$E$12+1,1))</f>
        <v>655.36321433908199</v>
      </c>
      <c r="CE32" s="59">
        <f t="shared" si="40"/>
        <v>300.52980782068698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20.575714285714287</v>
      </c>
      <c r="N33" s="13">
        <f>IF('Données projet'!$A$36&gt;35,N32+M33-V32,IF(A33&lt;'Données projet'!$A$36,$K$205^A33,IF(A33='Données projet'!$A$36,'Données projet'!$B$36,N32+M33-V32)))</f>
        <v>294.60857142857145</v>
      </c>
      <c r="O33" s="13">
        <f>N33*VLOOKUP('Données projet'!$B$9,Paramètres!$A$1:$I$89,3,0)*VLOOKUP('Données projet'!$B$9,Paramètres!$A$1:$I$89,5,0)</f>
        <v>176.17592571428574</v>
      </c>
      <c r="P33" s="13">
        <f t="shared" si="33"/>
        <v>44.470339725943226</v>
      </c>
      <c r="Q33" s="20">
        <f t="shared" si="2"/>
        <v>384.29224564173211</v>
      </c>
      <c r="R33" s="59">
        <f t="shared" si="0"/>
        <v>623.39967057477406</v>
      </c>
      <c r="S33" s="59">
        <f ca="1">AVERAGE(OFFSET($R$3,0,0,'Données projet'!$E$9+1,1))-AVERAGE(OFFSET($H$3,0,0,'Données projet'!$E$9+1,1))</f>
        <v>297.34058997955685</v>
      </c>
      <c r="T33" s="59">
        <f t="shared" si="34"/>
        <v>440.06633724144069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1.970982314674564</v>
      </c>
      <c r="AA33" s="21">
        <f>EXP(-LN(2)/25)*AA32+(1-EXP(-LN(2)/25))/(LN(2)/25)*Calculateur!V33*Calculateur!X33*VLOOKUP('Données projet'!$B$9,Paramètres!$A$1:$I$89,3,0)*0.475*44/12</f>
        <v>38.506126505868941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40.477108820543506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13.225714285714288</v>
      </c>
      <c r="AI33" s="13">
        <f>IF('Données projet'!$A$62&gt;35,AI32+AH33-AQ32,IF(A33&lt;'Données projet'!$A$62,$AF$205^A33,IF(A33='Données projet'!$A$62,'Données projet'!$B$62,AI32+AH33-AQ32)))</f>
        <v>134.70857142857142</v>
      </c>
      <c r="AJ33" s="13">
        <f>AI33*VLOOKUP('Données projet'!$B$10,Paramètres!$A$1:$I$89,3,0)*VLOOKUP('Données projet'!$B$10,Paramètres!$A$1:$I$89,5,0)</f>
        <v>80.555725714285714</v>
      </c>
      <c r="AK33" s="13">
        <f t="shared" si="35"/>
        <v>22.273007162235366</v>
      </c>
      <c r="AL33" s="20">
        <f t="shared" si="4"/>
        <v>179.09337642660753</v>
      </c>
      <c r="AM33" s="59">
        <f t="shared" si="5"/>
        <v>418.20080135964952</v>
      </c>
      <c r="AN33" s="59">
        <f ca="1">AVERAGE(OFFSET($AM$3,0,0,'Données projet'!$E$10+1,1))-AVERAGE(OFFSET($H$3,0,0,'Données projet'!$E$10+1,1))</f>
        <v>302.29526572690196</v>
      </c>
      <c r="AO33" s="59">
        <f t="shared" si="36"/>
        <v>234.86746802631617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1.6172660003284396</v>
      </c>
      <c r="AV33" s="21">
        <f>EXP(-LN(2)/25)*AV32+(1-EXP(-LN(2)/25))/(LN(2)/25)*Calculateur!AQ33*Calculateur!AS33*VLOOKUP('Données projet'!$B$10,Paramètres!$A$1:$I$89,3,0)*0.475*44/12</f>
        <v>12.386721448013818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14.003987448342258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105.51260571428575</v>
      </c>
      <c r="BF33" s="13">
        <f t="shared" si="37"/>
        <v>28.271170326518615</v>
      </c>
      <c r="BG33" s="20">
        <f t="shared" si="7"/>
        <v>233.00674327106756</v>
      </c>
      <c r="BH33" s="59">
        <f t="shared" si="8"/>
        <v>472.11416820410955</v>
      </c>
      <c r="BI33" s="59">
        <f ca="1">AVERAGE(OFFSET($BH$3,0,0,'Données projet'!$E$11+1,1))-AVERAGE(OFFSET($H$3,0,0,'Données projet'!$E$11+1,1))</f>
        <v>627.65081154031589</v>
      </c>
      <c r="BJ33" s="59">
        <f t="shared" si="38"/>
        <v>288.78083487077618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110.97015428571433</v>
      </c>
      <c r="CA33" s="13">
        <f t="shared" si="39"/>
        <v>29.559443544512504</v>
      </c>
      <c r="CB33" s="20">
        <f t="shared" si="10"/>
        <v>244.75571622097837</v>
      </c>
      <c r="CC33" s="59">
        <f t="shared" si="11"/>
        <v>483.86314115402035</v>
      </c>
      <c r="CD33" s="59">
        <f ca="1">AVERAGE(OFFSET($CC$3,0,0,'Données projet'!$E$12+1,1))-AVERAGE(OFFSET($H$3,0,0,'Données projet'!$E$12+1,1))</f>
        <v>655.36321433908199</v>
      </c>
      <c r="CE33" s="59">
        <f t="shared" si="40"/>
        <v>300.52980782068698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20.575714285714287</v>
      </c>
      <c r="N34" s="13">
        <f>IF('Données projet'!$A$36&gt;35,N33+M34-V33,IF(A34&lt;'Données projet'!$A$36,$K$205^A34,IF(A34='Données projet'!$A$36,'Données projet'!$B$36,N33+M34-V33)))</f>
        <v>315.18428571428575</v>
      </c>
      <c r="O34" s="13">
        <f>N34*VLOOKUP('Données projet'!$B$9,Paramètres!$A$1:$I$89,3,0)*VLOOKUP('Données projet'!$B$9,Paramètres!$A$1:$I$89,5,0)</f>
        <v>188.4802028571429</v>
      </c>
      <c r="P34" s="13">
        <f t="shared" si="33"/>
        <v>47.203790390431891</v>
      </c>
      <c r="Q34" s="20">
        <f t="shared" si="2"/>
        <v>410.48295490619279</v>
      </c>
      <c r="R34" s="59">
        <f t="shared" si="0"/>
        <v>650.53107811901032</v>
      </c>
      <c r="S34" s="59">
        <f ca="1">AVERAGE(OFFSET($R$3,0,0,'Données projet'!$E$9+1,1))-AVERAGE(OFFSET($H$3,0,0,'Données projet'!$E$9+1,1))</f>
        <v>297.34058997955685</v>
      </c>
      <c r="T34" s="59">
        <f t="shared" si="34"/>
        <v>440.06633724144069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1.9323325536643023</v>
      </c>
      <c r="AA34" s="21">
        <f>EXP(-LN(2)/25)*AA33+(1-EXP(-LN(2)/25))/(LN(2)/25)*Calculateur!V34*Calculateur!X34*VLOOKUP('Données projet'!$B$9,Paramètres!$A$1:$I$89,3,0)*0.475*44/12</f>
        <v>37.453174451616768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39.38550700528107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13.225714285714288</v>
      </c>
      <c r="AI34" s="13">
        <f>IF('Données projet'!$A$62&gt;35,AI33+AH34-AQ33,IF(A34&lt;'Données projet'!$A$62,$AF$205^A34,IF(A34='Données projet'!$A$62,'Données projet'!$B$62,AI33+AH34-AQ33)))</f>
        <v>147.93428571428569</v>
      </c>
      <c r="AJ34" s="13">
        <f>AI34*VLOOKUP('Données projet'!$B$10,Paramètres!$A$1:$I$89,3,0)*VLOOKUP('Données projet'!$B$10,Paramètres!$A$1:$I$89,5,0)</f>
        <v>88.464702857142854</v>
      </c>
      <c r="AK34" s="13">
        <f t="shared" si="35"/>
        <v>24.1945783177779</v>
      </c>
      <c r="AL34" s="20">
        <f t="shared" si="4"/>
        <v>196.214914712987</v>
      </c>
      <c r="AM34" s="59">
        <f t="shared" si="5"/>
        <v>436.26303792580455</v>
      </c>
      <c r="AN34" s="59">
        <f ca="1">AVERAGE(OFFSET($AM$3,0,0,'Données projet'!$E$10+1,1))-AVERAGE(OFFSET($H$3,0,0,'Données projet'!$E$10+1,1))</f>
        <v>302.29526572690196</v>
      </c>
      <c r="AO34" s="59">
        <f t="shared" si="36"/>
        <v>234.86746802631617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1.5855524004968566</v>
      </c>
      <c r="AV34" s="21">
        <f>EXP(-LN(2)/25)*AV33+(1-EXP(-LN(2)/25))/(LN(2)/25)*Calculateur!AQ34*Calculateur!AS34*VLOOKUP('Données projet'!$B$10,Paramètres!$A$1:$I$89,3,0)*0.475*44/12</f>
        <v>12.048005898628508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13.633558299125365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109.02969257142863</v>
      </c>
      <c r="BF34" s="13">
        <f t="shared" si="37"/>
        <v>29.102254822181546</v>
      </c>
      <c r="BG34" s="20">
        <f t="shared" si="7"/>
        <v>240.57980837720436</v>
      </c>
      <c r="BH34" s="59">
        <f t="shared" si="8"/>
        <v>480.62793159002194</v>
      </c>
      <c r="BI34" s="59">
        <f ca="1">AVERAGE(OFFSET($BH$3,0,0,'Données projet'!$E$11+1,1))-AVERAGE(OFFSET($H$3,0,0,'Données projet'!$E$11+1,1))</f>
        <v>627.65081154031589</v>
      </c>
      <c r="BJ34" s="59">
        <f t="shared" si="38"/>
        <v>288.78083487077618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114.66915942857148</v>
      </c>
      <c r="CA34" s="13">
        <f t="shared" si="39"/>
        <v>30.42839926677442</v>
      </c>
      <c r="CB34" s="20">
        <f t="shared" si="10"/>
        <v>252.71158139439407</v>
      </c>
      <c r="CC34" s="59">
        <f t="shared" si="11"/>
        <v>492.75970460721163</v>
      </c>
      <c r="CD34" s="59">
        <f ca="1">AVERAGE(OFFSET($CC$3,0,0,'Données projet'!$E$12+1,1))-AVERAGE(OFFSET($H$3,0,0,'Données projet'!$E$12+1,1))</f>
        <v>655.36321433908199</v>
      </c>
      <c r="CE34" s="59">
        <f t="shared" si="40"/>
        <v>300.52980782068698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20.575714285714287</v>
      </c>
      <c r="M35" s="12">
        <f t="array" ref="M35">INDEX(L:L,MIN(IF(ISNUMBER(L35:L231),ROW(L35:L231),"")))</f>
        <v>20.575714285714287</v>
      </c>
      <c r="N35" s="13">
        <f>IF('Données projet'!$A$36&gt;35,N34+M35-V34,IF(A35&lt;'Données projet'!$A$36,$K$205^A35,IF(A35='Données projet'!$A$36,'Données projet'!$B$36,N34+M35-V34)))</f>
        <v>335.76000000000005</v>
      </c>
      <c r="O35" s="13">
        <f>N35*VLOOKUP('Données projet'!$B$9,Paramètres!$A$1:$I$89,3,0)*VLOOKUP('Données projet'!$B$9,Paramètres!$A$1:$I$89,5,0)</f>
        <v>200.78448000000006</v>
      </c>
      <c r="P35" s="13">
        <f t="shared" si="33"/>
        <v>49.916533385625819</v>
      </c>
      <c r="Q35" s="20">
        <f t="shared" ref="Q35:Q66" si="53">(O35+P35)*0.475*44/12</f>
        <v>436.63759831329838</v>
      </c>
      <c r="R35" s="59">
        <f t="shared" si="0"/>
        <v>677.61010079382368</v>
      </c>
      <c r="S35" s="59">
        <f ca="1">AVERAGE(OFFSET($R$3,0,0,'Données projet'!$E$9+1,1))-AVERAGE(OFFSET($H$3,0,0,'Données projet'!$E$9+1,1))</f>
        <v>297.34058997955685</v>
      </c>
      <c r="T35" s="59">
        <f t="shared" si="34"/>
        <v>440.06633724144069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0.13500000000000001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10.078529666318422</v>
      </c>
      <c r="AA35" s="21">
        <f>EXP(-LN(2)/25)*AA34+(1-EXP(-LN(2)/25))/(LN(2)/25)*Calculateur!V35*Calculateur!X35*VLOOKUP('Données projet'!$B$9,Paramètres!$A$1:$I$89,3,0)*0.475*44/12</f>
        <v>50.015457257904416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60.09398692422284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161.16</v>
      </c>
      <c r="AG35" s="12">
        <f>VLOOKUP(A35,'Données projet'!$A$61:$I$81,9,0)</f>
        <v>13.225714285714288</v>
      </c>
      <c r="AH35" s="12">
        <f t="array" ref="AH35">INDEX(AG:AG,MIN(IF(ISNUMBER(AG35:AG231),ROW(AG35:AG231),"")))</f>
        <v>13.225714285714288</v>
      </c>
      <c r="AI35" s="13">
        <f>IF('Données projet'!$A$62&gt;35,AI34+AH35-AQ34,IF(A35&lt;'Données projet'!$A$62,$AF$205^A35,IF(A35='Données projet'!$A$62,'Données projet'!$B$62,AI34+AH35-AQ34)))</f>
        <v>161.15999999999997</v>
      </c>
      <c r="AJ35" s="13">
        <f>AI35*VLOOKUP('Données projet'!$B$10,Paramètres!$A$1:$I$89,3,0)*VLOOKUP('Données projet'!$B$10,Paramètres!$A$1:$I$89,5,0)</f>
        <v>96.373679999999993</v>
      </c>
      <c r="AK35" s="13">
        <f t="shared" si="35"/>
        <v>26.09622840532715</v>
      </c>
      <c r="AL35" s="20">
        <f t="shared" si="4"/>
        <v>213.30175713927812</v>
      </c>
      <c r="AM35" s="59">
        <f t="shared" si="5"/>
        <v>454.27425961980344</v>
      </c>
      <c r="AN35" s="59">
        <f ca="1">AVERAGE(OFFSET($AM$3,0,0,'Données projet'!$E$10+1,1))-AVERAGE(OFFSET($H$3,0,0,'Données projet'!$E$10+1,1))</f>
        <v>302.29526572690196</v>
      </c>
      <c r="AO35" s="59">
        <f t="shared" si="36"/>
        <v>234.86746802631617</v>
      </c>
      <c r="AP35" s="15">
        <f>IF(ISNA(VLOOKUP(A35,'Données projet'!$A$61:$I$81,3,0)),0,VLOOKUP(A35,'Données projet'!$A$61:$I$81,3,0))</f>
        <v>2</v>
      </c>
      <c r="AQ35" s="15">
        <f>IF(ISNA(VLOOKUP(A35,'Données projet'!$A$61:$I$81,4,0)),0,VLOOKUP(A35,'Données projet'!$A$61:$I$81,4,0))</f>
        <v>45.68</v>
      </c>
      <c r="AR35" s="16">
        <f>IF(ISNA(VLOOKUP(A35,'Données projet'!$A$61:$I$81,5,0)),0%,VLOOKUP(A35,'Données projet'!$A$61:$I$81,5,0)*VLOOKUP('Données projet'!$B$10,Paramètres!$A$1:$I$89,7,0))</f>
        <v>0.13500000000000001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6.4464939799297101</v>
      </c>
      <c r="AV35" s="21">
        <f>EXP(-LN(2)/25)*AV34+(1-EXP(-LN(2)/25))/(LN(2)/25)*Calculateur!AQ35*Calculateur!AS35*VLOOKUP('Données projet'!$B$10,Paramètres!$A$1:$I$89,3,0)*0.475*44/12</f>
        <v>19.839838370123793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26.286332350053502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112.54677942857147</v>
      </c>
      <c r="BF35" s="13">
        <f t="shared" si="37"/>
        <v>29.930224010130704</v>
      </c>
      <c r="BG35" s="20">
        <f t="shared" si="7"/>
        <v>248.14744765573963</v>
      </c>
      <c r="BH35" s="59">
        <f t="shared" si="8"/>
        <v>489.11995013626495</v>
      </c>
      <c r="BI35" s="59">
        <f ca="1">AVERAGE(OFFSET($BH$3,0,0,'Données projet'!$E$11+1,1))-AVERAGE(OFFSET($H$3,0,0,'Données projet'!$E$11+1,1))</f>
        <v>627.65081154031589</v>
      </c>
      <c r="BJ35" s="59">
        <f t="shared" si="38"/>
        <v>288.78083487077618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118.36816457142861</v>
      </c>
      <c r="CA35" s="13">
        <f t="shared" si="39"/>
        <v>31.294097721600011</v>
      </c>
      <c r="CB35" s="20">
        <f t="shared" si="10"/>
        <v>260.6617734936915</v>
      </c>
      <c r="CC35" s="59">
        <f t="shared" si="11"/>
        <v>501.63427597421685</v>
      </c>
      <c r="CD35" s="59">
        <f ca="1">AVERAGE(OFFSET($CC$3,0,0,'Données projet'!$E$12+1,1))-AVERAGE(OFFSET($H$3,0,0,'Données projet'!$E$12+1,1))</f>
        <v>655.36321433908199</v>
      </c>
      <c r="CE35" s="59">
        <f t="shared" si="40"/>
        <v>300.52980782068698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18.811538461538461</v>
      </c>
      <c r="N36" s="13">
        <f>IF('Données projet'!$A$36&gt;35,N35+M36-V35,IF(A36&lt;'Données projet'!$A$36,$K$205^A36,IF(A36='Données projet'!$A$36,'Données projet'!$B$36,N35+M36-V35)))</f>
        <v>278.15153846153851</v>
      </c>
      <c r="O36" s="13">
        <f>N36*VLOOKUP('Données projet'!$B$9,Paramètres!$A$1:$I$89,3,0)*VLOOKUP('Données projet'!$B$9,Paramètres!$A$1:$I$89,5,0)</f>
        <v>166.33462000000006</v>
      </c>
      <c r="P36" s="13">
        <f t="shared" si="33"/>
        <v>42.26806189712719</v>
      </c>
      <c r="Q36" s="20">
        <f t="shared" si="53"/>
        <v>363.31633763749659</v>
      </c>
      <c r="R36" s="59">
        <f t="shared" si="0"/>
        <v>605.1971834720373</v>
      </c>
      <c r="S36" s="59">
        <f ca="1">AVERAGE(OFFSET($R$3,0,0,'Données projet'!$E$9+1,1))-AVERAGE(OFFSET($H$3,0,0,'Données projet'!$E$9+1,1))</f>
        <v>297.34058997955685</v>
      </c>
      <c r="T36" s="59">
        <f t="shared" si="34"/>
        <v>440.06633724144069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9.880895846858019</v>
      </c>
      <c r="AA36" s="21">
        <f>EXP(-LN(2)/25)*AA35+(1-EXP(-LN(2)/25))/(LN(2)/25)*Calculateur!V36*Calculateur!X36*VLOOKUP('Données projet'!$B$9,Paramètres!$A$1:$I$89,3,0)*0.475*44/12</f>
        <v>48.647781948988431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58.528677795846448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13.7775</v>
      </c>
      <c r="AI36" s="13">
        <f>IF('Données projet'!$A$62&gt;35,AI35+AH36-AQ35,IF(A36&lt;'Données projet'!$A$62,$AF$205^A36,IF(A36='Données projet'!$A$62,'Données projet'!$B$62,AI35+AH36-AQ35)))</f>
        <v>129.25749999999996</v>
      </c>
      <c r="AJ36" s="13">
        <f>AI36*VLOOKUP('Données projet'!$B$10,Paramètres!$A$1:$I$89,3,0)*VLOOKUP('Données projet'!$B$10,Paramètres!$A$1:$I$89,5,0)</f>
        <v>77.295984999999988</v>
      </c>
      <c r="AK36" s="13">
        <f t="shared" si="35"/>
        <v>21.474721159279436</v>
      </c>
      <c r="AL36" s="20">
        <f t="shared" si="4"/>
        <v>172.025646560745</v>
      </c>
      <c r="AM36" s="59">
        <f t="shared" si="5"/>
        <v>413.90649239528574</v>
      </c>
      <c r="AN36" s="59">
        <f ca="1">AVERAGE(OFFSET($AM$3,0,0,'Données projet'!$E$10+1,1))-AVERAGE(OFFSET($H$3,0,0,'Données projet'!$E$10+1,1))</f>
        <v>302.29526572690196</v>
      </c>
      <c r="AO36" s="59">
        <f t="shared" si="36"/>
        <v>234.86746802631617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6.3200821649563661</v>
      </c>
      <c r="AV36" s="21">
        <f>EXP(-LN(2)/25)*AV35+(1-EXP(-LN(2)/25))/(LN(2)/25)*Calculateur!AQ36*Calculateur!AS36*VLOOKUP('Données projet'!$B$10,Paramètres!$A$1:$I$89,3,0)*0.475*44/12</f>
        <v>19.297316946561004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25.617399111517372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116.06386628571434</v>
      </c>
      <c r="BF36" s="13">
        <f t="shared" si="37"/>
        <v>30.755186414072718</v>
      </c>
      <c r="BG36" s="20">
        <f t="shared" si="7"/>
        <v>255.70985011879577</v>
      </c>
      <c r="BH36" s="59">
        <f t="shared" si="8"/>
        <v>497.59069595333654</v>
      </c>
      <c r="BI36" s="59">
        <f ca="1">AVERAGE(OFFSET($BH$3,0,0,'Données projet'!$E$11+1,1))-AVERAGE(OFFSET($H$3,0,0,'Données projet'!$E$11+1,1))</f>
        <v>627.65081154031589</v>
      </c>
      <c r="BJ36" s="59">
        <f t="shared" si="38"/>
        <v>288.78083487077618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122.06716971428578</v>
      </c>
      <c r="CA36" s="13">
        <f t="shared" si="39"/>
        <v>32.156652377952369</v>
      </c>
      <c r="CB36" s="20">
        <f t="shared" si="10"/>
        <v>268.60649014398143</v>
      </c>
      <c r="CC36" s="59">
        <f t="shared" si="11"/>
        <v>510.4873359785222</v>
      </c>
      <c r="CD36" s="59">
        <f ca="1">AVERAGE(OFFSET($CC$3,0,0,'Données projet'!$E$12+1,1))-AVERAGE(OFFSET($H$3,0,0,'Données projet'!$E$12+1,1))</f>
        <v>655.36321433908199</v>
      </c>
      <c r="CE36" s="59">
        <f t="shared" si="40"/>
        <v>300.52980782068698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18.811538461538461</v>
      </c>
      <c r="N37" s="13">
        <f>IF('Données projet'!$A$36&gt;35,N36+M37-V36,IF(A37&lt;'Données projet'!$A$36,$K$205^A37,IF(A37='Données projet'!$A$36,'Données projet'!$B$36,N36+M37-V36)))</f>
        <v>296.96307692307698</v>
      </c>
      <c r="O37" s="13">
        <f>N37*VLOOKUP('Données projet'!$B$9,Paramètres!$A$1:$I$89,3,0)*VLOOKUP('Données projet'!$B$9,Paramètres!$A$1:$I$89,5,0)</f>
        <v>177.58392000000006</v>
      </c>
      <c r="P37" s="13">
        <f t="shared" si="33"/>
        <v>44.784230847088935</v>
      </c>
      <c r="Q37" s="20">
        <f t="shared" si="53"/>
        <v>387.29119605868004</v>
      </c>
      <c r="R37" s="59">
        <f t="shared" si="0"/>
        <v>630.06462752079563</v>
      </c>
      <c r="S37" s="59">
        <f ca="1">AVERAGE(OFFSET($R$3,0,0,'Données projet'!$E$9+1,1))-AVERAGE(OFFSET($H$3,0,0,'Données projet'!$E$9+1,1))</f>
        <v>297.34058997955685</v>
      </c>
      <c r="T37" s="59">
        <f t="shared" si="34"/>
        <v>440.06633724144069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9.6871375060525082</v>
      </c>
      <c r="AA37" s="21">
        <f>EXP(-LN(2)/25)*AA36+(1-EXP(-LN(2)/25))/(LN(2)/25)*Calculateur!V37*Calculateur!X37*VLOOKUP('Données projet'!$B$9,Paramètres!$A$1:$I$89,3,0)*0.475*44/12</f>
        <v>47.317505793317679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57.004643299370187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13.7775</v>
      </c>
      <c r="AI37" s="13">
        <f>IF('Données projet'!$A$62&gt;35,AI36+AH37-AQ36,IF(A37&lt;'Données projet'!$A$62,$AF$205^A37,IF(A37='Données projet'!$A$62,'Données projet'!$B$62,AI36+AH37-AQ36)))</f>
        <v>143.03499999999997</v>
      </c>
      <c r="AJ37" s="13">
        <f>AI37*VLOOKUP('Données projet'!$B$10,Paramètres!$A$1:$I$89,3,0)*VLOOKUP('Données projet'!$B$10,Paramètres!$A$1:$I$89,5,0)</f>
        <v>85.534929999999974</v>
      </c>
      <c r="AK37" s="13">
        <f t="shared" si="35"/>
        <v>23.485189308025213</v>
      </c>
      <c r="AL37" s="20">
        <f t="shared" si="4"/>
        <v>189.87670779481053</v>
      </c>
      <c r="AM37" s="59">
        <f t="shared" si="5"/>
        <v>432.65013925692608</v>
      </c>
      <c r="AN37" s="59">
        <f ca="1">AVERAGE(OFFSET($AM$3,0,0,'Données projet'!$E$10+1,1))-AVERAGE(OFFSET($H$3,0,0,'Données projet'!$E$10+1,1))</f>
        <v>302.29526572690196</v>
      </c>
      <c r="AO37" s="59">
        <f t="shared" si="36"/>
        <v>234.86746802631617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6.1961492085710557</v>
      </c>
      <c r="AV37" s="21">
        <f>EXP(-LN(2)/25)*AV36+(1-EXP(-LN(2)/25))/(LN(2)/25)*Calculateur!AQ37*Calculateur!AS37*VLOOKUP('Données projet'!$B$10,Paramètres!$A$1:$I$89,3,0)*0.475*44/12</f>
        <v>18.769630799855499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24.965780008426556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119.58095314285718</v>
      </c>
      <c r="BF37" s="13">
        <f t="shared" si="37"/>
        <v>31.577243606763055</v>
      </c>
      <c r="BG37" s="20">
        <f t="shared" si="7"/>
        <v>263.26719267225525</v>
      </c>
      <c r="BH37" s="59">
        <f t="shared" si="8"/>
        <v>506.04062413437083</v>
      </c>
      <c r="BI37" s="59">
        <f ca="1">AVERAGE(OFFSET($BH$3,0,0,'Données projet'!$E$11+1,1))-AVERAGE(OFFSET($H$3,0,0,'Données projet'!$E$11+1,1))</f>
        <v>627.65081154031589</v>
      </c>
      <c r="BJ37" s="59">
        <f t="shared" si="38"/>
        <v>288.78083487077618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125.76617485714293</v>
      </c>
      <c r="CA37" s="13">
        <f t="shared" si="39"/>
        <v>33.016169437099272</v>
      </c>
      <c r="CB37" s="20">
        <f t="shared" si="10"/>
        <v>276.54591631247177</v>
      </c>
      <c r="CC37" s="59">
        <f t="shared" si="11"/>
        <v>519.31934777458741</v>
      </c>
      <c r="CD37" s="59">
        <f ca="1">AVERAGE(OFFSET($CC$3,0,0,'Données projet'!$E$12+1,1))-AVERAGE(OFFSET($H$3,0,0,'Données projet'!$E$12+1,1))</f>
        <v>655.36321433908199</v>
      </c>
      <c r="CE37" s="59">
        <f t="shared" si="40"/>
        <v>300.52980782068698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18.811538461538461</v>
      </c>
      <c r="N38" s="13">
        <f>IF('Données projet'!$A$36&gt;35,N37+M38-V37,IF(A38&lt;'Données projet'!$A$36,$K$205^A38,IF(A38='Données projet'!$A$36,'Données projet'!$B$36,N37+M38-V37)))</f>
        <v>315.77461538461546</v>
      </c>
      <c r="O38" s="13">
        <f>N38*VLOOKUP('Données projet'!$B$9,Paramètres!$A$1:$I$89,3,0)*VLOOKUP('Données projet'!$B$9,Paramètres!$A$1:$I$89,5,0)</f>
        <v>188.83322000000004</v>
      </c>
      <c r="P38" s="13">
        <f t="shared" si="33"/>
        <v>47.281901952869688</v>
      </c>
      <c r="Q38" s="20">
        <f t="shared" si="53"/>
        <v>411.23383740124814</v>
      </c>
      <c r="R38" s="59">
        <f t="shared" si="0"/>
        <v>654.88437012582267</v>
      </c>
      <c r="S38" s="59">
        <f ca="1">AVERAGE(OFFSET($R$3,0,0,'Données projet'!$E$9+1,1))-AVERAGE(OFFSET($H$3,0,0,'Données projet'!$E$9+1,1))</f>
        <v>297.34058997955685</v>
      </c>
      <c r="T38" s="59">
        <f t="shared" si="34"/>
        <v>440.06633724144069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9.4971786481292746</v>
      </c>
      <c r="AA38" s="21">
        <f>EXP(-LN(2)/25)*AA37+(1-EXP(-LN(2)/25))/(LN(2)/25)*Calculateur!V38*Calculateur!X38*VLOOKUP('Données projet'!$B$9,Paramètres!$A$1:$I$89,3,0)*0.475*44/12</f>
        <v>46.023606109079921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55.520784757209199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13.7775</v>
      </c>
      <c r="AI38" s="13">
        <f>IF('Données projet'!$A$62&gt;35,AI37+AH38-AQ37,IF(A38&lt;'Données projet'!$A$62,$AF$205^A38,IF(A38='Données projet'!$A$62,'Données projet'!$B$62,AI37+AH38-AQ37)))</f>
        <v>156.81249999999997</v>
      </c>
      <c r="AJ38" s="13">
        <f>AI38*VLOOKUP('Données projet'!$B$10,Paramètres!$A$1:$I$89,3,0)*VLOOKUP('Données projet'!$B$10,Paramètres!$A$1:$I$89,5,0)</f>
        <v>93.77387499999999</v>
      </c>
      <c r="AK38" s="13">
        <f t="shared" si="35"/>
        <v>25.473205471017128</v>
      </c>
      <c r="AL38" s="20">
        <f t="shared" si="4"/>
        <v>207.68866515368813</v>
      </c>
      <c r="AM38" s="59">
        <f t="shared" si="5"/>
        <v>451.33919787826267</v>
      </c>
      <c r="AN38" s="59">
        <f ca="1">AVERAGE(OFFSET($AM$3,0,0,'Données projet'!$E$10+1,1))-AVERAGE(OFFSET($H$3,0,0,'Données projet'!$E$10+1,1))</f>
        <v>302.29526572690196</v>
      </c>
      <c r="AO38" s="59">
        <f t="shared" si="36"/>
        <v>234.86746802631617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6.0746465018688216</v>
      </c>
      <c r="AV38" s="21">
        <f>EXP(-LN(2)/25)*AV37+(1-EXP(-LN(2)/25))/(LN(2)/25)*Calculateur!AQ38*Calculateur!AS38*VLOOKUP('Données projet'!$B$10,Paramètres!$A$1:$I$89,3,0)*0.475*44/12</f>
        <v>18.256374258581463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24.331020760450286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123.09804000000005</v>
      </c>
      <c r="BF38" s="13">
        <f t="shared" si="37"/>
        <v>32.396490846405321</v>
      </c>
      <c r="BG38" s="20">
        <f t="shared" si="7"/>
        <v>270.81964122415599</v>
      </c>
      <c r="BH38" s="59">
        <f t="shared" si="8"/>
        <v>514.47017394873046</v>
      </c>
      <c r="BI38" s="59">
        <f ca="1">AVERAGE(OFFSET($BH$3,0,0,'Données projet'!$E$11+1,1))-AVERAGE(OFFSET($H$3,0,0,'Données projet'!$E$11+1,1))</f>
        <v>627.65081154031589</v>
      </c>
      <c r="BJ38" s="59">
        <f t="shared" si="38"/>
        <v>288.78083487077618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129.46518000000006</v>
      </c>
      <c r="CA38" s="13">
        <f t="shared" si="39"/>
        <v>33.872748498012392</v>
      </c>
      <c r="CB38" s="20">
        <f t="shared" si="10"/>
        <v>284.48022546737167</v>
      </c>
      <c r="CC38" s="59">
        <f t="shared" si="11"/>
        <v>528.13075819194614</v>
      </c>
      <c r="CD38" s="59">
        <f ca="1">AVERAGE(OFFSET($CC$3,0,0,'Données projet'!$E$12+1,1))-AVERAGE(OFFSET($H$3,0,0,'Données projet'!$E$12+1,1))</f>
        <v>655.36321433908199</v>
      </c>
      <c r="CE38" s="59">
        <f t="shared" si="40"/>
        <v>300.52980782068698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18.811538461538461</v>
      </c>
      <c r="N39" s="13">
        <f>IF('Données projet'!$A$36&gt;35,N38+M39-V38,IF(A39&lt;'Données projet'!$A$36,$K$205^A39,IF(A39='Données projet'!$A$36,'Données projet'!$B$36,N38+M39-V38)))</f>
        <v>334.58615384615393</v>
      </c>
      <c r="O39" s="13">
        <f>N39*VLOOKUP('Données projet'!$B$9,Paramètres!$A$1:$I$89,3,0)*VLOOKUP('Données projet'!$B$9,Paramètres!$A$1:$I$89,5,0)</f>
        <v>200.08252000000007</v>
      </c>
      <c r="P39" s="13">
        <f t="shared" si="33"/>
        <v>49.762302688326976</v>
      </c>
      <c r="Q39" s="20">
        <f t="shared" si="53"/>
        <v>435.14639951550294</v>
      </c>
      <c r="R39" s="59">
        <f t="shared" si="0"/>
        <v>679.65881775653736</v>
      </c>
      <c r="S39" s="59">
        <f ca="1">AVERAGE(OFFSET($R$3,0,0,'Données projet'!$E$9+1,1))-AVERAGE(OFFSET($H$3,0,0,'Données projet'!$E$9+1,1))</f>
        <v>297.34058997955685</v>
      </c>
      <c r="T39" s="59">
        <f t="shared" si="34"/>
        <v>440.06633724144069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9.3109447675464523</v>
      </c>
      <c r="AA39" s="21">
        <f>EXP(-LN(2)/25)*AA38+(1-EXP(-LN(2)/25))/(LN(2)/25)*Calculateur!V39*Calculateur!X39*VLOOKUP('Données projet'!$B$9,Paramètres!$A$1:$I$89,3,0)*0.475*44/12</f>
        <v>44.765088179750876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54.076032947297328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13.7775</v>
      </c>
      <c r="AI39" s="13">
        <f>IF('Données projet'!$A$62&gt;35,AI38+AH39-AQ38,IF(A39&lt;'Données projet'!$A$62,$AF$205^A39,IF(A39='Données projet'!$A$62,'Données projet'!$B$62,AI38+AH39-AQ38)))</f>
        <v>170.58999999999997</v>
      </c>
      <c r="AJ39" s="13">
        <f>AI39*VLOOKUP('Données projet'!$B$10,Paramètres!$A$1:$I$89,3,0)*VLOOKUP('Données projet'!$B$10,Paramètres!$A$1:$I$89,5,0)</f>
        <v>102.01281999999999</v>
      </c>
      <c r="AK39" s="13">
        <f t="shared" si="35"/>
        <v>27.440966573843383</v>
      </c>
      <c r="AL39" s="20">
        <f t="shared" si="4"/>
        <v>225.4653449494439</v>
      </c>
      <c r="AM39" s="59">
        <f t="shared" si="5"/>
        <v>469.9777631904783</v>
      </c>
      <c r="AN39" s="59">
        <f ca="1">AVERAGE(OFFSET($AM$3,0,0,'Données projet'!$E$10+1,1))-AVERAGE(OFFSET($H$3,0,0,'Données projet'!$E$10+1,1))</f>
        <v>302.29526572690196</v>
      </c>
      <c r="AO39" s="59">
        <f t="shared" si="36"/>
        <v>234.86746802631617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5.9555263891356853</v>
      </c>
      <c r="AV39" s="21">
        <f>EXP(-LN(2)/25)*AV38+(1-EXP(-LN(2)/25))/(LN(2)/25)*Calculateur!AQ39*Calculateur!AS39*VLOOKUP('Données projet'!$B$10,Paramètres!$A$1:$I$89,3,0)*0.475*44/12</f>
        <v>17.757152744419557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23.712679133555241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126.61512685714293</v>
      </c>
      <c r="BF39" s="13">
        <f t="shared" si="37"/>
        <v>33.213017638275041</v>
      </c>
      <c r="BG39" s="20">
        <f t="shared" si="7"/>
        <v>278.36735166285297</v>
      </c>
      <c r="BH39" s="59">
        <f t="shared" si="8"/>
        <v>522.87976990388734</v>
      </c>
      <c r="BI39" s="59">
        <f ca="1">AVERAGE(OFFSET($BH$3,0,0,'Données projet'!$E$11+1,1))-AVERAGE(OFFSET($H$3,0,0,'Données projet'!$E$11+1,1))</f>
        <v>627.65081154031589</v>
      </c>
      <c r="BJ39" s="59">
        <f t="shared" si="38"/>
        <v>288.78083487077618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133.16418514285721</v>
      </c>
      <c r="CA39" s="13">
        <f t="shared" si="39"/>
        <v>34.726483144583192</v>
      </c>
      <c r="CB39" s="20">
        <f t="shared" si="10"/>
        <v>292.40958060062536</v>
      </c>
      <c r="CC39" s="59">
        <f t="shared" si="11"/>
        <v>536.92199884165984</v>
      </c>
      <c r="CD39" s="59">
        <f ca="1">AVERAGE(OFFSET($CC$3,0,0,'Données projet'!$E$12+1,1))-AVERAGE(OFFSET($H$3,0,0,'Données projet'!$E$12+1,1))</f>
        <v>655.36321433908199</v>
      </c>
      <c r="CE39" s="59">
        <f t="shared" si="40"/>
        <v>300.52980782068698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18.811538461538461</v>
      </c>
      <c r="N40" s="13">
        <f>IF('Données projet'!$A$36&gt;35,N39+M40-V39,IF(A40&lt;'Données projet'!$A$36,$K$205^A40,IF(A40='Données projet'!$A$36,'Données projet'!$B$36,N39+M40-V39)))</f>
        <v>353.39769230769241</v>
      </c>
      <c r="O40" s="13">
        <f>N40*VLOOKUP('Données projet'!$B$9,Paramètres!$A$1:$I$89,3,0)*VLOOKUP('Données projet'!$B$9,Paramètres!$A$1:$I$89,5,0)</f>
        <v>211.33182000000008</v>
      </c>
      <c r="P40" s="13">
        <f t="shared" si="33"/>
        <v>52.226514706347821</v>
      </c>
      <c r="Q40" s="20">
        <f t="shared" si="53"/>
        <v>459.03076628022262</v>
      </c>
      <c r="R40" s="59">
        <f t="shared" si="0"/>
        <v>704.39011825089369</v>
      </c>
      <c r="S40" s="59">
        <f ca="1">AVERAGE(OFFSET($R$3,0,0,'Données projet'!$E$9+1,1))-AVERAGE(OFFSET($H$3,0,0,'Données projet'!$E$9+1,1))</f>
        <v>297.34058997955685</v>
      </c>
      <c r="T40" s="59">
        <f t="shared" si="34"/>
        <v>440.06633724144069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9.128362819770409</v>
      </c>
      <c r="AA40" s="21">
        <f>EXP(-LN(2)/25)*AA39+(1-EXP(-LN(2)/25))/(LN(2)/25)*Calculateur!V40*Calculateur!X40*VLOOKUP('Données projet'!$B$9,Paramètres!$A$1:$I$89,3,0)*0.475*44/12</f>
        <v>43.540984489381913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52.669347309152322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13.7775</v>
      </c>
      <c r="AI40" s="13">
        <f>IF('Données projet'!$A$62&gt;35,AI39+AH40-AQ39,IF(A40&lt;'Données projet'!$A$62,$AF$205^A40,IF(A40='Données projet'!$A$62,'Données projet'!$B$62,AI39+AH40-AQ39)))</f>
        <v>184.36749999999998</v>
      </c>
      <c r="AJ40" s="13">
        <f>AI40*VLOOKUP('Données projet'!$B$10,Paramètres!$A$1:$I$89,3,0)*VLOOKUP('Données projet'!$B$10,Paramètres!$A$1:$I$89,5,0)</f>
        <v>110.25176500000001</v>
      </c>
      <c r="AK40" s="13">
        <f t="shared" si="35"/>
        <v>29.390294475454798</v>
      </c>
      <c r="AL40" s="20">
        <f t="shared" si="4"/>
        <v>243.20992025308374</v>
      </c>
      <c r="AM40" s="59">
        <f t="shared" si="5"/>
        <v>488.56927222375487</v>
      </c>
      <c r="AN40" s="59">
        <f ca="1">AVERAGE(OFFSET($AM$3,0,0,'Données projet'!$E$10+1,1))-AVERAGE(OFFSET($H$3,0,0,'Données projet'!$E$10+1,1))</f>
        <v>302.29526572690196</v>
      </c>
      <c r="AO40" s="59">
        <f t="shared" si="36"/>
        <v>234.86746802631617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5.8387421491571514</v>
      </c>
      <c r="AV40" s="21">
        <f>EXP(-LN(2)/25)*AV39+(1-EXP(-LN(2)/25))/(LN(2)/25)*Calculateur!AQ40*Calculateur!AS40*VLOOKUP('Données projet'!$B$10,Paramètres!$A$1:$I$89,3,0)*0.475*44/12</f>
        <v>17.271582468815325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23.110324617972477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130.13221371428577</v>
      </c>
      <c r="BF40" s="13">
        <f t="shared" si="37"/>
        <v>34.026908232186209</v>
      </c>
      <c r="BG40" s="20">
        <f t="shared" si="7"/>
        <v>285.91047072343866</v>
      </c>
      <c r="BH40" s="59">
        <f t="shared" si="8"/>
        <v>531.26982269410973</v>
      </c>
      <c r="BI40" s="59">
        <f ca="1">AVERAGE(OFFSET($BH$3,0,0,'Données projet'!$E$11+1,1))-AVERAGE(OFFSET($H$3,0,0,'Données projet'!$E$11+1,1))</f>
        <v>627.65081154031589</v>
      </c>
      <c r="BJ40" s="59">
        <f t="shared" si="38"/>
        <v>288.78083487077618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136.86319028571435</v>
      </c>
      <c r="CA40" s="13">
        <f t="shared" si="39"/>
        <v>35.577461465758702</v>
      </c>
      <c r="CB40" s="20">
        <f t="shared" si="10"/>
        <v>300.33413513381555</v>
      </c>
      <c r="CC40" s="59">
        <f t="shared" si="11"/>
        <v>545.69348710448662</v>
      </c>
      <c r="CD40" s="59">
        <f ca="1">AVERAGE(OFFSET($CC$3,0,0,'Données projet'!$E$12+1,1))-AVERAGE(OFFSET($H$3,0,0,'Données projet'!$E$12+1,1))</f>
        <v>655.36321433908199</v>
      </c>
      <c r="CE40" s="59">
        <f t="shared" si="40"/>
        <v>300.52980782068698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18.811538461538461</v>
      </c>
      <c r="N41" s="13">
        <f>IF('Données projet'!$A$36&gt;35,N40+M41-V40,IF(A41&lt;'Données projet'!$A$36,$K$205^A41,IF(A41='Données projet'!$A$36,'Données projet'!$B$36,N40+M41-V40)))</f>
        <v>372.20923076923089</v>
      </c>
      <c r="O41" s="13">
        <f>N41*VLOOKUP('Données projet'!$B$9,Paramètres!$A$1:$I$89,3,0)*VLOOKUP('Données projet'!$B$9,Paramètres!$A$1:$I$89,5,0)</f>
        <v>222.58112000000008</v>
      </c>
      <c r="P41" s="13">
        <f t="shared" si="33"/>
        <v>54.675498002213622</v>
      </c>
      <c r="Q41" s="20">
        <f t="shared" si="53"/>
        <v>482.88860968718888</v>
      </c>
      <c r="R41" s="59">
        <f t="shared" si="0"/>
        <v>729.08020298074757</v>
      </c>
      <c r="S41" s="59">
        <f ca="1">AVERAGE(OFFSET($R$3,0,0,'Données projet'!$E$9+1,1))-AVERAGE(OFFSET($H$3,0,0,'Données projet'!$E$9+1,1))</f>
        <v>297.34058997955685</v>
      </c>
      <c r="T41" s="59">
        <f t="shared" si="34"/>
        <v>440.06633724144069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8.9493611926262613</v>
      </c>
      <c r="AA41" s="21">
        <f>EXP(-LN(2)/25)*AA40+(1-EXP(-LN(2)/25))/(LN(2)/25)*Calculateur!V41*Calculateur!X41*VLOOKUP('Données projet'!$B$9,Paramètres!$A$1:$I$89,3,0)*0.475*44/12</f>
        <v>42.350353978798907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51.29971517142517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13.7775</v>
      </c>
      <c r="AI41" s="13">
        <f>IF('Données projet'!$A$62&gt;35,AI40+AH41-AQ40,IF(A41&lt;'Données projet'!$A$62,$AF$205^A41,IF(A41='Données projet'!$A$62,'Données projet'!$B$62,AI40+AH41-AQ40)))</f>
        <v>198.14499999999998</v>
      </c>
      <c r="AJ41" s="13">
        <f>AI41*VLOOKUP('Données projet'!$B$10,Paramètres!$A$1:$I$89,3,0)*VLOOKUP('Données projet'!$B$10,Paramètres!$A$1:$I$89,5,0)</f>
        <v>118.49070999999999</v>
      </c>
      <c r="AK41" s="13">
        <f t="shared" si="35"/>
        <v>31.322723294319729</v>
      </c>
      <c r="AL41" s="20">
        <f t="shared" si="4"/>
        <v>260.92506298760685</v>
      </c>
      <c r="AM41" s="59">
        <f t="shared" si="5"/>
        <v>507.11665628116555</v>
      </c>
      <c r="AN41" s="59">
        <f ca="1">AVERAGE(OFFSET($AM$3,0,0,'Données projet'!$E$10+1,1))-AVERAGE(OFFSET($H$3,0,0,'Données projet'!$E$10+1,1))</f>
        <v>302.29526572690196</v>
      </c>
      <c r="AO41" s="59">
        <f t="shared" si="36"/>
        <v>234.86746802631617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5.7242479768932437</v>
      </c>
      <c r="AV41" s="21">
        <f>EXP(-LN(2)/25)*AV40+(1-EXP(-LN(2)/25))/(LN(2)/25)*Calculateur!AQ41*Calculateur!AS41*VLOOKUP('Données projet'!$B$10,Paramètres!$A$1:$I$89,3,0)*0.475*44/12</f>
        <v>16.799290137932523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22.523538114825769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133.64930057142865</v>
      </c>
      <c r="BF41" s="13">
        <f t="shared" si="37"/>
        <v>34.8382420646657</v>
      </c>
      <c r="BG41" s="20">
        <f t="shared" si="7"/>
        <v>293.44913675786432</v>
      </c>
      <c r="BH41" s="59">
        <f t="shared" si="8"/>
        <v>539.64073005142302</v>
      </c>
      <c r="BI41" s="59">
        <f ca="1">AVERAGE(OFFSET($BH$3,0,0,'Données projet'!$E$11+1,1))-AVERAGE(OFFSET($H$3,0,0,'Données projet'!$E$11+1,1))</f>
        <v>627.65081154031589</v>
      </c>
      <c r="BJ41" s="59">
        <f t="shared" si="38"/>
        <v>288.78083487077618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140.56219542857153</v>
      </c>
      <c r="CA41" s="13">
        <f t="shared" si="39"/>
        <v>36.425766517864517</v>
      </c>
      <c r="CB41" s="20">
        <f t="shared" si="10"/>
        <v>308.2540337233761</v>
      </c>
      <c r="CC41" s="59">
        <f t="shared" si="11"/>
        <v>554.44562701693485</v>
      </c>
      <c r="CD41" s="59">
        <f ca="1">AVERAGE(OFFSET($CC$3,0,0,'Données projet'!$E$12+1,1))-AVERAGE(OFFSET($H$3,0,0,'Données projet'!$E$12+1,1))</f>
        <v>655.36321433908199</v>
      </c>
      <c r="CE41" s="59">
        <f t="shared" si="40"/>
        <v>300.52980782068698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18.811538461538461</v>
      </c>
      <c r="N42" s="13">
        <f>IF('Données projet'!$A$36&gt;35,N41+M42-V41,IF(A42&lt;'Données projet'!$A$36,$K$205^A42,IF(A42='Données projet'!$A$36,'Données projet'!$B$36,N41+M42-V41)))</f>
        <v>391.02076923076936</v>
      </c>
      <c r="O42" s="13">
        <f>N42*VLOOKUP('Données projet'!$B$9,Paramètres!$A$1:$I$89,3,0)*VLOOKUP('Données projet'!$B$9,Paramètres!$A$1:$I$89,5,0)</f>
        <v>233.83042000000009</v>
      </c>
      <c r="P42" s="13">
        <f t="shared" si="33"/>
        <v>57.11011005315418</v>
      </c>
      <c r="Q42" s="20">
        <f t="shared" si="53"/>
        <v>506.72142317591027</v>
      </c>
      <c r="R42" s="59">
        <f t="shared" si="0"/>
        <v>753.73082026601742</v>
      </c>
      <c r="S42" s="59">
        <f ca="1">AVERAGE(OFFSET($R$3,0,0,'Données projet'!$E$9+1,1))-AVERAGE(OFFSET($H$3,0,0,'Données projet'!$E$9+1,1))</f>
        <v>297.34058997955685</v>
      </c>
      <c r="T42" s="59">
        <f t="shared" si="34"/>
        <v>440.06633724144069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8.7738696782101986</v>
      </c>
      <c r="AA42" s="21">
        <f>EXP(-LN(2)/25)*AA41+(1-EXP(-LN(2)/25))/(LN(2)/25)*Calculateur!V42*Calculateur!X42*VLOOKUP('Données projet'!$B$9,Paramètres!$A$1:$I$89,3,0)*0.475*44/12</f>
        <v>41.192281322140332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49.966151000350528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13.7775</v>
      </c>
      <c r="AI42" s="13">
        <f>IF('Données projet'!$A$62&gt;35,AI41+AH42-AQ41,IF(A42&lt;'Données projet'!$A$62,$AF$205^A42,IF(A42='Données projet'!$A$62,'Données projet'!$B$62,AI41+AH42-AQ41)))</f>
        <v>211.92249999999999</v>
      </c>
      <c r="AJ42" s="13">
        <f>AI42*VLOOKUP('Données projet'!$B$10,Paramètres!$A$1:$I$89,3,0)*VLOOKUP('Données projet'!$B$10,Paramètres!$A$1:$I$89,5,0)</f>
        <v>126.72965499999999</v>
      </c>
      <c r="AK42" s="13">
        <f t="shared" si="35"/>
        <v>33.239561726451363</v>
      </c>
      <c r="AL42" s="20">
        <f t="shared" si="4"/>
        <v>278.61305246523608</v>
      </c>
      <c r="AM42" s="59">
        <f t="shared" si="5"/>
        <v>525.62244955534322</v>
      </c>
      <c r="AN42" s="59">
        <f ca="1">AVERAGE(OFFSET($AM$3,0,0,'Données projet'!$E$10+1,1))-AVERAGE(OFFSET($H$3,0,0,'Données projet'!$E$10+1,1))</f>
        <v>302.29526572690196</v>
      </c>
      <c r="AO42" s="59">
        <f t="shared" si="36"/>
        <v>234.86746802631617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5.611998965512881</v>
      </c>
      <c r="AV42" s="21">
        <f>EXP(-LN(2)/25)*AV41+(1-EXP(-LN(2)/25))/(LN(2)/25)*Calculateur!AQ42*Calculateur!AS42*VLOOKUP('Données projet'!$B$10,Paramètres!$A$1:$I$89,3,0)*0.475*44/12</f>
        <v>16.339912665674486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21.951911631187368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137.16638742857151</v>
      </c>
      <c r="BF42" s="13">
        <f t="shared" si="37"/>
        <v>35.647094153273272</v>
      </c>
      <c r="BG42" s="20">
        <f t="shared" si="7"/>
        <v>300.98348042171295</v>
      </c>
      <c r="BH42" s="59">
        <f t="shared" si="8"/>
        <v>547.9928775118201</v>
      </c>
      <c r="BI42" s="59">
        <f ca="1">AVERAGE(OFFSET($BH$3,0,0,'Données projet'!$E$11+1,1))-AVERAGE(OFFSET($H$3,0,0,'Données projet'!$E$11+1,1))</f>
        <v>627.65081154031589</v>
      </c>
      <c r="BJ42" s="59">
        <f t="shared" si="38"/>
        <v>288.78083487077618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144.26120057142867</v>
      </c>
      <c r="CA42" s="13">
        <f t="shared" si="39"/>
        <v>37.271476736893916</v>
      </c>
      <c r="CB42" s="20">
        <f t="shared" si="10"/>
        <v>316.16941297866185</v>
      </c>
      <c r="CC42" s="59">
        <f t="shared" si="11"/>
        <v>563.17881006876894</v>
      </c>
      <c r="CD42" s="59">
        <f ca="1">AVERAGE(OFFSET($CC$3,0,0,'Données projet'!$E$12+1,1))-AVERAGE(OFFSET($H$3,0,0,'Données projet'!$E$12+1,1))</f>
        <v>655.36321433908199</v>
      </c>
      <c r="CE42" s="59">
        <f t="shared" si="40"/>
        <v>300.52980782068698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18.811538461538461</v>
      </c>
      <c r="N43" s="13">
        <f>IF('Données projet'!$A$36&gt;35,N42+M43-V42,IF(A43&lt;'Données projet'!$A$36,$K$205^A43,IF(A43='Données projet'!$A$36,'Données projet'!$B$36,N42+M43-V42)))</f>
        <v>409.83230769230784</v>
      </c>
      <c r="O43" s="13">
        <f>N43*VLOOKUP('Données projet'!$B$9,Paramètres!$A$1:$I$89,3,0)*VLOOKUP('Données projet'!$B$9,Paramètres!$A$1:$I$89,5,0)</f>
        <v>245.07972000000012</v>
      </c>
      <c r="P43" s="13">
        <f t="shared" si="33"/>
        <v>59.531121170362454</v>
      </c>
      <c r="Q43" s="20">
        <f t="shared" si="53"/>
        <v>530.53054837171476</v>
      </c>
      <c r="R43" s="59">
        <f t="shared" si="0"/>
        <v>778.34356219083554</v>
      </c>
      <c r="S43" s="59">
        <f ca="1">AVERAGE(OFFSET($R$3,0,0,'Données projet'!$E$9+1,1))-AVERAGE(OFFSET($H$3,0,0,'Données projet'!$E$9+1,1))</f>
        <v>297.34058997955685</v>
      </c>
      <c r="T43" s="59">
        <f t="shared" si="34"/>
        <v>440.06633724144069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8.6018194453525805</v>
      </c>
      <c r="AA43" s="21">
        <f>EXP(-LN(2)/25)*AA42+(1-EXP(-LN(2)/25))/(LN(2)/25)*Calculateur!V43*Calculateur!X43*VLOOKUP('Données projet'!$B$9,Paramètres!$A$1:$I$89,3,0)*0.475*44/12</f>
        <v>40.065876223178478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48.66769566853106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225.7</v>
      </c>
      <c r="AG43" s="12">
        <f>VLOOKUP(A43,'Données projet'!$A$61:$I$81,9,0)</f>
        <v>13.7775</v>
      </c>
      <c r="AH43" s="12">
        <f t="array" ref="AH43">INDEX(AG:AG,MIN(IF(ISNUMBER(AG43:AG239),ROW(AG43:AG239),"")))</f>
        <v>13.7775</v>
      </c>
      <c r="AI43" s="13">
        <f>IF('Données projet'!$A$62&gt;35,AI42+AH43-AQ42,IF(A43&lt;'Données projet'!$A$62,$AF$205^A43,IF(A43='Données projet'!$A$62,'Données projet'!$B$62,AI42+AH43-AQ42)))</f>
        <v>225.7</v>
      </c>
      <c r="AJ43" s="13">
        <f>AI43*VLOOKUP('Données projet'!$B$10,Paramètres!$A$1:$I$89,3,0)*VLOOKUP('Données projet'!$B$10,Paramètres!$A$1:$I$89,5,0)</f>
        <v>134.96860000000001</v>
      </c>
      <c r="AK43" s="13">
        <f t="shared" si="35"/>
        <v>35.141938683339475</v>
      </c>
      <c r="AL43" s="20">
        <f t="shared" si="4"/>
        <v>296.2758548734829</v>
      </c>
      <c r="AM43" s="59">
        <f t="shared" si="5"/>
        <v>544.08886869260368</v>
      </c>
      <c r="AN43" s="59">
        <f ca="1">AVERAGE(OFFSET($AM$3,0,0,'Données projet'!$E$10+1,1))-AVERAGE(OFFSET($H$3,0,0,'Données projet'!$E$10+1,1))</f>
        <v>302.29526572690196</v>
      </c>
      <c r="AO43" s="59">
        <f t="shared" si="36"/>
        <v>234.86746802631617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57.27</v>
      </c>
      <c r="AR43" s="16">
        <f>IF(ISNA(VLOOKUP(A43,'Données projet'!$A$61:$I$81,5,0)),0%,VLOOKUP(A43,'Données projet'!$A$61:$I$81,5,0)*VLOOKUP('Données projet'!$B$10,Paramètres!$A$1:$I$89,7,0))</f>
        <v>0.13500000000000001</v>
      </c>
      <c r="AS43" s="16">
        <f>IF(ISNA(VLOOKUP(A43,'Données projet'!$A$61:$I$81,6,0)),0%,VLOOKUP(A43,'Données projet'!$A$61:$I$81,6,0)*VLOOKUP('Données projet'!$B$10,Paramètres!$A$1:$I$89,7,0))</f>
        <v>0.22500000000000001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11.635198610667356</v>
      </c>
      <c r="AV43" s="21">
        <f>EXP(-LN(2)/25)*AV42+(1-EXP(-LN(2)/25))/(LN(2)/25)*Calculateur!AQ43*Calculateur!AS43*VLOOKUP('Données projet'!$B$10,Paramètres!$A$1:$I$89,3,0)*0.475*44/12</f>
        <v>26.074927876957318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37.710126487624677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140.68347428571437</v>
      </c>
      <c r="BF43" s="13">
        <f t="shared" si="37"/>
        <v>36.453535449340755</v>
      </c>
      <c r="BG43" s="20">
        <f t="shared" si="7"/>
        <v>308.51362528855435</v>
      </c>
      <c r="BH43" s="59">
        <f t="shared" si="8"/>
        <v>556.32663910767519</v>
      </c>
      <c r="BI43" s="59">
        <f ca="1">AVERAGE(OFFSET($BH$3,0,0,'Données projet'!$E$11+1,1))-AVERAGE(OFFSET($H$3,0,0,'Données projet'!$E$11+1,1))</f>
        <v>627.65081154031589</v>
      </c>
      <c r="BJ43" s="59">
        <f t="shared" si="38"/>
        <v>288.78083487077618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147.96020571428582</v>
      </c>
      <c r="CA43" s="13">
        <f t="shared" si="39"/>
        <v>38.11466630732037</v>
      </c>
      <c r="CB43" s="20">
        <f t="shared" si="10"/>
        <v>324.08040210429743</v>
      </c>
      <c r="CC43" s="59">
        <f t="shared" si="11"/>
        <v>571.89341592341827</v>
      </c>
      <c r="CD43" s="59">
        <f ca="1">AVERAGE(OFFSET($CC$3,0,0,'Données projet'!$E$12+1,1))-AVERAGE(OFFSET($H$3,0,0,'Données projet'!$E$12+1,1))</f>
        <v>655.36321433908199</v>
      </c>
      <c r="CE43" s="59">
        <f t="shared" si="40"/>
        <v>300.52980782068698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18.811538461538461</v>
      </c>
      <c r="N44" s="13">
        <f>IF('Données projet'!$A$36&gt;35,N43+M44-V43,IF(A44&lt;'Données projet'!$A$36,$K$205^A44,IF(A44='Données projet'!$A$36,'Données projet'!$B$36,N43+M44-V43)))</f>
        <v>428.64384615384631</v>
      </c>
      <c r="O44" s="13">
        <f>N44*VLOOKUP('Données projet'!$B$9,Paramètres!$A$1:$I$89,3,0)*VLOOKUP('Données projet'!$B$9,Paramètres!$A$1:$I$89,5,0)</f>
        <v>256.32902000000013</v>
      </c>
      <c r="P44" s="13">
        <f t="shared" si="33"/>
        <v>61.939226952630833</v>
      </c>
      <c r="Q44" s="20">
        <f t="shared" si="53"/>
        <v>554.31719677583226</v>
      </c>
      <c r="R44" s="59">
        <f t="shared" si="0"/>
        <v>802.91988637033626</v>
      </c>
      <c r="S44" s="59">
        <f ca="1">AVERAGE(OFFSET($R$3,0,0,'Données projet'!$E$9+1,1))-AVERAGE(OFFSET($H$3,0,0,'Données projet'!$E$9+1,1))</f>
        <v>297.34058997955685</v>
      </c>
      <c r="T44" s="59">
        <f t="shared" si="34"/>
        <v>440.06633724144069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8.4331430126210201</v>
      </c>
      <c r="AA44" s="21">
        <f>EXP(-LN(2)/25)*AA43+(1-EXP(-LN(2)/25))/(LN(2)/25)*Calculateur!V44*Calculateur!X44*VLOOKUP('Données projet'!$B$9,Paramètres!$A$1:$I$89,3,0)*0.475*44/12</f>
        <v>38.970272730882805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47.403415743503828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13.263000000000002</v>
      </c>
      <c r="AI44" s="13">
        <f>IF('Données projet'!$A$62&gt;35,AI43+AH44-AQ43,IF(A44&lt;'Données projet'!$A$62,$AF$205^A44,IF(A44='Données projet'!$A$62,'Données projet'!$B$62,AI43+AH44-AQ43)))</f>
        <v>181.69299999999998</v>
      </c>
      <c r="AJ44" s="13">
        <f>AI44*VLOOKUP('Données projet'!$B$10,Paramètres!$A$1:$I$89,3,0)*VLOOKUP('Données projet'!$B$10,Paramètres!$A$1:$I$89,5,0)</f>
        <v>108.65241399999999</v>
      </c>
      <c r="AK44" s="13">
        <f t="shared" si="35"/>
        <v>29.013255384062703</v>
      </c>
      <c r="AL44" s="20">
        <f t="shared" si="4"/>
        <v>239.76770751057586</v>
      </c>
      <c r="AM44" s="59">
        <f t="shared" si="5"/>
        <v>488.37039710507986</v>
      </c>
      <c r="AN44" s="59">
        <f ca="1">AVERAGE(OFFSET($AM$3,0,0,'Données projet'!$E$10+1,1))-AVERAGE(OFFSET($H$3,0,0,'Données projet'!$E$10+1,1))</f>
        <v>302.29526572690196</v>
      </c>
      <c r="AO44" s="59">
        <f t="shared" si="36"/>
        <v>234.86746802631617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11.407039462682574</v>
      </c>
      <c r="AV44" s="21">
        <f>EXP(-LN(2)/25)*AV43+(1-EXP(-LN(2)/25))/(LN(2)/25)*Calculateur!AQ44*Calculateur!AS44*VLOOKUP('Données projet'!$B$10,Paramètres!$A$1:$I$89,3,0)*0.475*44/12</f>
        <v>25.361907602941059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36.768947065623635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144.20056114285723</v>
      </c>
      <c r="BF44" s="13">
        <f t="shared" si="37"/>
        <v>37.257633154444321</v>
      </c>
      <c r="BG44" s="20">
        <f t="shared" si="7"/>
        <v>316.03968840113345</v>
      </c>
      <c r="BH44" s="59">
        <f t="shared" si="8"/>
        <v>564.64237799563739</v>
      </c>
      <c r="BI44" s="59">
        <f ca="1">AVERAGE(OFFSET($BH$3,0,0,'Données projet'!$E$11+1,1))-AVERAGE(OFFSET($H$3,0,0,'Données projet'!$E$11+1,1))</f>
        <v>627.65081154031589</v>
      </c>
      <c r="BJ44" s="59">
        <f t="shared" si="38"/>
        <v>288.78083487077618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151.65921085714294</v>
      </c>
      <c r="CA44" s="13">
        <f t="shared" si="39"/>
        <v>38.955405492991275</v>
      </c>
      <c r="CB44" s="20">
        <f t="shared" si="10"/>
        <v>331.98712347648376</v>
      </c>
      <c r="CC44" s="59">
        <f t="shared" si="11"/>
        <v>580.5898130709877</v>
      </c>
      <c r="CD44" s="59">
        <f ca="1">AVERAGE(OFFSET($CC$3,0,0,'Données projet'!$E$12+1,1))-AVERAGE(OFFSET($H$3,0,0,'Données projet'!$E$12+1,1))</f>
        <v>655.36321433908199</v>
      </c>
      <c r="CE44" s="59">
        <f t="shared" si="40"/>
        <v>300.52980782068698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18.811538461538461</v>
      </c>
      <c r="N45" s="13">
        <f>IF('Données projet'!$A$36&gt;35,N44+M45-V44,IF(A45&lt;'Données projet'!$A$36,$K$205^A45,IF(A45='Données projet'!$A$36,'Données projet'!$B$36,N44+M45-V44)))</f>
        <v>447.45538461538479</v>
      </c>
      <c r="O45" s="13">
        <f>N45*VLOOKUP('Données projet'!$B$9,Paramètres!$A$1:$I$89,3,0)*VLOOKUP('Données projet'!$B$9,Paramètres!$A$1:$I$89,5,0)</f>
        <v>267.57832000000013</v>
      </c>
      <c r="P45" s="13">
        <f t="shared" si="33"/>
        <v>64.335058492109823</v>
      </c>
      <c r="Q45" s="20">
        <f t="shared" si="53"/>
        <v>578.08246754042477</v>
      </c>
      <c r="R45" s="59">
        <f t="shared" si="0"/>
        <v>827.46113380105953</v>
      </c>
      <c r="S45" s="59">
        <f ca="1">AVERAGE(OFFSET($R$3,0,0,'Données projet'!$E$9+1,1))-AVERAGE(OFFSET($H$3,0,0,'Données projet'!$E$9+1,1))</f>
        <v>297.34058997955685</v>
      </c>
      <c r="T45" s="59">
        <f t="shared" si="34"/>
        <v>440.06633724144069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8.2677742218528607</v>
      </c>
      <c r="AA45" s="21">
        <f>EXP(-LN(2)/25)*AA44+(1-EXP(-LN(2)/25))/(LN(2)/25)*Calculateur!V45*Calculateur!X45*VLOOKUP('Données projet'!$B$9,Paramètres!$A$1:$I$89,3,0)*0.475*44/12</f>
        <v>37.904628573699242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46.172402795552102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13.263000000000002</v>
      </c>
      <c r="AI45" s="13">
        <f>IF('Données projet'!$A$62&gt;35,AI44+AH45-AQ44,IF(A45&lt;'Données projet'!$A$62,$AF$205^A45,IF(A45='Données projet'!$A$62,'Données projet'!$B$62,AI44+AH45-AQ44)))</f>
        <v>194.95599999999999</v>
      </c>
      <c r="AJ45" s="13">
        <f>AI45*VLOOKUP('Données projet'!$B$10,Paramètres!$A$1:$I$89,3,0)*VLOOKUP('Données projet'!$B$10,Paramètres!$A$1:$I$89,5,0)</f>
        <v>116.58368800000001</v>
      </c>
      <c r="AK45" s="13">
        <f t="shared" si="35"/>
        <v>30.876866196156154</v>
      </c>
      <c r="AL45" s="20">
        <f t="shared" si="4"/>
        <v>256.8271318916386</v>
      </c>
      <c r="AM45" s="59">
        <f t="shared" si="5"/>
        <v>506.20579815227336</v>
      </c>
      <c r="AN45" s="59">
        <f ca="1">AVERAGE(OFFSET($AM$3,0,0,'Données projet'!$E$10+1,1))-AVERAGE(OFFSET($H$3,0,0,'Données projet'!$E$10+1,1))</f>
        <v>302.29526572690196</v>
      </c>
      <c r="AO45" s="59">
        <f t="shared" si="36"/>
        <v>234.86746802631617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11.183354376426434</v>
      </c>
      <c r="AV45" s="21">
        <f>EXP(-LN(2)/25)*AV44+(1-EXP(-LN(2)/25))/(LN(2)/25)*Calculateur!AQ45*Calculateur!AS45*VLOOKUP('Données projet'!$B$10,Paramètres!$A$1:$I$89,3,0)*0.475*44/12</f>
        <v>24.66838490581388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35.851739282240317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147.71764800000008</v>
      </c>
      <c r="BF45" s="13">
        <f t="shared" si="37"/>
        <v>38.059451005131997</v>
      </c>
      <c r="BG45" s="20">
        <f t="shared" si="7"/>
        <v>323.56178076727167</v>
      </c>
      <c r="BH45" s="59">
        <f t="shared" si="8"/>
        <v>572.94044702790643</v>
      </c>
      <c r="BI45" s="59">
        <f ca="1">AVERAGE(OFFSET($BH$3,0,0,'Données projet'!$E$11+1,1))-AVERAGE(OFFSET($H$3,0,0,'Données projet'!$E$11+1,1))</f>
        <v>627.65081154031589</v>
      </c>
      <c r="BJ45" s="59">
        <f t="shared" si="38"/>
        <v>288.78083487077618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5.575369807727423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5.575369807727423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155.35821600000008</v>
      </c>
      <c r="CA45" s="13">
        <f t="shared" si="39"/>
        <v>39.793760934829947</v>
      </c>
      <c r="CB45" s="20">
        <f t="shared" si="10"/>
        <v>339.88969316149564</v>
      </c>
      <c r="CC45" s="59">
        <f t="shared" si="11"/>
        <v>589.2683594221304</v>
      </c>
      <c r="CD45" s="59">
        <f ca="1">AVERAGE(OFFSET($CC$3,0,0,'Données projet'!$E$12+1,1))-AVERAGE(OFFSET($H$3,0,0,'Données projet'!$E$12+1,1))</f>
        <v>655.36321433908199</v>
      </c>
      <c r="CE45" s="59">
        <f t="shared" si="40"/>
        <v>300.52980782068698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5.8637510046788428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5.8637510046788428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18.811538461538461</v>
      </c>
      <c r="N46" s="13">
        <f>IF('Données projet'!$A$36&gt;35,N45+M46-V45,IF(A46&lt;'Données projet'!$A$36,$K$205^A46,IF(A46='Données projet'!$A$36,'Données projet'!$B$36,N45+M46-V45)))</f>
        <v>466.26692307692326</v>
      </c>
      <c r="O46" s="13">
        <f>N46*VLOOKUP('Données projet'!$B$9,Paramètres!$A$1:$I$89,3,0)*VLOOKUP('Données projet'!$B$9,Paramètres!$A$1:$I$89,5,0)</f>
        <v>278.82762000000014</v>
      </c>
      <c r="P46" s="13">
        <f t="shared" si="33"/>
        <v>66.719190815445643</v>
      </c>
      <c r="Q46" s="20">
        <f t="shared" si="53"/>
        <v>601.82736217023478</v>
      </c>
      <c r="R46" s="59">
        <f t="shared" si="0"/>
        <v>851.96854363666682</v>
      </c>
      <c r="S46" s="59">
        <f ca="1">AVERAGE(OFFSET($R$3,0,0,'Données projet'!$E$9+1,1))-AVERAGE(OFFSET($H$3,0,0,'Données projet'!$E$9+1,1))</f>
        <v>297.34058997955685</v>
      </c>
      <c r="T46" s="59">
        <f t="shared" si="34"/>
        <v>440.06633724144069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8.1056482122066615</v>
      </c>
      <c r="AA46" s="21">
        <f>EXP(-LN(2)/25)*AA45+(1-EXP(-LN(2)/25))/(LN(2)/25)*Calculateur!V46*Calculateur!X46*VLOOKUP('Données projet'!$B$9,Paramètres!$A$1:$I$89,3,0)*0.475*44/12</f>
        <v>36.868124512033653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44.973772724240312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13.263000000000002</v>
      </c>
      <c r="AI46" s="13">
        <f>IF('Données projet'!$A$62&gt;35,AI45+AH46-AQ45,IF(A46&lt;'Données projet'!$A$62,$AF$205^A46,IF(A46='Données projet'!$A$62,'Données projet'!$B$62,AI45+AH46-AQ45)))</f>
        <v>208.21899999999999</v>
      </c>
      <c r="AJ46" s="13">
        <f>AI46*VLOOKUP('Données projet'!$B$10,Paramètres!$A$1:$I$89,3,0)*VLOOKUP('Données projet'!$B$10,Paramètres!$A$1:$I$89,5,0)</f>
        <v>124.514962</v>
      </c>
      <c r="AK46" s="13">
        <f t="shared" si="35"/>
        <v>32.725765791483454</v>
      </c>
      <c r="AL46" s="20">
        <f t="shared" si="4"/>
        <v>273.86093423683366</v>
      </c>
      <c r="AM46" s="59">
        <f t="shared" si="5"/>
        <v>524.00211570326564</v>
      </c>
      <c r="AN46" s="59">
        <f ca="1">AVERAGE(OFFSET($AM$3,0,0,'Données projet'!$E$10+1,1))-AVERAGE(OFFSET($H$3,0,0,'Données projet'!$E$10+1,1))</f>
        <v>302.29526572690196</v>
      </c>
      <c r="AO46" s="59">
        <f t="shared" si="36"/>
        <v>234.86746802631617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10.964055618277348</v>
      </c>
      <c r="AV46" s="21">
        <f>EXP(-LN(2)/25)*AV45+(1-EXP(-LN(2)/25))/(LN(2)/25)*Calculateur!AQ46*Calculateur!AS46*VLOOKUP('Données projet'!$B$10,Paramètres!$A$1:$I$89,3,0)*0.475*44/12</f>
        <v>23.993826623310419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34.957882241587768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117.10034700000008</v>
      </c>
      <c r="BF46" s="13">
        <f t="shared" si="37"/>
        <v>30.997743089027207</v>
      </c>
      <c r="BG46" s="20">
        <f t="shared" si="7"/>
        <v>257.93750690505584</v>
      </c>
      <c r="BH46" s="59">
        <f t="shared" si="8"/>
        <v>508.07868837148789</v>
      </c>
      <c r="BI46" s="59">
        <f ca="1">AVERAGE(OFFSET($BH$3,0,0,'Données projet'!$E$11+1,1))-AVERAGE(OFFSET($H$3,0,0,'Données projet'!$E$11+1,1))</f>
        <v>627.65081154031589</v>
      </c>
      <c r="BJ46" s="59">
        <f t="shared" si="38"/>
        <v>288.78083487077618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5.4660402064376861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5.4660402064376861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123.15726150000009</v>
      </c>
      <c r="CA46" s="13">
        <f t="shared" si="39"/>
        <v>32.410261982961771</v>
      </c>
      <c r="CB46" s="20">
        <f t="shared" si="10"/>
        <v>270.94677006615854</v>
      </c>
      <c r="CC46" s="59">
        <f t="shared" si="11"/>
        <v>521.08795153259052</v>
      </c>
      <c r="CD46" s="59">
        <f ca="1">AVERAGE(OFFSET($CC$3,0,0,'Données projet'!$E$12+1,1))-AVERAGE(OFFSET($H$3,0,0,'Données projet'!$E$12+1,1))</f>
        <v>655.36321433908199</v>
      </c>
      <c r="CE46" s="59">
        <f t="shared" si="40"/>
        <v>300.52980782068698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5.7487664240120502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5.7487664240120502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18.811538461538461</v>
      </c>
      <c r="N47" s="13">
        <f>IF('Données projet'!$A$36&gt;35,N46+M47-V46,IF(A47&lt;'Données projet'!$A$36,$K$205^A47,IF(A47='Données projet'!$A$36,'Données projet'!$B$36,N46+M47-V46)))</f>
        <v>485.07846153846174</v>
      </c>
      <c r="O47" s="13">
        <f>N47*VLOOKUP('Données projet'!$B$9,Paramètres!$A$1:$I$89,3,0)*VLOOKUP('Données projet'!$B$9,Paramètres!$A$1:$I$89,5,0)</f>
        <v>290.07692000000014</v>
      </c>
      <c r="P47" s="13">
        <f t="shared" si="33"/>
        <v>69.092149924334223</v>
      </c>
      <c r="Q47" s="20">
        <f t="shared" si="53"/>
        <v>625.55279678488239</v>
      </c>
      <c r="R47" s="59">
        <f t="shared" si="0"/>
        <v>876.44326552301982</v>
      </c>
      <c r="S47" s="59">
        <f ca="1">AVERAGE(OFFSET($R$3,0,0,'Données projet'!$E$9+1,1))-AVERAGE(OFFSET($H$3,0,0,'Données projet'!$E$9+1,1))</f>
        <v>297.34058997955685</v>
      </c>
      <c r="T47" s="59">
        <f t="shared" si="34"/>
        <v>440.06633724144069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7.9467013947225231</v>
      </c>
      <c r="AA47" s="21">
        <f>EXP(-LN(2)/25)*AA46+(1-EXP(-LN(2)/25))/(LN(2)/25)*Calculateur!V47*Calculateur!X47*VLOOKUP('Données projet'!$B$9,Paramètres!$A$1:$I$89,3,0)*0.475*44/12</f>
        <v>35.85996370844169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43.806665103164214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13.263000000000002</v>
      </c>
      <c r="AI47" s="13">
        <f>IF('Données projet'!$A$62&gt;35,AI46+AH47-AQ46,IF(A47&lt;'Données projet'!$A$62,$AF$205^A47,IF(A47='Données projet'!$A$62,'Données projet'!$B$62,AI46+AH47-AQ46)))</f>
        <v>221.482</v>
      </c>
      <c r="AJ47" s="13">
        <f>AI47*VLOOKUP('Données projet'!$B$10,Paramètres!$A$1:$I$89,3,0)*VLOOKUP('Données projet'!$B$10,Paramètres!$A$1:$I$89,5,0)</f>
        <v>132.446236</v>
      </c>
      <c r="AK47" s="13">
        <f t="shared" si="35"/>
        <v>34.56099789748054</v>
      </c>
      <c r="AL47" s="20">
        <f t="shared" si="4"/>
        <v>290.87093237144524</v>
      </c>
      <c r="AM47" s="59">
        <f t="shared" si="5"/>
        <v>541.76140110958272</v>
      </c>
      <c r="AN47" s="59">
        <f ca="1">AVERAGE(OFFSET($AM$3,0,0,'Données projet'!$E$10+1,1))-AVERAGE(OFFSET($H$3,0,0,'Données projet'!$E$10+1,1))</f>
        <v>302.29526572690196</v>
      </c>
      <c r="AO47" s="59">
        <f t="shared" si="36"/>
        <v>234.86746802631617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10.749057175016528</v>
      </c>
      <c r="AV47" s="21">
        <f>EXP(-LN(2)/25)*AV46+(1-EXP(-LN(2)/25))/(LN(2)/25)*Calculateur!AQ47*Calculateur!AS47*VLOOKUP('Données projet'!$B$10,Paramètres!$A$1:$I$89,3,0)*0.475*44/12</f>
        <v>23.337714172515494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34.086771347532022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125.5794540000001</v>
      </c>
      <c r="BF47" s="13">
        <f t="shared" si="37"/>
        <v>32.97285338000448</v>
      </c>
      <c r="BG47" s="20">
        <f t="shared" si="7"/>
        <v>276.14526868684135</v>
      </c>
      <c r="BH47" s="59">
        <f t="shared" si="8"/>
        <v>527.03573742497883</v>
      </c>
      <c r="BI47" s="59">
        <f ca="1">AVERAGE(OFFSET($BH$3,0,0,'Données projet'!$E$11+1,1))-AVERAGE(OFFSET($H$3,0,0,'Données projet'!$E$11+1,1))</f>
        <v>627.65081154031589</v>
      </c>
      <c r="BJ47" s="59">
        <f t="shared" si="38"/>
        <v>288.78083487077618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5.3588544919447685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5.3588544919447685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132.0749430000001</v>
      </c>
      <c r="CA47" s="13">
        <f t="shared" si="39"/>
        <v>34.475374974961412</v>
      </c>
      <c r="CB47" s="20">
        <f t="shared" si="10"/>
        <v>290.07513713972457</v>
      </c>
      <c r="CC47" s="59">
        <f t="shared" si="11"/>
        <v>540.965605877862</v>
      </c>
      <c r="CD47" s="59">
        <f ca="1">AVERAGE(OFFSET($CC$3,0,0,'Données projet'!$E$12+1,1))-AVERAGE(OFFSET($H$3,0,0,'Données projet'!$E$12+1,1))</f>
        <v>655.36321433908199</v>
      </c>
      <c r="CE47" s="59">
        <f t="shared" si="40"/>
        <v>300.52980782068698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5.636036620838464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5.636036620838464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18.811538461538461</v>
      </c>
      <c r="M48" s="12">
        <f t="array" ref="M48">INDEX(L:L,MIN(IF(ISNUMBER(L48:L244),ROW(L48:L244),"")))</f>
        <v>18.811538461538461</v>
      </c>
      <c r="N48" s="13">
        <f>IF('Données projet'!$A$36&gt;35,N47+M48-V47,IF(A48&lt;'Données projet'!$A$36,$K$205^A48,IF(A48='Données projet'!$A$36,'Données projet'!$B$36,N47+M48-V47)))</f>
        <v>503.89000000000021</v>
      </c>
      <c r="O48" s="13">
        <f>N48*VLOOKUP('Données projet'!$B$9,Paramètres!$A$1:$I$89,3,0)*VLOOKUP('Données projet'!$B$9,Paramètres!$A$1:$I$89,5,0)</f>
        <v>301.32622000000015</v>
      </c>
      <c r="P48" s="13">
        <f t="shared" si="33"/>
        <v>71.45441871320989</v>
      </c>
      <c r="Q48" s="20">
        <f t="shared" si="53"/>
        <v>649.25961242550738</v>
      </c>
      <c r="R48" s="59">
        <f t="shared" si="0"/>
        <v>900.88636997634148</v>
      </c>
      <c r="S48" s="59">
        <f ca="1">AVERAGE(OFFSET($R$3,0,0,'Données projet'!$E$9+1,1))-AVERAGE(OFFSET($H$3,0,0,'Données projet'!$E$9+1,1))</f>
        <v>297.34058997955685</v>
      </c>
      <c r="T48" s="59">
        <f t="shared" si="34"/>
        <v>440.06633724144069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0.13500000000000001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61.754239574815209</v>
      </c>
      <c r="AA48" s="21">
        <f>EXP(-LN(2)/25)*AA47+(1-EXP(-LN(2)/25))/(LN(2)/25)*Calculateur!V48*Calculateur!X48*VLOOKUP('Données projet'!$B$9,Paramètres!$A$1:$I$89,3,0)*0.475*44/12</f>
        <v>124.46419412401119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186.2184336988264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13.263000000000002</v>
      </c>
      <c r="AI48" s="13">
        <f>IF('Données projet'!$A$62&gt;35,AI47+AH48-AQ47,IF(A48&lt;'Données projet'!$A$62,$AF$205^A48,IF(A48='Données projet'!$A$62,'Données projet'!$B$62,AI47+AH48-AQ47)))</f>
        <v>234.745</v>
      </c>
      <c r="AJ48" s="13">
        <f>AI48*VLOOKUP('Données projet'!$B$10,Paramètres!$A$1:$I$89,3,0)*VLOOKUP('Données projet'!$B$10,Paramètres!$A$1:$I$89,5,0)</f>
        <v>140.37751000000003</v>
      </c>
      <c r="AK48" s="13">
        <f t="shared" si="35"/>
        <v>36.383474176235346</v>
      </c>
      <c r="AL48" s="20">
        <f t="shared" si="4"/>
        <v>307.8587141069433</v>
      </c>
      <c r="AM48" s="59">
        <f t="shared" si="5"/>
        <v>559.48547165777745</v>
      </c>
      <c r="AN48" s="59">
        <f ca="1">AVERAGE(OFFSET($AM$3,0,0,'Données projet'!$E$10+1,1))-AVERAGE(OFFSET($H$3,0,0,'Données projet'!$E$10+1,1))</f>
        <v>302.29526572690196</v>
      </c>
      <c r="AO48" s="59">
        <f t="shared" si="36"/>
        <v>234.86746802631617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10.538274720091952</v>
      </c>
      <c r="AV48" s="21">
        <f>EXP(-LN(2)/25)*AV47+(1-EXP(-LN(2)/25))/(LN(2)/25)*Calculateur!AQ48*Calculateur!AS48*VLOOKUP('Données projet'!$B$10,Paramètres!$A$1:$I$89,3,0)*0.475*44/12</f>
        <v>22.699543151191008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33.237817871282957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134.05856100000008</v>
      </c>
      <c r="BF48" s="13">
        <f t="shared" si="37"/>
        <v>34.932489097291651</v>
      </c>
      <c r="BG48" s="20">
        <f t="shared" si="7"/>
        <v>294.3260789194498</v>
      </c>
      <c r="BH48" s="59">
        <f t="shared" si="8"/>
        <v>545.95283647028396</v>
      </c>
      <c r="BI48" s="59">
        <f ca="1">AVERAGE(OFFSET($BH$3,0,0,'Données projet'!$E$11+1,1))-AVERAGE(OFFSET($H$3,0,0,'Données projet'!$E$11+1,1))</f>
        <v>627.65081154031589</v>
      </c>
      <c r="BJ48" s="59">
        <f t="shared" si="38"/>
        <v>288.78083487077618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5.2537706239362265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5.2537706239362265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140.99262450000012</v>
      </c>
      <c r="CA48" s="13">
        <f t="shared" si="39"/>
        <v>36.524308241039392</v>
      </c>
      <c r="CB48" s="20">
        <f t="shared" si="10"/>
        <v>309.17532452397717</v>
      </c>
      <c r="CC48" s="59">
        <f t="shared" si="11"/>
        <v>560.80208207481132</v>
      </c>
      <c r="CD48" s="59">
        <f ca="1">AVERAGE(OFFSET($CC$3,0,0,'Données projet'!$E$12+1,1))-AVERAGE(OFFSET($H$3,0,0,'Données projet'!$E$12+1,1))</f>
        <v>655.36321433908199</v>
      </c>
      <c r="CE48" s="59">
        <f t="shared" si="40"/>
        <v>300.52980782068698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5.525517380346721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5.525517380346721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252.35027339872931</v>
      </c>
      <c r="S49" s="59">
        <f ca="1">AVERAGE(OFFSET($R$3,0,0,'Données projet'!$E$9+1,1))-AVERAGE(OFFSET($H$3,0,0,'Données projet'!$E$9+1,1))</f>
        <v>297.34058997955685</v>
      </c>
      <c r="T49" s="59">
        <f t="shared" si="34"/>
        <v>440.06633724144069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60.543276603119978</v>
      </c>
      <c r="AA49" s="21">
        <f>EXP(-LN(2)/25)*AA48+(1-EXP(-LN(2)/25))/(LN(2)/25)*Calculateur!V49*Calculateur!X49*VLOOKUP('Données projet'!$B$9,Paramètres!$A$1:$I$89,3,0)*0.475*44/12</f>
        <v>121.06071419040259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181.60399079352257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13.263000000000002</v>
      </c>
      <c r="AI49" s="13">
        <f>IF('Données projet'!$A$62&gt;35,AI48+AH49-AQ48,IF(A49&lt;'Données projet'!$A$62,$AF$205^A49,IF(A49='Données projet'!$A$62,'Données projet'!$B$62,AI48+AH49-AQ48)))</f>
        <v>248.00800000000001</v>
      </c>
      <c r="AJ49" s="13">
        <f>AI49*VLOOKUP('Données projet'!$B$10,Paramètres!$A$1:$I$89,3,0)*VLOOKUP('Données projet'!$B$10,Paramètres!$A$1:$I$89,5,0)</f>
        <v>148.30878400000003</v>
      </c>
      <c r="AK49" s="13">
        <f t="shared" si="35"/>
        <v>38.193997454232679</v>
      </c>
      <c r="AL49" s="20">
        <f t="shared" si="4"/>
        <v>324.8256776994553</v>
      </c>
      <c r="AM49" s="59">
        <f t="shared" si="5"/>
        <v>577.17595109818092</v>
      </c>
      <c r="AN49" s="59">
        <f ca="1">AVERAGE(OFFSET($AM$3,0,0,'Données projet'!$E$10+1,1))-AVERAGE(OFFSET($H$3,0,0,'Données projet'!$E$10+1,1))</f>
        <v>302.29526572690196</v>
      </c>
      <c r="AO49" s="59">
        <f t="shared" si="36"/>
        <v>234.86746802631617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10.331625580543843</v>
      </c>
      <c r="AV49" s="21">
        <f>EXP(-LN(2)/25)*AV48+(1-EXP(-LN(2)/25))/(LN(2)/25)*Calculateur!AQ49*Calculateur!AS49*VLOOKUP('Données projet'!$B$10,Paramètres!$A$1:$I$89,3,0)*0.475*44/12</f>
        <v>22.078822950004596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32.410448530548436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142.53766800000008</v>
      </c>
      <c r="BF49" s="13">
        <f t="shared" si="37"/>
        <v>36.877740410345027</v>
      </c>
      <c r="BG49" s="20">
        <f t="shared" si="7"/>
        <v>312.48183631468436</v>
      </c>
      <c r="BH49" s="59">
        <f t="shared" si="8"/>
        <v>564.83210971340998</v>
      </c>
      <c r="BI49" s="59">
        <f ca="1">AVERAGE(OFFSET($BH$3,0,0,'Données projet'!$E$11+1,1))-AVERAGE(OFFSET($H$3,0,0,'Données projet'!$E$11+1,1))</f>
        <v>627.65081154031589</v>
      </c>
      <c r="BJ49" s="59">
        <f t="shared" si="38"/>
        <v>288.78083487077618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5.1507473864845013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5.1507473864845013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149.91030600000011</v>
      </c>
      <c r="CA49" s="13">
        <f t="shared" si="39"/>
        <v>38.558201627976892</v>
      </c>
      <c r="CB49" s="20">
        <f t="shared" si="10"/>
        <v>328.24931745205993</v>
      </c>
      <c r="CC49" s="59">
        <f t="shared" si="11"/>
        <v>580.5995908507856</v>
      </c>
      <c r="CD49" s="59">
        <f ca="1">AVERAGE(OFFSET($CC$3,0,0,'Données projet'!$E$12+1,1))-AVERAGE(OFFSET($H$3,0,0,'Données projet'!$E$12+1,1))</f>
        <v>655.36321433908199</v>
      </c>
      <c r="CE49" s="59">
        <f t="shared" si="40"/>
        <v>300.52980782068698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5.4171653547509413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5.4171653547509413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253.06123786419906</v>
      </c>
      <c r="S50" s="59">
        <f ca="1">AVERAGE(OFFSET($R$3,0,0,'Données projet'!$E$9+1,1))-AVERAGE(OFFSET($H$3,0,0,'Données projet'!$E$9+1,1))</f>
        <v>297.34058997955685</v>
      </c>
      <c r="T50" s="59">
        <f t="shared" si="34"/>
        <v>440.06633724144069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59.356059876685208</v>
      </c>
      <c r="AA50" s="21">
        <f>EXP(-LN(2)/25)*AA49+(1-EXP(-LN(2)/25))/(LN(2)/25)*Calculateur!V50*Calculateur!X50*VLOOKUP('Données projet'!$B$9,Paramètres!$A$1:$I$89,3,0)*0.475*44/12</f>
        <v>117.75030259455976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177.10636247124495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13.263000000000002</v>
      </c>
      <c r="AI50" s="13">
        <f>IF('Données projet'!$A$62&gt;35,AI49+AH50-AQ49,IF(A50&lt;'Données projet'!$A$62,$AF$205^A50,IF(A50='Données projet'!$A$62,'Données projet'!$B$62,AI49+AH50-AQ49)))</f>
        <v>261.27100000000002</v>
      </c>
      <c r="AJ50" s="13">
        <f>AI50*VLOOKUP('Données projet'!$B$10,Paramètres!$A$1:$I$89,3,0)*VLOOKUP('Données projet'!$B$10,Paramètres!$A$1:$I$89,5,0)</f>
        <v>156.240058</v>
      </c>
      <c r="AK50" s="13">
        <f t="shared" si="35"/>
        <v>39.993279841016957</v>
      </c>
      <c r="AL50" s="20">
        <f t="shared" si="4"/>
        <v>341.77306340643787</v>
      </c>
      <c r="AM50" s="59">
        <f t="shared" si="5"/>
        <v>594.8343012706332</v>
      </c>
      <c r="AN50" s="59">
        <f ca="1">AVERAGE(OFFSET($AM$3,0,0,'Données projet'!$E$10+1,1))-AVERAGE(OFFSET($H$3,0,0,'Données projet'!$E$10+1,1))</f>
        <v>302.29526572690196</v>
      </c>
      <c r="AO50" s="59">
        <f t="shared" si="36"/>
        <v>234.86746802631617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10.129028704578744</v>
      </c>
      <c r="AV50" s="21">
        <f>EXP(-LN(2)/25)*AV49+(1-EXP(-LN(2)/25))/(LN(2)/25)*Calculateur!AQ50*Calculateur!AS50*VLOOKUP('Données projet'!$B$10,Paramètres!$A$1:$I$89,3,0)*0.475*44/12</f>
        <v>21.475076375361883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31.604105079940627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151.01677500000011</v>
      </c>
      <c r="BF50" s="13">
        <f t="shared" si="37"/>
        <v>38.809560459830927</v>
      </c>
      <c r="BG50" s="20">
        <f t="shared" si="7"/>
        <v>330.61420092587235</v>
      </c>
      <c r="BH50" s="59">
        <f t="shared" si="8"/>
        <v>583.6754387900678</v>
      </c>
      <c r="BI50" s="59">
        <f ca="1">AVERAGE(OFFSET($BH$3,0,0,'Données projet'!$E$11+1,1))-AVERAGE(OFFSET($H$3,0,0,'Données projet'!$E$11+1,1))</f>
        <v>627.65081154031589</v>
      </c>
      <c r="BJ50" s="59">
        <f t="shared" si="38"/>
        <v>288.78083487077618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5.0497443718812338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5.0497443718812338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158.82798750000009</v>
      </c>
      <c r="CA50" s="13">
        <f t="shared" si="39"/>
        <v>40.578051709576528</v>
      </c>
      <c r="CB50" s="20">
        <f t="shared" si="10"/>
        <v>347.29885162334591</v>
      </c>
      <c r="CC50" s="59">
        <f t="shared" si="11"/>
        <v>600.36008948754125</v>
      </c>
      <c r="CD50" s="59">
        <f ca="1">AVERAGE(OFFSET($CC$3,0,0,'Données projet'!$E$12+1,1))-AVERAGE(OFFSET($H$3,0,0,'Données projet'!$E$12+1,1))</f>
        <v>655.36321433908199</v>
      </c>
      <c r="CE50" s="59">
        <f t="shared" si="40"/>
        <v>300.52980782068698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5.3109380462888849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5.3109380462888849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253.75986868567136</v>
      </c>
      <c r="S51" s="59">
        <f ca="1">AVERAGE(OFFSET($R$3,0,0,'Données projet'!$E$9+1,1))-AVERAGE(OFFSET($H$3,0,0,'Données projet'!$E$9+1,1))</f>
        <v>297.34058997955685</v>
      </c>
      <c r="T51" s="59">
        <f t="shared" si="34"/>
        <v>440.06633724144069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58.192123746125127</v>
      </c>
      <c r="AA51" s="21">
        <f>EXP(-LN(2)/25)*AA50+(1-EXP(-LN(2)/25))/(LN(2)/25)*Calculateur!V51*Calculateur!X51*VLOOKUP('Données projet'!$B$9,Paramètres!$A$1:$I$89,3,0)*0.475*44/12</f>
        <v>114.53041437789223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172.72253812401735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13.263000000000002</v>
      </c>
      <c r="AI51" s="13">
        <f>IF('Données projet'!$A$62&gt;35,AI50+AH51-AQ50,IF(A51&lt;'Données projet'!$A$62,$AF$205^A51,IF(A51='Données projet'!$A$62,'Données projet'!$B$62,AI50+AH51-AQ50)))</f>
        <v>274.53399999999999</v>
      </c>
      <c r="AJ51" s="13">
        <f>AI51*VLOOKUP('Données projet'!$B$10,Paramètres!$A$1:$I$89,3,0)*VLOOKUP('Données projet'!$B$10,Paramètres!$A$1:$I$89,5,0)</f>
        <v>164.17133200000001</v>
      </c>
      <c r="AK51" s="13">
        <f t="shared" si="35"/>
        <v>41.781957064132989</v>
      </c>
      <c r="AL51" s="20">
        <f t="shared" si="4"/>
        <v>358.70197845336497</v>
      </c>
      <c r="AM51" s="59">
        <f t="shared" si="5"/>
        <v>612.46184713903267</v>
      </c>
      <c r="AN51" s="59">
        <f ca="1">AVERAGE(OFFSET($AM$3,0,0,'Données projet'!$E$10+1,1))-AVERAGE(OFFSET($H$3,0,0,'Données projet'!$E$10+1,1))</f>
        <v>302.29526572690196</v>
      </c>
      <c r="AO51" s="59">
        <f t="shared" si="36"/>
        <v>234.86746802631617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9.9304046297794279</v>
      </c>
      <c r="AV51" s="21">
        <f>EXP(-LN(2)/25)*AV50+(1-EXP(-LN(2)/25))/(LN(2)/25)*Calculateur!AQ51*Calculateur!AS51*VLOOKUP('Données projet'!$B$10,Paramètres!$A$1:$I$89,3,0)*0.475*44/12</f>
        <v>20.887839282552427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30.818243912331855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159.49588200000008</v>
      </c>
      <c r="BF51" s="13">
        <f t="shared" si="37"/>
        <v>40.728789309687656</v>
      </c>
      <c r="BG51" s="20">
        <f t="shared" si="7"/>
        <v>348.72463586437283</v>
      </c>
      <c r="BH51" s="59">
        <f t="shared" si="8"/>
        <v>602.48450455004058</v>
      </c>
      <c r="BI51" s="59">
        <f ca="1">AVERAGE(OFFSET($BH$3,0,0,'Données projet'!$E$11+1,1))-AVERAGE(OFFSET($H$3,0,0,'Données projet'!$E$11+1,1))</f>
        <v>627.65081154031589</v>
      </c>
      <c r="BJ51" s="59">
        <f t="shared" si="38"/>
        <v>288.78083487077618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4.9507219647885812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4.9507219647885812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167.74566900000011</v>
      </c>
      <c r="CA51" s="13">
        <f t="shared" si="39"/>
        <v>42.584736830182422</v>
      </c>
      <c r="CB51" s="20">
        <f t="shared" si="10"/>
        <v>366.32545682090125</v>
      </c>
      <c r="CC51" s="59">
        <f t="shared" si="11"/>
        <v>620.08532550656901</v>
      </c>
      <c r="CD51" s="59">
        <f ca="1">AVERAGE(OFFSET($CC$3,0,0,'Données projet'!$E$12+1,1))-AVERAGE(OFFSET($H$3,0,0,'Données projet'!$E$12+1,1))</f>
        <v>655.36321433908199</v>
      </c>
      <c r="CE51" s="59">
        <f t="shared" si="40"/>
        <v>300.52980782068698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5.2067937905535082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5.2067937905535082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254.44637982429563</v>
      </c>
      <c r="S52" s="59">
        <f ca="1">AVERAGE(OFFSET($R$3,0,0,'Données projet'!$E$9+1,1))-AVERAGE(OFFSET($H$3,0,0,'Données projet'!$E$9+1,1))</f>
        <v>297.34058997955685</v>
      </c>
      <c r="T52" s="59">
        <f t="shared" si="34"/>
        <v>440.06633724144069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57.051011693154386</v>
      </c>
      <c r="AA52" s="21">
        <f>EXP(-LN(2)/25)*AA51+(1-EXP(-LN(2)/25))/(LN(2)/25)*Calculateur!V52*Calculateur!X52*VLOOKUP('Données projet'!$B$9,Paramètres!$A$1:$I$89,3,0)*0.475*44/12</f>
        <v>111.39857417383604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168.44958586699042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13.263000000000002</v>
      </c>
      <c r="AI52" s="13">
        <f>IF('Données projet'!$A$62&gt;35,AI51+AH52-AQ51,IF(A52&lt;'Données projet'!$A$62,$AF$205^A52,IF(A52='Données projet'!$A$62,'Données projet'!$B$62,AI51+AH52-AQ51)))</f>
        <v>287.79699999999997</v>
      </c>
      <c r="AJ52" s="13">
        <f>AI52*VLOOKUP('Données projet'!$B$10,Paramètres!$A$1:$I$89,3,0)*VLOOKUP('Données projet'!$B$10,Paramètres!$A$1:$I$89,5,0)</f>
        <v>172.10260600000001</v>
      </c>
      <c r="AK52" s="13">
        <f t="shared" si="35"/>
        <v>43.560599955376176</v>
      </c>
      <c r="AL52" s="20">
        <f t="shared" si="4"/>
        <v>375.61341703894681</v>
      </c>
      <c r="AM52" s="59">
        <f t="shared" si="5"/>
        <v>630.05979686323872</v>
      </c>
      <c r="AN52" s="59">
        <f ca="1">AVERAGE(OFFSET($AM$3,0,0,'Données projet'!$E$10+1,1))-AVERAGE(OFFSET($H$3,0,0,'Données projet'!$E$10+1,1))</f>
        <v>302.29526572690196</v>
      </c>
      <c r="AO52" s="59">
        <f t="shared" si="36"/>
        <v>234.86746802631617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9.7356754519382029</v>
      </c>
      <c r="AV52" s="21">
        <f>EXP(-LN(2)/25)*AV51+(1-EXP(-LN(2)/25))/(LN(2)/25)*Calculateur!AQ52*Calculateur!AS52*VLOOKUP('Données projet'!$B$10,Paramètres!$A$1:$I$89,3,0)*0.475*44/12</f>
        <v>20.316660218927304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30.052335670865507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167.97498900000011</v>
      </c>
      <c r="BF52" s="13">
        <f t="shared" si="37"/>
        <v>42.636172660412917</v>
      </c>
      <c r="BG52" s="20">
        <f t="shared" si="7"/>
        <v>366.81443989188602</v>
      </c>
      <c r="BH52" s="59">
        <f t="shared" si="8"/>
        <v>621.26081971617805</v>
      </c>
      <c r="BI52" s="59">
        <f ca="1">AVERAGE(OFFSET($BH$3,0,0,'Données projet'!$E$11+1,1))-AVERAGE(OFFSET($H$3,0,0,'Données projet'!$E$11+1,1))</f>
        <v>627.65081154031589</v>
      </c>
      <c r="BJ52" s="59">
        <f t="shared" si="38"/>
        <v>288.78083487077618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4.853641326701311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4.853641326701311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176.66335050000012</v>
      </c>
      <c r="CA52" s="13">
        <f t="shared" si="39"/>
        <v>44.579036670703012</v>
      </c>
      <c r="CB52" s="20">
        <f t="shared" si="10"/>
        <v>385.33049098897459</v>
      </c>
      <c r="CC52" s="59">
        <f t="shared" si="11"/>
        <v>639.77687081326656</v>
      </c>
      <c r="CD52" s="59">
        <f ca="1">AVERAGE(OFFSET($CC$3,0,0,'Données projet'!$E$12+1,1))-AVERAGE(OFFSET($H$3,0,0,'Données projet'!$E$12+1,1))</f>
        <v>655.36321433908199</v>
      </c>
      <c r="CE52" s="59">
        <f t="shared" si="40"/>
        <v>300.52980782068698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5.1046917401513792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5.1046917401513792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255.12098152947377</v>
      </c>
      <c r="S53" s="59">
        <f ca="1">AVERAGE(OFFSET($R$3,0,0,'Données projet'!$E$9+1,1))-AVERAGE(OFFSET($H$3,0,0,'Données projet'!$E$9+1,1))</f>
        <v>297.34058997955685</v>
      </c>
      <c r="T53" s="59">
        <f t="shared" si="34"/>
        <v>440.06633724144069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55.932276151532776</v>
      </c>
      <c r="AA53" s="21">
        <f>EXP(-LN(2)/25)*AA52+(1-EXP(-LN(2)/25))/(LN(2)/25)*Calculateur!V53*Calculateur!X53*VLOOKUP('Données projet'!$B$9,Paramètres!$A$1:$I$89,3,0)*0.475*44/12</f>
        <v>108.35237430485608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164.28465045638887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301.06</v>
      </c>
      <c r="AG53" s="12">
        <f>VLOOKUP(A53,'Données projet'!$A$61:$I$81,9,0)</f>
        <v>13.263000000000002</v>
      </c>
      <c r="AH53" s="12">
        <f t="array" ref="AH53">INDEX(AG:AG,MIN(IF(ISNUMBER(AG53:AG249),ROW(AG53:AG249),"")))</f>
        <v>13.263000000000002</v>
      </c>
      <c r="AI53" s="13">
        <f>IF('Données projet'!$A$62&gt;35,AI52+AH53-AQ52,IF(A53&lt;'Données projet'!$A$62,$AF$205^A53,IF(A53='Données projet'!$A$62,'Données projet'!$B$62,AI52+AH53-AQ52)))</f>
        <v>301.05999999999995</v>
      </c>
      <c r="AJ53" s="13">
        <f>AI53*VLOOKUP('Données projet'!$B$10,Paramètres!$A$1:$I$89,3,0)*VLOOKUP('Données projet'!$B$10,Paramètres!$A$1:$I$89,5,0)</f>
        <v>180.03387999999998</v>
      </c>
      <c r="AK53" s="13">
        <f t="shared" si="35"/>
        <v>45.329723759796117</v>
      </c>
      <c r="AL53" s="20">
        <f t="shared" si="4"/>
        <v>392.50827654831147</v>
      </c>
      <c r="AM53" s="59">
        <f t="shared" si="5"/>
        <v>647.62925807778151</v>
      </c>
      <c r="AN53" s="59">
        <f ca="1">AVERAGE(OFFSET($AM$3,0,0,'Données projet'!$E$10+1,1))-AVERAGE(OFFSET($H$3,0,0,'Données projet'!$E$10+1,1))</f>
        <v>302.29526572690196</v>
      </c>
      <c r="AO53" s="59">
        <f t="shared" si="36"/>
        <v>234.86746802631617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69.17</v>
      </c>
      <c r="AR53" s="16">
        <f>IF(ISNA(VLOOKUP(A53,'Données projet'!$A$61:$I$81,5,0)),0%,VLOOKUP(A53,'Données projet'!$A$61:$I$81,5,0)*VLOOKUP('Données projet'!$B$10,Paramètres!$A$1:$I$89,7,0))</f>
        <v>0.13500000000000001</v>
      </c>
      <c r="AS53" s="16">
        <f>IF(ISNA(VLOOKUP(A53,'Données projet'!$A$61:$I$81,6,0)),0%,VLOOKUP(A53,'Données projet'!$A$61:$I$81,6,0)*VLOOKUP('Données projet'!$B$10,Paramètres!$A$1:$I$89,7,0))</f>
        <v>0.22500000000000001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16.952425543391026</v>
      </c>
      <c r="AV53" s="21">
        <f>EXP(-LN(2)/25)*AV52+(1-EXP(-LN(2)/25))/(LN(2)/25)*Calculateur!AQ53*Calculateur!AS53*VLOOKUP('Données projet'!$B$10,Paramètres!$A$1:$I$89,3,0)*0.475*44/12</f>
        <v>32.05859002013608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49.01101556352711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176.45409600000011</v>
      </c>
      <c r="BF53" s="13">
        <f t="shared" si="37"/>
        <v>44.532376676436577</v>
      </c>
      <c r="BG53" s="20">
        <f t="shared" si="7"/>
        <v>384.88477324479385</v>
      </c>
      <c r="BH53" s="59">
        <f t="shared" si="8"/>
        <v>640.00575477426401</v>
      </c>
      <c r="BI53" s="59">
        <f ca="1">AVERAGE(OFFSET($BH$3,0,0,'Données projet'!$E$11+1,1))-AVERAGE(OFFSET($H$3,0,0,'Données projet'!$E$11+1,1))</f>
        <v>627.65081154031589</v>
      </c>
      <c r="BJ53" s="59">
        <f t="shared" si="38"/>
        <v>288.78083487077618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9.3493382006381829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9.3493382006381829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185.58103200000011</v>
      </c>
      <c r="CA53" s="13">
        <f t="shared" si="39"/>
        <v>46.561647751644131</v>
      </c>
      <c r="CB53" s="20">
        <f t="shared" si="10"/>
        <v>404.31516723411369</v>
      </c>
      <c r="CC53" s="59">
        <f t="shared" si="11"/>
        <v>659.43614876358379</v>
      </c>
      <c r="CD53" s="59">
        <f ca="1">AVERAGE(OFFSET($CC$3,0,0,'Données projet'!$E$12+1,1))-AVERAGE(OFFSET($H$3,0,0,'Données projet'!$E$12+1,1))</f>
        <v>655.36321433908199</v>
      </c>
      <c r="CE53" s="59">
        <f t="shared" si="40"/>
        <v>300.52980782068698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9.8329246592918835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9.8329246592918835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255.78388040325049</v>
      </c>
      <c r="S54" s="59">
        <f ca="1">AVERAGE(OFFSET($R$3,0,0,'Données projet'!$E$9+1,1))-AVERAGE(OFFSET($H$3,0,0,'Données projet'!$E$9+1,1))</f>
        <v>297.34058997955685</v>
      </c>
      <c r="T54" s="59">
        <f t="shared" si="34"/>
        <v>440.06633724144069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54.83547833152106</v>
      </c>
      <c r="AA54" s="21">
        <f>EXP(-LN(2)/25)*AA53+(1-EXP(-LN(2)/25))/(LN(2)/25)*Calculateur!V54*Calculateur!X54*VLOOKUP('Données projet'!$B$9,Paramètres!$A$1:$I$89,3,0)*0.475*44/12</f>
        <v>105.38947293148607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160.22495126300714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11.852000000000004</v>
      </c>
      <c r="AI54" s="13">
        <f>IF('Données projet'!$A$62&gt;35,AI53+AH54-AQ53,IF(A54&lt;'Données projet'!$A$62,$AF$205^A54,IF(A54='Données projet'!$A$62,'Données projet'!$B$62,AI53+AH54-AQ53)))</f>
        <v>243.7419999999999</v>
      </c>
      <c r="AJ54" s="13">
        <f>AI54*VLOOKUP('Données projet'!$B$10,Paramètres!$A$1:$I$89,3,0)*VLOOKUP('Données projet'!$B$10,Paramètres!$A$1:$I$89,5,0)</f>
        <v>145.75771599999996</v>
      </c>
      <c r="AK54" s="13">
        <f t="shared" si="35"/>
        <v>37.612907531129814</v>
      </c>
      <c r="AL54" s="20">
        <f t="shared" si="4"/>
        <v>319.37050265005104</v>
      </c>
      <c r="AM54" s="59">
        <f t="shared" si="5"/>
        <v>575.15438305329781</v>
      </c>
      <c r="AN54" s="59">
        <f ca="1">AVERAGE(OFFSET($AM$3,0,0,'Données projet'!$E$10+1,1))-AVERAGE(OFFSET($H$3,0,0,'Données projet'!$E$10+1,1))</f>
        <v>302.29526572690196</v>
      </c>
      <c r="AO54" s="59">
        <f t="shared" si="36"/>
        <v>234.86746802631617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16.619998818443722</v>
      </c>
      <c r="AV54" s="21">
        <f>EXP(-LN(2)/25)*AV53+(1-EXP(-LN(2)/25))/(LN(2)/25)*Calculateur!AQ54*Calculateur!AS54*VLOOKUP('Données projet'!$B$10,Paramètres!$A$1:$I$89,3,0)*0.475*44/12</f>
        <v>31.181946190147482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47.801945008591204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152.90554500000013</v>
      </c>
      <c r="BF54" s="13">
        <f t="shared" si="37"/>
        <v>39.238142074568863</v>
      </c>
      <c r="BG54" s="20">
        <f t="shared" si="7"/>
        <v>334.65025498820768</v>
      </c>
      <c r="BH54" s="59">
        <f t="shared" si="8"/>
        <v>590.43413539145445</v>
      </c>
      <c r="BI54" s="59">
        <f ca="1">AVERAGE(OFFSET($BH$3,0,0,'Données projet'!$E$11+1,1))-AVERAGE(OFFSET($H$3,0,0,'Données projet'!$E$11+1,1))</f>
        <v>627.65081154031589</v>
      </c>
      <c r="BJ54" s="59">
        <f t="shared" si="38"/>
        <v>288.78083487077618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9.1660033810568926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9.1660033810568926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160.81445250000016</v>
      </c>
      <c r="CA54" s="13">
        <f t="shared" si="39"/>
        <v>41.026163121263572</v>
      </c>
      <c r="CB54" s="20">
        <f t="shared" si="10"/>
        <v>351.53907220703439</v>
      </c>
      <c r="CC54" s="59">
        <f t="shared" si="11"/>
        <v>607.32295261028116</v>
      </c>
      <c r="CD54" s="59">
        <f ca="1">AVERAGE(OFFSET($CC$3,0,0,'Données projet'!$E$12+1,1))-AVERAGE(OFFSET($H$3,0,0,'Données projet'!$E$12+1,1))</f>
        <v>655.36321433908199</v>
      </c>
      <c r="CE54" s="59">
        <f t="shared" si="40"/>
        <v>300.52980782068698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9.6401070042150092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9.6401070042150092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256.43527946358705</v>
      </c>
      <c r="S55" s="59">
        <f ca="1">AVERAGE(OFFSET($R$3,0,0,'Données projet'!$E$9+1,1))-AVERAGE(OFFSET($H$3,0,0,'Données projet'!$E$9+1,1))</f>
        <v>297.34058997955685</v>
      </c>
      <c r="T55" s="59">
        <f t="shared" si="34"/>
        <v>440.06633724144069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53.76018804777916</v>
      </c>
      <c r="AA55" s="21">
        <f>EXP(-LN(2)/25)*AA54+(1-EXP(-LN(2)/25))/(LN(2)/25)*Calculateur!V55*Calculateur!X55*VLOOKUP('Données projet'!$B$9,Paramètres!$A$1:$I$89,3,0)*0.475*44/12</f>
        <v>102.50759225198307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156.26778029976222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11.852000000000004</v>
      </c>
      <c r="AI55" s="13">
        <f>IF('Données projet'!$A$62&gt;35,AI54+AH55-AQ54,IF(A55&lt;'Données projet'!$A$62,$AF$205^A55,IF(A55='Données projet'!$A$62,'Données projet'!$B$62,AI54+AH55-AQ54)))</f>
        <v>255.59399999999991</v>
      </c>
      <c r="AJ55" s="13">
        <f>AI55*VLOOKUP('Données projet'!$B$10,Paramètres!$A$1:$I$89,3,0)*VLOOKUP('Données projet'!$B$10,Paramètres!$A$1:$I$89,5,0)</f>
        <v>152.84521199999998</v>
      </c>
      <c r="AK55" s="13">
        <f t="shared" si="35"/>
        <v>39.224461453843894</v>
      </c>
      <c r="AL55" s="20">
        <f t="shared" si="4"/>
        <v>334.52134793211144</v>
      </c>
      <c r="AM55" s="59">
        <f t="shared" si="5"/>
        <v>590.9566273956948</v>
      </c>
      <c r="AN55" s="59">
        <f ca="1">AVERAGE(OFFSET($AM$3,0,0,'Données projet'!$E$10+1,1))-AVERAGE(OFFSET($H$3,0,0,'Données projet'!$E$10+1,1))</f>
        <v>302.29526572690196</v>
      </c>
      <c r="AO55" s="59">
        <f t="shared" si="36"/>
        <v>234.86746802631617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16.294090778812354</v>
      </c>
      <c r="AV55" s="21">
        <f>EXP(-LN(2)/25)*AV54+(1-EXP(-LN(2)/25))/(LN(2)/25)*Calculateur!AQ55*Calculateur!AS55*VLOOKUP('Données projet'!$B$10,Paramètres!$A$1:$I$89,3,0)*0.475*44/12</f>
        <v>30.329274231790617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46.623365010602967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161.54977800000012</v>
      </c>
      <c r="BF55" s="13">
        <f t="shared" si="37"/>
        <v>41.191875810979205</v>
      </c>
      <c r="BG55" s="20">
        <f t="shared" si="7"/>
        <v>353.10838038745561</v>
      </c>
      <c r="BH55" s="59">
        <f t="shared" si="8"/>
        <v>609.54365985103891</v>
      </c>
      <c r="BI55" s="59">
        <f ca="1">AVERAGE(OFFSET($BH$3,0,0,'Données projet'!$E$11+1,1))-AVERAGE(OFFSET($H$3,0,0,'Données projet'!$E$11+1,1))</f>
        <v>627.65081154031589</v>
      </c>
      <c r="BJ55" s="59">
        <f t="shared" si="38"/>
        <v>288.78083487077618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8.9862636454643923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8.9862636454643923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169.90580100000014</v>
      </c>
      <c r="CA55" s="13">
        <f t="shared" si="39"/>
        <v>43.068925462384662</v>
      </c>
      <c r="CB55" s="20">
        <f t="shared" si="10"/>
        <v>370.93098192198687</v>
      </c>
      <c r="CC55" s="59">
        <f t="shared" si="11"/>
        <v>627.36626138557017</v>
      </c>
      <c r="CD55" s="59">
        <f ca="1">AVERAGE(OFFSET($CC$3,0,0,'Données projet'!$E$12+1,1))-AVERAGE(OFFSET($H$3,0,0,'Données projet'!$E$12+1,1))</f>
        <v>655.36321433908199</v>
      </c>
      <c r="CE55" s="59">
        <f t="shared" si="40"/>
        <v>300.52980782068698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9.4510703857470357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9.4510703857470357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257.07537820653693</v>
      </c>
      <c r="S56" s="59">
        <f ca="1">AVERAGE(OFFSET($R$3,0,0,'Données projet'!$E$9+1,1))-AVERAGE(OFFSET($H$3,0,0,'Données projet'!$E$9+1,1))</f>
        <v>297.34058997955685</v>
      </c>
      <c r="T56" s="59">
        <f t="shared" si="34"/>
        <v>440.06633724144069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52.705983550639125</v>
      </c>
      <c r="AA56" s="21">
        <f>EXP(-LN(2)/25)*AA55+(1-EXP(-LN(2)/25))/(LN(2)/25)*Calculateur!V56*Calculateur!X56*VLOOKUP('Données projet'!$B$9,Paramètres!$A$1:$I$89,3,0)*0.475*44/12</f>
        <v>99.704516751212594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152.41050030185173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11.852000000000004</v>
      </c>
      <c r="AI56" s="13">
        <f>IF('Données projet'!$A$62&gt;35,AI55+AH56-AQ55,IF(A56&lt;'Données projet'!$A$62,$AF$205^A56,IF(A56='Données projet'!$A$62,'Données projet'!$B$62,AI55+AH56-AQ55)))</f>
        <v>267.44599999999991</v>
      </c>
      <c r="AJ56" s="13">
        <f>AI56*VLOOKUP('Données projet'!$B$10,Paramètres!$A$1:$I$89,3,0)*VLOOKUP('Données projet'!$B$10,Paramètres!$A$1:$I$89,5,0)</f>
        <v>159.93270799999996</v>
      </c>
      <c r="AK56" s="13">
        <f t="shared" si="35"/>
        <v>40.827337136686786</v>
      </c>
      <c r="AL56" s="20">
        <f t="shared" si="4"/>
        <v>349.65707861306277</v>
      </c>
      <c r="AM56" s="59">
        <f t="shared" si="5"/>
        <v>606.732456819596</v>
      </c>
      <c r="AN56" s="59">
        <f ca="1">AVERAGE(OFFSET($AM$3,0,0,'Données projet'!$E$10+1,1))-AVERAGE(OFFSET($H$3,0,0,'Données projet'!$E$10+1,1))</f>
        <v>302.29526572690196</v>
      </c>
      <c r="AO56" s="59">
        <f t="shared" si="36"/>
        <v>234.86746802631617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15.974573597053881</v>
      </c>
      <c r="AV56" s="21">
        <f>EXP(-LN(2)/25)*AV55+(1-EXP(-LN(2)/25))/(LN(2)/25)*Calculateur!AQ56*Calculateur!AS56*VLOOKUP('Données projet'!$B$10,Paramètres!$A$1:$I$89,3,0)*0.475*44/12</f>
        <v>29.499918632975088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45.474492230028972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170.19401100000013</v>
      </c>
      <c r="BF56" s="13">
        <f t="shared" si="37"/>
        <v>43.133472710542861</v>
      </c>
      <c r="BG56" s="20">
        <f t="shared" si="7"/>
        <v>371.54536746252899</v>
      </c>
      <c r="BH56" s="59">
        <f t="shared" si="8"/>
        <v>628.62074566906222</v>
      </c>
      <c r="BI56" s="59">
        <f ca="1">AVERAGE(OFFSET($BH$3,0,0,'Données projet'!$E$11+1,1))-AVERAGE(OFFSET($H$3,0,0,'Données projet'!$E$11+1,1))</f>
        <v>627.65081154031589</v>
      </c>
      <c r="BJ56" s="59">
        <f t="shared" si="38"/>
        <v>288.78083487077618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8.8100484964564476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8.8100484964564476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178.99714950000015</v>
      </c>
      <c r="CA56" s="13">
        <f t="shared" si="39"/>
        <v>45.098997909899069</v>
      </c>
      <c r="CB56" s="20">
        <f t="shared" si="10"/>
        <v>390.30079007224117</v>
      </c>
      <c r="CC56" s="59">
        <f t="shared" si="11"/>
        <v>647.37616827877446</v>
      </c>
      <c r="CD56" s="59">
        <f ca="1">AVERAGE(OFFSET($CC$3,0,0,'Données projet'!$E$12+1,1))-AVERAGE(OFFSET($H$3,0,0,'Données projet'!$E$12+1,1))</f>
        <v>655.36321433908199</v>
      </c>
      <c r="CE56" s="59">
        <f t="shared" si="40"/>
        <v>300.52980782068698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9.2657406600662657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9.2657406600662657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257.70437266734302</v>
      </c>
      <c r="S57" s="59">
        <f ca="1">AVERAGE(OFFSET($R$3,0,0,'Données projet'!$E$9+1,1))-AVERAGE(OFFSET($H$3,0,0,'Données projet'!$E$9+1,1))</f>
        <v>297.34058997955685</v>
      </c>
      <c r="T57" s="59">
        <f t="shared" si="34"/>
        <v>440.06633724144069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51.672451360686757</v>
      </c>
      <c r="AA57" s="21">
        <f>EXP(-LN(2)/25)*AA56+(1-EXP(-LN(2)/25))/(LN(2)/25)*Calculateur!V57*Calculateur!X57*VLOOKUP('Données projet'!$B$9,Paramètres!$A$1:$I$89,3,0)*0.475*44/12</f>
        <v>96.978091497418035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148.65054285810479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11.852000000000004</v>
      </c>
      <c r="AI57" s="13">
        <f>IF('Données projet'!$A$62&gt;35,AI56+AH57-AQ56,IF(A57&lt;'Données projet'!$A$62,$AF$205^A57,IF(A57='Données projet'!$A$62,'Données projet'!$B$62,AI56+AH57-AQ56)))</f>
        <v>279.29799999999989</v>
      </c>
      <c r="AJ57" s="13">
        <f>AI57*VLOOKUP('Données projet'!$B$10,Paramètres!$A$1:$I$89,3,0)*VLOOKUP('Données projet'!$B$10,Paramètres!$A$1:$I$89,5,0)</f>
        <v>167.02020399999992</v>
      </c>
      <c r="AK57" s="13">
        <f t="shared" si="35"/>
        <v>42.421963106256541</v>
      </c>
      <c r="AL57" s="20">
        <f t="shared" si="4"/>
        <v>364.7784410433967</v>
      </c>
      <c r="AM57" s="59">
        <f t="shared" si="5"/>
        <v>622.48281371073608</v>
      </c>
      <c r="AN57" s="59">
        <f ca="1">AVERAGE(OFFSET($AM$3,0,0,'Données projet'!$E$10+1,1))-AVERAGE(OFFSET($H$3,0,0,'Données projet'!$E$10+1,1))</f>
        <v>302.29526572690196</v>
      </c>
      <c r="AO57" s="59">
        <f t="shared" si="36"/>
        <v>234.86746802631617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15.661321952343455</v>
      </c>
      <c r="AV57" s="21">
        <f>EXP(-LN(2)/25)*AV56+(1-EXP(-LN(2)/25))/(LN(2)/25)*Calculateur!AQ57*Calculateur!AS57*VLOOKUP('Données projet'!$B$10,Paramètres!$A$1:$I$89,3,0)*0.475*44/12</f>
        <v>28.693241806623085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44.354563758966542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178.83824400000015</v>
      </c>
      <c r="BF57" s="13">
        <f t="shared" si="37"/>
        <v>45.06361953668285</v>
      </c>
      <c r="BG57" s="20">
        <f t="shared" si="7"/>
        <v>389.96241232638954</v>
      </c>
      <c r="BH57" s="59">
        <f t="shared" si="8"/>
        <v>647.66678499372892</v>
      </c>
      <c r="BI57" s="59">
        <f ca="1">AVERAGE(OFFSET($BH$3,0,0,'Données projet'!$E$11+1,1))-AVERAGE(OFFSET($H$3,0,0,'Données projet'!$E$11+1,1))</f>
        <v>627.65081154031589</v>
      </c>
      <c r="BJ57" s="59">
        <f t="shared" si="38"/>
        <v>288.78083487077618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8.6372888190399202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8.6372888190399202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188.08849800000019</v>
      </c>
      <c r="CA57" s="13">
        <f t="shared" si="39"/>
        <v>47.117098521969908</v>
      </c>
      <c r="CB57" s="20">
        <f t="shared" si="10"/>
        <v>409.64974727576458</v>
      </c>
      <c r="CC57" s="59">
        <f t="shared" si="11"/>
        <v>667.35411994310391</v>
      </c>
      <c r="CD57" s="59">
        <f ca="1">AVERAGE(OFFSET($CC$3,0,0,'Données projet'!$E$12+1,1))-AVERAGE(OFFSET($H$3,0,0,'Données projet'!$E$12+1,1))</f>
        <v>655.36321433908199</v>
      </c>
      <c r="CE57" s="59">
        <f t="shared" si="40"/>
        <v>300.52980782068698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9.0840451372661253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9.0840451372661253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258.32245548047507</v>
      </c>
      <c r="S58" s="59">
        <f ca="1">AVERAGE(OFFSET($R$3,0,0,'Données projet'!$E$9+1,1))-AVERAGE(OFFSET($H$3,0,0,'Données projet'!$E$9+1,1))</f>
        <v>297.34058997955685</v>
      </c>
      <c r="T58" s="59">
        <f t="shared" si="34"/>
        <v>440.06633724144069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50.659186106586965</v>
      </c>
      <c r="AA58" s="21">
        <f>EXP(-LN(2)/25)*AA57+(1-EXP(-LN(2)/25))/(LN(2)/25)*Calculateur!V58*Calculateur!X58*VLOOKUP('Données projet'!$B$9,Paramètres!$A$1:$I$89,3,0)*0.475*44/12</f>
        <v>94.32622048556496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144.98540659215192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11.852000000000004</v>
      </c>
      <c r="AI58" s="13">
        <f>IF('Données projet'!$A$62&gt;35,AI57+AH58-AQ57,IF(A58&lt;'Données projet'!$A$62,$AF$205^A58,IF(A58='Données projet'!$A$62,'Données projet'!$B$62,AI57+AH58-AQ57)))</f>
        <v>291.14999999999986</v>
      </c>
      <c r="AJ58" s="13">
        <f>AI58*VLOOKUP('Données projet'!$B$10,Paramètres!$A$1:$I$89,3,0)*VLOOKUP('Données projet'!$B$10,Paramètres!$A$1:$I$89,5,0)</f>
        <v>174.10769999999994</v>
      </c>
      <c r="AK58" s="13">
        <f t="shared" si="35"/>
        <v>44.008729462937033</v>
      </c>
      <c r="AL58" s="20">
        <f t="shared" si="4"/>
        <v>379.88611464794849</v>
      </c>
      <c r="AM58" s="59">
        <f t="shared" si="5"/>
        <v>638.20857012841986</v>
      </c>
      <c r="AN58" s="59">
        <f ca="1">AVERAGE(OFFSET($AM$3,0,0,'Données projet'!$E$10+1,1))-AVERAGE(OFFSET($H$3,0,0,'Données projet'!$E$10+1,1))</f>
        <v>302.29526572690196</v>
      </c>
      <c r="AO58" s="59">
        <f t="shared" si="36"/>
        <v>234.86746802631617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15.354212981321163</v>
      </c>
      <c r="AV58" s="21">
        <f>EXP(-LN(2)/25)*AV57+(1-EXP(-LN(2)/25))/(LN(2)/25)*Calculateur!AQ58*Calculateur!AS58*VLOOKUP('Données projet'!$B$10,Paramètres!$A$1:$I$89,3,0)*0.475*44/12</f>
        <v>27.908623600508971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43.262836581830136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187.48247700000016</v>
      </c>
      <c r="BF58" s="13">
        <f t="shared" si="37"/>
        <v>46.982932911694917</v>
      </c>
      <c r="BG58" s="20">
        <f t="shared" si="7"/>
        <v>408.3605889295356</v>
      </c>
      <c r="BH58" s="59">
        <f t="shared" si="8"/>
        <v>666.68304441000691</v>
      </c>
      <c r="BI58" s="59">
        <f ca="1">AVERAGE(OFFSET($BH$3,0,0,'Données projet'!$E$11+1,1))-AVERAGE(OFFSET($H$3,0,0,'Données projet'!$E$11+1,1))</f>
        <v>627.65081154031589</v>
      </c>
      <c r="BJ58" s="59">
        <f t="shared" si="38"/>
        <v>288.78083487077618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8.4679168535245335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8.4679168535245335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197.17984650000017</v>
      </c>
      <c r="CA58" s="13">
        <f t="shared" si="39"/>
        <v>49.123872019410832</v>
      </c>
      <c r="CB58" s="20">
        <f t="shared" si="10"/>
        <v>428.97897642130755</v>
      </c>
      <c r="CC58" s="59">
        <f t="shared" si="11"/>
        <v>687.30143190177887</v>
      </c>
      <c r="CD58" s="59">
        <f ca="1">AVERAGE(OFFSET($CC$3,0,0,'Données projet'!$E$12+1,1))-AVERAGE(OFFSET($H$3,0,0,'Données projet'!$E$12+1,1))</f>
        <v>655.36321433908199</v>
      </c>
      <c r="CE58" s="59">
        <f t="shared" si="40"/>
        <v>300.52980782068698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8.9059125528447698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8.9059125528447698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258.92981593862544</v>
      </c>
      <c r="S59" s="59">
        <f ca="1">AVERAGE(OFFSET($R$3,0,0,'Données projet'!$E$9+1,1))-AVERAGE(OFFSET($H$3,0,0,'Données projet'!$E$9+1,1))</f>
        <v>297.34058997955685</v>
      </c>
      <c r="T59" s="59">
        <f t="shared" si="34"/>
        <v>440.06633724144069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49.66579036608929</v>
      </c>
      <c r="AA59" s="21">
        <f>EXP(-LN(2)/25)*AA58+(1-EXP(-LN(2)/25))/(LN(2)/25)*Calculateur!V59*Calculateur!X59*VLOOKUP('Données projet'!$B$9,Paramètres!$A$1:$I$89,3,0)*0.475*44/12</f>
        <v>91.746865025986835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141.41265539207612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11.852000000000004</v>
      </c>
      <c r="AI59" s="13">
        <f>IF('Données projet'!$A$62&gt;35,AI58+AH59-AQ58,IF(A59&lt;'Données projet'!$A$62,$AF$205^A59,IF(A59='Données projet'!$A$62,'Données projet'!$B$62,AI58+AH59-AQ58)))</f>
        <v>303.00199999999984</v>
      </c>
      <c r="AJ59" s="13">
        <f>AI59*VLOOKUP('Données projet'!$B$10,Paramètres!$A$1:$I$89,3,0)*VLOOKUP('Données projet'!$B$10,Paramètres!$A$1:$I$89,5,0)</f>
        <v>181.1951959999999</v>
      </c>
      <c r="AK59" s="13">
        <f t="shared" si="35"/>
        <v>45.58799274971863</v>
      </c>
      <c r="AL59" s="20">
        <f t="shared" si="4"/>
        <v>394.98072040575977</v>
      </c>
      <c r="AM59" s="59">
        <f t="shared" si="5"/>
        <v>653.91053634438151</v>
      </c>
      <c r="AN59" s="59">
        <f ca="1">AVERAGE(OFFSET($AM$3,0,0,'Données projet'!$E$10+1,1))-AVERAGE(OFFSET($H$3,0,0,'Données projet'!$E$10+1,1))</f>
        <v>302.29526572690196</v>
      </c>
      <c r="AO59" s="59">
        <f t="shared" si="36"/>
        <v>234.86746802631617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15.053126229902643</v>
      </c>
      <c r="AV59" s="21">
        <f>EXP(-LN(2)/25)*AV58+(1-EXP(-LN(2)/25))/(LN(2)/25)*Calculateur!AQ59*Calculateur!AS59*VLOOKUP('Données projet'!$B$10,Paramètres!$A$1:$I$89,3,0)*0.475*44/12</f>
        <v>27.145460820502326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42.198587050404967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196.12671000000017</v>
      </c>
      <c r="BF59" s="13">
        <f t="shared" si="37"/>
        <v>48.891969383051702</v>
      </c>
      <c r="BG59" s="20">
        <f t="shared" si="7"/>
        <v>426.74086659214868</v>
      </c>
      <c r="BH59" s="59">
        <f t="shared" si="8"/>
        <v>685.67068253077036</v>
      </c>
      <c r="BI59" s="59">
        <f ca="1">AVERAGE(OFFSET($BH$3,0,0,'Données projet'!$E$11+1,1))-AVERAGE(OFFSET($H$3,0,0,'Données projet'!$E$11+1,1))</f>
        <v>627.65081154031589</v>
      </c>
      <c r="BJ59" s="59">
        <f t="shared" si="38"/>
        <v>288.78083487077618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8.301866168946205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8.301866168946205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206.27119500000018</v>
      </c>
      <c r="CA59" s="13">
        <f t="shared" si="39"/>
        <v>51.11990031069643</v>
      </c>
      <c r="CB59" s="20">
        <f t="shared" si="10"/>
        <v>448.28949099946317</v>
      </c>
      <c r="CC59" s="59">
        <f t="shared" si="11"/>
        <v>707.21930693808486</v>
      </c>
      <c r="CD59" s="59">
        <f ca="1">AVERAGE(OFFSET($CC$3,0,0,'Données projet'!$E$12+1,1))-AVERAGE(OFFSET($H$3,0,0,'Données projet'!$E$12+1,1))</f>
        <v>655.36321433908199</v>
      </c>
      <c r="CE59" s="59">
        <f t="shared" si="40"/>
        <v>300.52980782068698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8.7312730397537681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8.7312730397537681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259.52664005068141</v>
      </c>
      <c r="S60" s="59">
        <f ca="1">AVERAGE(OFFSET($R$3,0,0,'Données projet'!$E$9+1,1))-AVERAGE(OFFSET($H$3,0,0,'Données projet'!$E$9+1,1))</f>
        <v>297.34058997955685</v>
      </c>
      <c r="T60" s="59">
        <f t="shared" si="34"/>
        <v>440.06633724144069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48.691874510151202</v>
      </c>
      <c r="AA60" s="21">
        <f>EXP(-LN(2)/25)*AA59+(1-EXP(-LN(2)/25))/(LN(2)/25)*Calculateur!V60*Calculateur!X60*VLOOKUP('Données projet'!$B$9,Paramètres!$A$1:$I$89,3,0)*0.475*44/12</f>
        <v>89.238042177093277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137.92991668724449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11.852000000000004</v>
      </c>
      <c r="AI60" s="13">
        <f>IF('Données projet'!$A$62&gt;35,AI59+AH60-AQ59,IF(A60&lt;'Données projet'!$A$62,$AF$205^A60,IF(A60='Données projet'!$A$62,'Données projet'!$B$62,AI59+AH60-AQ59)))</f>
        <v>314.85399999999981</v>
      </c>
      <c r="AJ60" s="13">
        <f>AI60*VLOOKUP('Données projet'!$B$10,Paramètres!$A$1:$I$89,3,0)*VLOOKUP('Données projet'!$B$10,Paramètres!$A$1:$I$89,5,0)</f>
        <v>188.28269199999991</v>
      </c>
      <c r="AK60" s="13">
        <f t="shared" si="35"/>
        <v>47.160080037805507</v>
      </c>
      <c r="AL60" s="20">
        <f t="shared" si="4"/>
        <v>410.06282796584441</v>
      </c>
      <c r="AM60" s="59">
        <f t="shared" si="5"/>
        <v>669.58946801652212</v>
      </c>
      <c r="AN60" s="59">
        <f ca="1">AVERAGE(OFFSET($AM$3,0,0,'Données projet'!$E$10+1,1))-AVERAGE(OFFSET($H$3,0,0,'Données projet'!$E$10+1,1))</f>
        <v>302.29526572690196</v>
      </c>
      <c r="AO60" s="59">
        <f t="shared" si="36"/>
        <v>234.86746802631617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14.757943606034654</v>
      </c>
      <c r="AV60" s="21">
        <f>EXP(-LN(2)/25)*AV59+(1-EXP(-LN(2)/25))/(LN(2)/25)*Calculateur!AQ60*Calculateur!AS60*VLOOKUP('Données projet'!$B$10,Paramètres!$A$1:$I$89,3,0)*0.475*44/12</f>
        <v>26.403166766847946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41.161110372882604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204.77094300000016</v>
      </c>
      <c r="BF60" s="13">
        <f t="shared" si="37"/>
        <v>50.791233664926693</v>
      </c>
      <c r="BG60" s="20">
        <f t="shared" si="7"/>
        <v>445.10412435808092</v>
      </c>
      <c r="BH60" s="59">
        <f t="shared" si="8"/>
        <v>704.63076440875864</v>
      </c>
      <c r="BI60" s="59">
        <f ca="1">AVERAGE(OFFSET($BH$3,0,0,'Données projet'!$E$11+1,1))-AVERAGE(OFFSET($H$3,0,0,'Données projet'!$E$11+1,1))</f>
        <v>627.65081154031589</v>
      </c>
      <c r="BJ60" s="59">
        <f t="shared" si="38"/>
        <v>288.78083487077618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8.1390716370115399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8.1390716370115399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215.36254350000016</v>
      </c>
      <c r="CA60" s="13">
        <f t="shared" si="39"/>
        <v>53.105711109039405</v>
      </c>
      <c r="CB60" s="20">
        <f t="shared" si="10"/>
        <v>467.58221011074392</v>
      </c>
      <c r="CC60" s="59">
        <f t="shared" si="11"/>
        <v>727.10885016142163</v>
      </c>
      <c r="CD60" s="59">
        <f ca="1">AVERAGE(OFFSET($CC$3,0,0,'Données projet'!$E$12+1,1))-AVERAGE(OFFSET($H$3,0,0,'Données projet'!$E$12+1,1))</f>
        <v>655.36321433908199</v>
      </c>
      <c r="CE60" s="59">
        <f t="shared" si="40"/>
        <v>300.52980782068698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8.5600581009948957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8.5600581009948957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260.11311059869212</v>
      </c>
      <c r="S61" s="59">
        <f ca="1">AVERAGE(OFFSET($R$3,0,0,'Données projet'!$E$9+1,1))-AVERAGE(OFFSET($H$3,0,0,'Données projet'!$E$9+1,1))</f>
        <v>297.34058997955685</v>
      </c>
      <c r="T61" s="59">
        <f t="shared" si="34"/>
        <v>440.06633724144069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47.737056550118041</v>
      </c>
      <c r="AA61" s="21">
        <f>EXP(-LN(2)/25)*AA60+(1-EXP(-LN(2)/25))/(LN(2)/25)*Calculateur!V61*Calculateur!X61*VLOOKUP('Données projet'!$B$9,Paramètres!$A$1:$I$89,3,0)*0.475*44/12</f>
        <v>86.797823220935982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134.53487977105402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11.852000000000004</v>
      </c>
      <c r="AI61" s="13">
        <f>IF('Données projet'!$A$62&gt;35,AI60+AH61-AQ60,IF(A61&lt;'Données projet'!$A$62,$AF$205^A61,IF(A61='Données projet'!$A$62,'Données projet'!$B$62,AI60+AH61-AQ60)))</f>
        <v>326.70599999999979</v>
      </c>
      <c r="AJ61" s="13">
        <f>AI61*VLOOKUP('Données projet'!$B$10,Paramètres!$A$1:$I$89,3,0)*VLOOKUP('Données projet'!$B$10,Paramètres!$A$1:$I$89,5,0)</f>
        <v>195.3701879999999</v>
      </c>
      <c r="AK61" s="13">
        <f t="shared" si="35"/>
        <v>48.725292379749455</v>
      </c>
      <c r="AL61" s="20">
        <f t="shared" si="4"/>
        <v>425.13296166139679</v>
      </c>
      <c r="AM61" s="59">
        <f t="shared" si="5"/>
        <v>685.24607226008516</v>
      </c>
      <c r="AN61" s="59">
        <f ca="1">AVERAGE(OFFSET($AM$3,0,0,'Données projet'!$E$10+1,1))-AVERAGE(OFFSET($H$3,0,0,'Données projet'!$E$10+1,1))</f>
        <v>302.29526572690196</v>
      </c>
      <c r="AO61" s="59">
        <f t="shared" si="36"/>
        <v>234.86746802631617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14.468549333377094</v>
      </c>
      <c r="AV61" s="21">
        <f>EXP(-LN(2)/25)*AV60+(1-EXP(-LN(2)/25))/(LN(2)/25)*Calculateur!AQ61*Calculateur!AS61*VLOOKUP('Données projet'!$B$10,Paramètres!$A$1:$I$89,3,0)*0.475*44/12</f>
        <v>25.681170783126294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40.149720116503389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213.41517600000017</v>
      </c>
      <c r="BF61" s="13">
        <f t="shared" si="37"/>
        <v>52.681185448853228</v>
      </c>
      <c r="BG61" s="20">
        <f t="shared" si="7"/>
        <v>463.45116285675294</v>
      </c>
      <c r="BH61" s="59">
        <f t="shared" si="8"/>
        <v>723.56427345544137</v>
      </c>
      <c r="BI61" s="59">
        <f ca="1">AVERAGE(OFFSET($BH$3,0,0,'Données projet'!$E$11+1,1))-AVERAGE(OFFSET($H$3,0,0,'Données projet'!$E$11+1,1))</f>
        <v>627.65081154031589</v>
      </c>
      <c r="BJ61" s="59">
        <f t="shared" si="38"/>
        <v>288.78083487077618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13.776770157795863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13.776770157795863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224.45389200000022</v>
      </c>
      <c r="CA61" s="13">
        <f t="shared" si="39"/>
        <v>55.081785053400523</v>
      </c>
      <c r="CB61" s="20">
        <f t="shared" si="10"/>
        <v>486.85797086800625</v>
      </c>
      <c r="CC61" s="59">
        <f t="shared" si="11"/>
        <v>746.97108146669461</v>
      </c>
      <c r="CD61" s="59">
        <f ca="1">AVERAGE(OFFSET($CC$3,0,0,'Données projet'!$E$12+1,1))-AVERAGE(OFFSET($H$3,0,0,'Données projet'!$E$12+1,1))</f>
        <v>655.36321433908199</v>
      </c>
      <c r="CE61" s="59">
        <f t="shared" si="40"/>
        <v>300.52980782068698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14.489361717681856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14.489361717681856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260.68940719384648</v>
      </c>
      <c r="S62" s="59">
        <f ca="1">AVERAGE(OFFSET($R$3,0,0,'Données projet'!$E$9+1,1))-AVERAGE(OFFSET($H$3,0,0,'Données projet'!$E$9+1,1))</f>
        <v>297.34058997955685</v>
      </c>
      <c r="T62" s="59">
        <f t="shared" si="34"/>
        <v>440.06633724144069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46.800961987899683</v>
      </c>
      <c r="AA62" s="21">
        <f>EXP(-LN(2)/25)*AA61+(1-EXP(-LN(2)/25))/(LN(2)/25)*Calculateur!V62*Calculateur!X62*VLOOKUP('Données projet'!$B$9,Paramètres!$A$1:$I$89,3,0)*0.475*44/12</f>
        <v>84.42433218046034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131.22529416836002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11.852000000000004</v>
      </c>
      <c r="AI62" s="13">
        <f>IF('Données projet'!$A$62&gt;35,AI61+AH62-AQ61,IF(A62&lt;'Données projet'!$A$62,$AF$205^A62,IF(A62='Données projet'!$A$62,'Données projet'!$B$62,AI61+AH62-AQ61)))</f>
        <v>338.55799999999977</v>
      </c>
      <c r="AJ62" s="13">
        <f>AI62*VLOOKUP('Données projet'!$B$10,Paramètres!$A$1:$I$89,3,0)*VLOOKUP('Données projet'!$B$10,Paramètres!$A$1:$I$89,5,0)</f>
        <v>202.45768399999986</v>
      </c>
      <c r="AK62" s="13">
        <f t="shared" si="35"/>
        <v>50.283907747420365</v>
      </c>
      <c r="AL62" s="20">
        <f t="shared" si="4"/>
        <v>440.19160562675683</v>
      </c>
      <c r="AM62" s="59">
        <f t="shared" si="5"/>
        <v>700.88101282059961</v>
      </c>
      <c r="AN62" s="59">
        <f ca="1">AVERAGE(OFFSET($AM$3,0,0,'Données projet'!$E$10+1,1))-AVERAGE(OFFSET($H$3,0,0,'Données projet'!$E$10+1,1))</f>
        <v>302.29526572690196</v>
      </c>
      <c r="AO62" s="59">
        <f t="shared" si="36"/>
        <v>234.86746802631617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14.184829905893272</v>
      </c>
      <c r="AV62" s="21">
        <f>EXP(-LN(2)/25)*AV61+(1-EXP(-LN(2)/25))/(LN(2)/25)*Calculateur!AQ62*Calculateur!AS62*VLOOKUP('Données projet'!$B$10,Paramètres!$A$1:$I$89,3,0)*0.475*44/12</f>
        <v>24.978917817547629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39.163747723440899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181.13417400000017</v>
      </c>
      <c r="BF62" s="13">
        <f t="shared" si="37"/>
        <v>45.574426667354729</v>
      </c>
      <c r="BG62" s="20">
        <f t="shared" si="7"/>
        <v>394.85081282897653</v>
      </c>
      <c r="BH62" s="59">
        <f t="shared" si="8"/>
        <v>655.54022002281931</v>
      </c>
      <c r="BI62" s="59">
        <f ca="1">AVERAGE(OFFSET($BH$3,0,0,'Données projet'!$E$11+1,1))-AVERAGE(OFFSET($H$3,0,0,'Données projet'!$E$11+1,1))</f>
        <v>627.65081154031589</v>
      </c>
      <c r="BJ62" s="59">
        <f t="shared" si="38"/>
        <v>288.78083487077618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13.506616098001555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13.506616098001555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190.50318300000018</v>
      </c>
      <c r="CA62" s="13">
        <f t="shared" si="39"/>
        <v>47.651182338339787</v>
      </c>
      <c r="CB62" s="20">
        <f t="shared" si="10"/>
        <v>414.78551963094213</v>
      </c>
      <c r="CC62" s="59">
        <f t="shared" si="11"/>
        <v>675.47492682478492</v>
      </c>
      <c r="CD62" s="59">
        <f ca="1">AVERAGE(OFFSET($CC$3,0,0,'Données projet'!$E$12+1,1))-AVERAGE(OFFSET($H$3,0,0,'Données projet'!$E$12+1,1))</f>
        <v>655.36321433908199</v>
      </c>
      <c r="CE62" s="59">
        <f t="shared" si="40"/>
        <v>300.52980782068698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14.205234172036118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14.205234172036118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261.25570633148118</v>
      </c>
      <c r="S63" s="59">
        <f ca="1">AVERAGE(OFFSET($R$3,0,0,'Données projet'!$E$9+1,1))-AVERAGE(OFFSET($H$3,0,0,'Données projet'!$E$9+1,1))</f>
        <v>297.34058997955685</v>
      </c>
      <c r="T63" s="59">
        <f t="shared" si="34"/>
        <v>440.06633724144069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45.883223669085119</v>
      </c>
      <c r="AA63" s="21">
        <f>EXP(-LN(2)/25)*AA62+(1-EXP(-LN(2)/25))/(LN(2)/25)*Calculateur!V63*Calculateur!X63*VLOOKUP('Données projet'!$B$9,Paramètres!$A$1:$I$89,3,0)*0.475*44/12</f>
        <v>82.115744377302974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127.99896804638809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350.41</v>
      </c>
      <c r="AG63" s="12">
        <f>VLOOKUP(A63,'Données projet'!$A$61:$I$81,9,0)</f>
        <v>11.852000000000004</v>
      </c>
      <c r="AH63" s="12">
        <f t="array" ref="AH63">INDEX(AG:AG,MIN(IF(ISNUMBER(AG63:AG259),ROW(AG63:AG259),"")))</f>
        <v>11.852000000000004</v>
      </c>
      <c r="AI63" s="13">
        <f>IF('Données projet'!$A$62&gt;35,AI62+AH63-AQ62,IF(A63&lt;'Données projet'!$A$62,$AF$205^A63,IF(A63='Données projet'!$A$62,'Données projet'!$B$62,AI62+AH63-AQ62)))</f>
        <v>350.40999999999974</v>
      </c>
      <c r="AJ63" s="13">
        <f>AI63*VLOOKUP('Données projet'!$B$10,Paramètres!$A$1:$I$89,3,0)*VLOOKUP('Données projet'!$B$10,Paramètres!$A$1:$I$89,5,0)</f>
        <v>209.54517999999987</v>
      </c>
      <c r="AK63" s="13">
        <f t="shared" si="35"/>
        <v>51.83618354701553</v>
      </c>
      <c r="AL63" s="20">
        <f t="shared" si="4"/>
        <v>455.23920817771847</v>
      </c>
      <c r="AM63" s="59">
        <f t="shared" si="5"/>
        <v>716.49491450919595</v>
      </c>
      <c r="AN63" s="59">
        <f ca="1">AVERAGE(OFFSET($AM$3,0,0,'Données projet'!$E$10+1,1))-AVERAGE(OFFSET($H$3,0,0,'Données projet'!$E$10+1,1))</f>
        <v>302.29526572690196</v>
      </c>
      <c r="AO63" s="59">
        <f t="shared" si="36"/>
        <v>234.86746802631617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63.69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29.821846284077942</v>
      </c>
      <c r="AV63" s="21">
        <f>EXP(-LN(2)/25)*AV62+(1-EXP(-LN(2)/25))/(LN(2)/25)*Calculateur!AQ63*Calculateur!AS63*VLOOKUP('Données projet'!$B$10,Paramètres!$A$1:$I$89,3,0)*0.475*44/12</f>
        <v>31.089800057733779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60.911646341811718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189.50583600000016</v>
      </c>
      <c r="BF63" s="13">
        <f t="shared" si="37"/>
        <v>47.430683653447495</v>
      </c>
      <c r="BG63" s="20">
        <f t="shared" si="7"/>
        <v>412.6644383964213</v>
      </c>
      <c r="BH63" s="59">
        <f t="shared" si="8"/>
        <v>673.92014472789879</v>
      </c>
      <c r="BI63" s="59">
        <f ca="1">AVERAGE(OFFSET($BH$3,0,0,'Données projet'!$E$11+1,1))-AVERAGE(OFFSET($H$3,0,0,'Données projet'!$E$11+1,1))</f>
        <v>627.65081154031589</v>
      </c>
      <c r="BJ63" s="59">
        <f t="shared" si="38"/>
        <v>288.78083487077618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13.241759594542106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13.241759594542106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199.30786200000017</v>
      </c>
      <c r="CA63" s="13">
        <f t="shared" si="39"/>
        <v>49.59202606538728</v>
      </c>
      <c r="CB63" s="20">
        <f t="shared" si="10"/>
        <v>433.50063838054979</v>
      </c>
      <c r="CC63" s="59">
        <f t="shared" si="11"/>
        <v>694.75634471202727</v>
      </c>
      <c r="CD63" s="59">
        <f ca="1">AVERAGE(OFFSET($CC$3,0,0,'Données projet'!$E$12+1,1))-AVERAGE(OFFSET($H$3,0,0,'Données projet'!$E$12+1,1))</f>
        <v>655.36321433908199</v>
      </c>
      <c r="CE63" s="59">
        <f t="shared" si="40"/>
        <v>300.52980782068698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13.926678194259802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13.926678194259802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261.81218144513304</v>
      </c>
      <c r="S64" s="59">
        <f ca="1">AVERAGE(OFFSET($R$3,0,0,'Données projet'!$E$9+1,1))-AVERAGE(OFFSET($H$3,0,0,'Données projet'!$E$9+1,1))</f>
        <v>297.34058997955685</v>
      </c>
      <c r="T64" s="59">
        <f t="shared" si="34"/>
        <v>440.06633724144069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44.983481638937413</v>
      </c>
      <c r="AA64" s="21">
        <f>EXP(-LN(2)/25)*AA63+(1-EXP(-LN(2)/25))/(LN(2)/25)*Calculateur!V64*Calculateur!X64*VLOOKUP('Données projet'!$B$9,Paramètres!$A$1:$I$89,3,0)*0.475*44/12</f>
        <v>79.870285029026306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124.85376666796373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10.238999999999999</v>
      </c>
      <c r="AI64" s="13">
        <f>IF('Données projet'!$A$62&gt;35,AI63+AH64-AQ63,IF(A64&lt;'Données projet'!$A$62,$AF$205^A64,IF(A64='Données projet'!$A$62,'Données projet'!$B$62,AI63+AH64-AQ63)))</f>
        <v>296.95899999999972</v>
      </c>
      <c r="AJ64" s="13">
        <f>AI64*VLOOKUP('Données projet'!$B$10,Paramètres!$A$1:$I$89,3,0)*VLOOKUP('Données projet'!$B$10,Paramètres!$A$1:$I$89,5,0)</f>
        <v>177.58148199999985</v>
      </c>
      <c r="AK64" s="13">
        <f t="shared" si="35"/>
        <v>44.783687582701269</v>
      </c>
      <c r="AL64" s="20">
        <f t="shared" si="4"/>
        <v>387.28600368987105</v>
      </c>
      <c r="AM64" s="59">
        <f t="shared" si="5"/>
        <v>649.09818513500045</v>
      </c>
      <c r="AN64" s="59">
        <f ca="1">AVERAGE(OFFSET($AM$3,0,0,'Données projet'!$E$10+1,1))-AVERAGE(OFFSET($H$3,0,0,'Données projet'!$E$10+1,1))</f>
        <v>302.29526572690196</v>
      </c>
      <c r="AO64" s="59">
        <f t="shared" si="36"/>
        <v>234.86746802631617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29.23705806797734</v>
      </c>
      <c r="AV64" s="21">
        <f>EXP(-LN(2)/25)*AV63+(1-EXP(-LN(2)/25))/(LN(2)/25)*Calculateur!AQ64*Calculateur!AS64*VLOOKUP('Données projet'!$B$10,Paramètres!$A$1:$I$89,3,0)*0.475*44/12</f>
        <v>30.239647840213522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59.476705908190866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197.87749800000014</v>
      </c>
      <c r="BF64" s="13">
        <f t="shared" si="37"/>
        <v>49.277416774103372</v>
      </c>
      <c r="BG64" s="20">
        <f t="shared" si="7"/>
        <v>430.46147656489694</v>
      </c>
      <c r="BH64" s="59">
        <f t="shared" si="8"/>
        <v>692.27365801002634</v>
      </c>
      <c r="BI64" s="59">
        <f ca="1">AVERAGE(OFFSET($BH$3,0,0,'Données projet'!$E$11+1,1))-AVERAGE(OFFSET($H$3,0,0,'Données projet'!$E$11+1,1))</f>
        <v>627.65081154031589</v>
      </c>
      <c r="BJ64" s="59">
        <f t="shared" si="38"/>
        <v>288.78083487077618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12.982096765568983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12.982096765568983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208.11254100000016</v>
      </c>
      <c r="CA64" s="13">
        <f t="shared" si="39"/>
        <v>51.522911939277137</v>
      </c>
      <c r="CB64" s="20">
        <f t="shared" si="10"/>
        <v>452.19841386924122</v>
      </c>
      <c r="CC64" s="59">
        <f t="shared" si="11"/>
        <v>714.01059531437056</v>
      </c>
      <c r="CD64" s="59">
        <f ca="1">AVERAGE(OFFSET($CC$3,0,0,'Données projet'!$E$12+1,1))-AVERAGE(OFFSET($H$3,0,0,'Données projet'!$E$12+1,1))</f>
        <v>655.36321433908199</v>
      </c>
      <c r="CE64" s="59">
        <f t="shared" si="40"/>
        <v>300.52980782068698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13.653584529305309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13.653584529305309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262.35900295965502</v>
      </c>
      <c r="S65" s="59">
        <f ca="1">AVERAGE(OFFSET($R$3,0,0,'Données projet'!$E$9+1,1))-AVERAGE(OFFSET($H$3,0,0,'Données projet'!$E$9+1,1))</f>
        <v>297.34058997955685</v>
      </c>
      <c r="T65" s="59">
        <f t="shared" si="34"/>
        <v>440.06633724144069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44.101383001212447</v>
      </c>
      <c r="AA65" s="21">
        <f>EXP(-LN(2)/25)*AA64+(1-EXP(-LN(2)/25))/(LN(2)/25)*Calculateur!V65*Calculateur!X65*VLOOKUP('Données projet'!$B$9,Paramètres!$A$1:$I$89,3,0)*0.475*44/12</f>
        <v>77.68622788471184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121.78761088592429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10.238999999999999</v>
      </c>
      <c r="AI65" s="13">
        <f>IF('Données projet'!$A$62&gt;35,AI64+AH65-AQ64,IF(A65&lt;'Données projet'!$A$62,$AF$205^A65,IF(A65='Données projet'!$A$62,'Données projet'!$B$62,AI64+AH65-AQ64)))</f>
        <v>307.19799999999969</v>
      </c>
      <c r="AJ65" s="13">
        <f>AI65*VLOOKUP('Données projet'!$B$10,Paramètres!$A$1:$I$89,3,0)*VLOOKUP('Données projet'!$B$10,Paramètres!$A$1:$I$89,5,0)</f>
        <v>183.70440399999984</v>
      </c>
      <c r="AK65" s="13">
        <f t="shared" si="35"/>
        <v>46.145368140141613</v>
      </c>
      <c r="AL65" s="20">
        <f t="shared" si="4"/>
        <v>400.32168647741304</v>
      </c>
      <c r="AM65" s="59">
        <f t="shared" si="5"/>
        <v>662.6806894370643</v>
      </c>
      <c r="AN65" s="59">
        <f ca="1">AVERAGE(OFFSET($AM$3,0,0,'Données projet'!$E$10+1,1))-AVERAGE(OFFSET($H$3,0,0,'Données projet'!$E$10+1,1))</f>
        <v>302.29526572690196</v>
      </c>
      <c r="AO65" s="59">
        <f t="shared" si="36"/>
        <v>234.86746802631617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28.663737192108879</v>
      </c>
      <c r="AV65" s="21">
        <f>EXP(-LN(2)/25)*AV64+(1-EXP(-LN(2)/25))/(LN(2)/25)*Calculateur!AQ65*Calculateur!AS65*VLOOKUP('Données projet'!$B$10,Paramètres!$A$1:$I$89,3,0)*0.475*44/12</f>
        <v>29.412743079788918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58.076480271897793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206.24916000000016</v>
      </c>
      <c r="BF65" s="13">
        <f t="shared" si="37"/>
        <v>51.115075026737237</v>
      </c>
      <c r="BG65" s="20">
        <f t="shared" si="7"/>
        <v>448.24270933823431</v>
      </c>
      <c r="BH65" s="59">
        <f t="shared" si="8"/>
        <v>710.60171229788557</v>
      </c>
      <c r="BI65" s="59">
        <f ca="1">AVERAGE(OFFSET($BH$3,0,0,'Données projet'!$E$11+1,1))-AVERAGE(OFFSET($H$3,0,0,'Données projet'!$E$11+1,1))</f>
        <v>627.65081154031589</v>
      </c>
      <c r="BJ65" s="59">
        <f t="shared" si="38"/>
        <v>288.78083487077618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12.727525766293335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12.727525766293335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216.91722000000019</v>
      </c>
      <c r="CA65" s="13">
        <f t="shared" si="39"/>
        <v>53.444309417537319</v>
      </c>
      <c r="CB65" s="20">
        <f t="shared" si="10"/>
        <v>470.87966373554445</v>
      </c>
      <c r="CC65" s="59">
        <f t="shared" si="11"/>
        <v>733.23866669519577</v>
      </c>
      <c r="CD65" s="59">
        <f ca="1">AVERAGE(OFFSET($CC$3,0,0,'Données projet'!$E$12+1,1))-AVERAGE(OFFSET($H$3,0,0,'Données projet'!$E$12+1,1))</f>
        <v>655.36321433908199</v>
      </c>
      <c r="CE65" s="59">
        <f t="shared" si="40"/>
        <v>300.52980782068698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13.385846064549886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13.385846064549886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262.89633834340981</v>
      </c>
      <c r="S66" s="59">
        <f ca="1">AVERAGE(OFFSET($R$3,0,0,'Données projet'!$E$9+1,1))-AVERAGE(OFFSET($H$3,0,0,'Données projet'!$E$9+1,1))</f>
        <v>297.34058997955685</v>
      </c>
      <c r="T66" s="59">
        <f t="shared" si="34"/>
        <v>440.06633724144069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43.236581779746231</v>
      </c>
      <c r="AA66" s="21">
        <f>EXP(-LN(2)/25)*AA65+(1-EXP(-LN(2)/25))/(LN(2)/25)*Calculateur!V66*Calculateur!X66*VLOOKUP('Données projet'!$B$9,Paramètres!$A$1:$I$89,3,0)*0.475*44/12</f>
        <v>75.561893897863229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118.79847567760946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10.238999999999999</v>
      </c>
      <c r="AI66" s="13">
        <f>IF('Données projet'!$A$62&gt;35,AI65+AH66-AQ65,IF(A66&lt;'Données projet'!$A$62,$AF$205^A66,IF(A66='Données projet'!$A$62,'Données projet'!$B$62,AI65+AH66-AQ65)))</f>
        <v>317.43699999999967</v>
      </c>
      <c r="AJ66" s="13">
        <f>AI66*VLOOKUP('Données projet'!$B$10,Paramètres!$A$1:$I$89,3,0)*VLOOKUP('Données projet'!$B$10,Paramètres!$A$1:$I$89,5,0)</f>
        <v>189.8273259999998</v>
      </c>
      <c r="AK66" s="13">
        <f t="shared" si="35"/>
        <v>47.501775061584858</v>
      </c>
      <c r="AL66" s="20">
        <f t="shared" si="4"/>
        <v>413.34818434892662</v>
      </c>
      <c r="AM66" s="59">
        <f t="shared" si="5"/>
        <v>676.24452269233279</v>
      </c>
      <c r="AN66" s="59">
        <f ca="1">AVERAGE(OFFSET($AM$3,0,0,'Données projet'!$E$10+1,1))-AVERAGE(OFFSET($H$3,0,0,'Données projet'!$E$10+1,1))</f>
        <v>302.29526572690196</v>
      </c>
      <c r="AO66" s="59">
        <f t="shared" si="36"/>
        <v>234.86746802631617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28.101658788924993</v>
      </c>
      <c r="AV66" s="21">
        <f>EXP(-LN(2)/25)*AV65+(1-EXP(-LN(2)/25))/(LN(2)/25)*Calculateur!AQ66*Calculateur!AS66*VLOOKUP('Données projet'!$B$10,Paramètres!$A$1:$I$89,3,0)*0.475*44/12</f>
        <v>28.608450073523155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56.710108862448152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214.62082200000015</v>
      </c>
      <c r="BF66" s="13">
        <f t="shared" si="37"/>
        <v>52.944068896315315</v>
      </c>
      <c r="BG66" s="20">
        <f t="shared" si="7"/>
        <v>466.0088516444161</v>
      </c>
      <c r="BH66" s="59">
        <f t="shared" si="8"/>
        <v>728.90518998782227</v>
      </c>
      <c r="BI66" s="59">
        <f ca="1">AVERAGE(OFFSET($BH$3,0,0,'Données projet'!$E$11+1,1))-AVERAGE(OFFSET($H$3,0,0,'Données projet'!$E$11+1,1))</f>
        <v>627.65081154031589</v>
      </c>
      <c r="BJ66" s="59">
        <f t="shared" si="38"/>
        <v>288.78083487077618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12.477946749040505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12.477946749040505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225.72189900000018</v>
      </c>
      <c r="CA66" s="13">
        <f t="shared" si="39"/>
        <v>55.356647690295091</v>
      </c>
      <c r="CB66" s="20">
        <f t="shared" si="10"/>
        <v>489.54513548559765</v>
      </c>
      <c r="CC66" s="59">
        <f t="shared" si="11"/>
        <v>752.44147382900383</v>
      </c>
      <c r="CD66" s="59">
        <f ca="1">AVERAGE(OFFSET($CC$3,0,0,'Données projet'!$E$12+1,1))-AVERAGE(OFFSET($H$3,0,0,'Données projet'!$E$12+1,1))</f>
        <v>655.36321433908199</v>
      </c>
      <c r="CE66" s="59">
        <f t="shared" si="40"/>
        <v>300.52980782068698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13.123357787783979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13.123357787783979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263.42435215955845</v>
      </c>
      <c r="S67" s="59">
        <f ca="1">AVERAGE(OFFSET($R$3,0,0,'Données projet'!$E$9+1,1))-AVERAGE(OFFSET($H$3,0,0,'Données projet'!$E$9+1,1))</f>
        <v>297.34058997955685</v>
      </c>
      <c r="T67" s="59">
        <f t="shared" si="34"/>
        <v>440.06633724144069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42.388738782756306</v>
      </c>
      <c r="AA67" s="21">
        <f>EXP(-LN(2)/25)*AA66+(1-EXP(-LN(2)/25))/(LN(2)/25)*Calculateur!V67*Calculateur!X67*VLOOKUP('Données projet'!$B$9,Paramètres!$A$1:$I$89,3,0)*0.475*44/12</f>
        <v>73.495649935598863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115.88438871835517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10.238999999999999</v>
      </c>
      <c r="AI67" s="13">
        <f>IF('Données projet'!$A$62&gt;35,AI66+AH67-AQ66,IF(A67&lt;'Données projet'!$A$62,$AF$205^A67,IF(A67='Données projet'!$A$62,'Données projet'!$B$62,AI66+AH67-AQ66)))</f>
        <v>327.67599999999965</v>
      </c>
      <c r="AJ67" s="13">
        <f>AI67*VLOOKUP('Données projet'!$B$10,Paramètres!$A$1:$I$89,3,0)*VLOOKUP('Données projet'!$B$10,Paramètres!$A$1:$I$89,5,0)</f>
        <v>195.95024799999979</v>
      </c>
      <c r="AK67" s="13">
        <f t="shared" si="35"/>
        <v>48.853097959920042</v>
      </c>
      <c r="AL67" s="20">
        <f t="shared" si="4"/>
        <v>426.36582754686032</v>
      </c>
      <c r="AM67" s="59">
        <f t="shared" si="5"/>
        <v>689.79017970641507</v>
      </c>
      <c r="AN67" s="59">
        <f ca="1">AVERAGE(OFFSET($AM$3,0,0,'Données projet'!$E$10+1,1))-AVERAGE(OFFSET($H$3,0,0,'Données projet'!$E$10+1,1))</f>
        <v>302.29526572690196</v>
      </c>
      <c r="AO67" s="59">
        <f t="shared" si="36"/>
        <v>234.86746802631617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27.550602400393569</v>
      </c>
      <c r="AV67" s="21">
        <f>EXP(-LN(2)/25)*AV66+(1-EXP(-LN(2)/25))/(LN(2)/25)*Calculateur!AQ67*Calculateur!AS67*VLOOKUP('Données projet'!$B$10,Paramètres!$A$1:$I$89,3,0)*0.475*44/12</f>
        <v>27.826150501809661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55.376752902203229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222.99248400000016</v>
      </c>
      <c r="BF67" s="13">
        <f t="shared" si="37"/>
        <v>54.764775031234961</v>
      </c>
      <c r="BG67" s="20">
        <f t="shared" si="7"/>
        <v>483.76055947940108</v>
      </c>
      <c r="BH67" s="59">
        <f t="shared" si="8"/>
        <v>747.18491163895578</v>
      </c>
      <c r="BI67" s="59">
        <f ca="1">AVERAGE(OFFSET($BH$3,0,0,'Données projet'!$E$11+1,1))-AVERAGE(OFFSET($H$3,0,0,'Données projet'!$E$11+1,1))</f>
        <v>627.65081154031589</v>
      </c>
      <c r="BJ67" s="59">
        <f t="shared" si="38"/>
        <v>288.78083487077618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12.233261824087835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12.233261824087835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234.52657800000017</v>
      </c>
      <c r="CA67" s="13">
        <f t="shared" si="39"/>
        <v>57.260320569228661</v>
      </c>
      <c r="CB67" s="20">
        <f t="shared" si="10"/>
        <v>508.19551500807347</v>
      </c>
      <c r="CC67" s="59">
        <f t="shared" si="11"/>
        <v>771.61986716762817</v>
      </c>
      <c r="CD67" s="59">
        <f ca="1">AVERAGE(OFFSET($CC$3,0,0,'Données projet'!$E$12+1,1))-AVERAGE(OFFSET($H$3,0,0,'Données projet'!$E$12+1,1))</f>
        <v>655.36321433908199</v>
      </c>
      <c r="CE67" s="59">
        <f t="shared" si="40"/>
        <v>300.52980782068698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12.86601674602341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12.86601674602341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263.9432061164589</v>
      </c>
      <c r="S68" s="59">
        <f ca="1">AVERAGE(OFFSET($R$3,0,0,'Données projet'!$E$9+1,1))-AVERAGE(OFFSET($H$3,0,0,'Données projet'!$E$9+1,1))</f>
        <v>297.34058997955685</v>
      </c>
      <c r="T68" s="59">
        <f t="shared" si="34"/>
        <v>440.06633724144069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41.557521469804186</v>
      </c>
      <c r="AA68" s="21">
        <f>EXP(-LN(2)/25)*AA67+(1-EXP(-LN(2)/25))/(LN(2)/25)*Calculateur!V68*Calculateur!X68*VLOOKUP('Données projet'!$B$9,Paramètres!$A$1:$I$89,3,0)*0.475*44/12</f>
        <v>71.485907523141663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113.04342899294585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10.238999999999999</v>
      </c>
      <c r="AI68" s="13">
        <f>IF('Données projet'!$A$62&gt;35,AI67+AH68-AQ67,IF(A68&lt;'Données projet'!$A$62,$AF$205^A68,IF(A68='Données projet'!$A$62,'Données projet'!$B$62,AI67+AH68-AQ67)))</f>
        <v>337.91499999999962</v>
      </c>
      <c r="AJ68" s="13">
        <f>AI68*VLOOKUP('Données projet'!$B$10,Paramètres!$A$1:$I$89,3,0)*VLOOKUP('Données projet'!$B$10,Paramètres!$A$1:$I$89,5,0)</f>
        <v>202.07316999999978</v>
      </c>
      <c r="AK68" s="13">
        <f t="shared" si="35"/>
        <v>50.199513925178543</v>
      </c>
      <c r="AL68" s="20">
        <f t="shared" ref="AL68:AL131" si="58">(AJ68+AK68)*0.475*44/12</f>
        <v>439.37492450301892</v>
      </c>
      <c r="AM68" s="59">
        <f t="shared" ref="AM68:AM131" si="59">AL68+(AD68+AE68)*44/12</f>
        <v>703.31813061947412</v>
      </c>
      <c r="AN68" s="59">
        <f ca="1">AVERAGE(OFFSET($AM$3,0,0,'Données projet'!$E$10+1,1))-AVERAGE(OFFSET($H$3,0,0,'Données projet'!$E$10+1,1))</f>
        <v>302.29526572690196</v>
      </c>
      <c r="AO68" s="59">
        <f t="shared" si="36"/>
        <v>234.86746802631617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27.010351891530036</v>
      </c>
      <c r="AV68" s="21">
        <f>EXP(-LN(2)/25)*AV67+(1-EXP(-LN(2)/25))/(LN(2)/25)*Calculateur!AQ68*Calculateur!AS68*VLOOKUP('Données projet'!$B$10,Paramètres!$A$1:$I$89,3,0)*0.475*44/12</f>
        <v>27.065242953024018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54.075594844554054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231.36414600000015</v>
      </c>
      <c r="BF68" s="13">
        <f t="shared" si="37"/>
        <v>56.57754019728695</v>
      </c>
      <c r="BG68" s="20">
        <f t="shared" ref="BG68:BG131" si="61">(BE68+BF68)*0.475*44/12</f>
        <v>501.49843679360833</v>
      </c>
      <c r="BH68" s="59">
        <f t="shared" ref="BH68:BH131" si="62">BG68+(AY68+AZ68)*44/12</f>
        <v>765.44164291006359</v>
      </c>
      <c r="BI68" s="59">
        <f ca="1">AVERAGE(OFFSET($BH$3,0,0,'Données projet'!$E$11+1,1))-AVERAGE(OFFSET($H$3,0,0,'Données projet'!$E$11+1,1))</f>
        <v>627.65081154031589</v>
      </c>
      <c r="BJ68" s="59">
        <f t="shared" si="38"/>
        <v>288.78083487077618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11.993375021270419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11.993375021270419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243.33125700000016</v>
      </c>
      <c r="CA68" s="13">
        <f t="shared" si="39"/>
        <v>59.155690621706064</v>
      </c>
      <c r="CB68" s="20">
        <f t="shared" ref="CB68:CB131" si="64">(BZ68+CA68)*0.475*44/12</f>
        <v>526.83143377447163</v>
      </c>
      <c r="CC68" s="59">
        <f t="shared" ref="CC68:CC131" si="65">CB68+(BT68+BU68)*44/12</f>
        <v>790.77463989092689</v>
      </c>
      <c r="CD68" s="59">
        <f ca="1">AVERAGE(OFFSET($CC$3,0,0,'Données projet'!$E$12+1,1))-AVERAGE(OFFSET($H$3,0,0,'Données projet'!$E$12+1,1))</f>
        <v>655.36321433908199</v>
      </c>
      <c r="CE68" s="59">
        <f t="shared" si="40"/>
        <v>300.52980782068698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12.61372200512923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12.61372200512923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264.45305911719078</v>
      </c>
      <c r="S69" s="59">
        <f ca="1">AVERAGE(OFFSET($R$3,0,0,'Données projet'!$E$9+1,1))-AVERAGE(OFFSET($H$3,0,0,'Données projet'!$E$9+1,1))</f>
        <v>297.34058997955685</v>
      </c>
      <c r="T69" s="59">
        <f t="shared" ref="T69:T132" si="88">$T$3</f>
        <v>440.06633724144069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40.742603821366558</v>
      </c>
      <c r="AA69" s="21">
        <f>EXP(-LN(2)/25)*AA68+(1-EXP(-LN(2)/25))/(LN(2)/25)*Calculateur!V69*Calculateur!X69*VLOOKUP('Données projet'!$B$9,Paramètres!$A$1:$I$89,3,0)*0.475*44/12</f>
        <v>69.531121622640853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110.27372544400741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10.238999999999999</v>
      </c>
      <c r="AI69" s="13">
        <f>IF('Données projet'!$A$62&gt;35,AI68+AH69-AQ68,IF(A69&lt;'Données projet'!$A$62,$AF$205^A69,IF(A69='Données projet'!$A$62,'Données projet'!$B$62,AI68+AH69-AQ68)))</f>
        <v>348.1539999999996</v>
      </c>
      <c r="AJ69" s="13">
        <f>AI69*VLOOKUP('Données projet'!$B$10,Paramètres!$A$1:$I$89,3,0)*VLOOKUP('Données projet'!$B$10,Paramètres!$A$1:$I$89,5,0)</f>
        <v>208.19609199999977</v>
      </c>
      <c r="AK69" s="13">
        <f t="shared" ref="AK69:AK132" si="89">EXP(-1.0587+0.8836*LN(AJ69)+0.284)</f>
        <v>51.541188705701558</v>
      </c>
      <c r="AL69" s="20">
        <f t="shared" si="58"/>
        <v>452.37576389576316</v>
      </c>
      <c r="AM69" s="59">
        <f t="shared" si="59"/>
        <v>716.82882301295024</v>
      </c>
      <c r="AN69" s="59">
        <f ca="1">AVERAGE(OFFSET($AM$3,0,0,'Données projet'!$E$10+1,1))-AVERAGE(OFFSET($H$3,0,0,'Données projet'!$E$10+1,1))</f>
        <v>302.29526572690196</v>
      </c>
      <c r="AO69" s="59">
        <f t="shared" ref="AO69:AO132" si="90">$AO$3</f>
        <v>234.86746802631617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26.480695365625046</v>
      </c>
      <c r="AV69" s="21">
        <f>EXP(-LN(2)/25)*AV68+(1-EXP(-LN(2)/25))/(LN(2)/25)*Calculateur!AQ69*Calculateur!AS69*VLOOKUP('Données projet'!$B$10,Paramètres!$A$1:$I$89,3,0)*0.475*44/12</f>
        <v>26.325142461174309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52.805837826799355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239.73580800000011</v>
      </c>
      <c r="BF69" s="13">
        <f t="shared" ref="BF69:BF132" si="91">EXP(-1.0587+0.8836*LN(BE69)+0.284)</f>
        <v>58.38268464325516</v>
      </c>
      <c r="BG69" s="20">
        <f t="shared" si="61"/>
        <v>519.22304135366949</v>
      </c>
      <c r="BH69" s="59">
        <f t="shared" si="62"/>
        <v>783.67610047085657</v>
      </c>
      <c r="BI69" s="59">
        <f ca="1">AVERAGE(OFFSET($BH$3,0,0,'Données projet'!$E$11+1,1))-AVERAGE(OFFSET($H$3,0,0,'Données projet'!$E$11+1,1))</f>
        <v>627.65081154031589</v>
      </c>
      <c r="BJ69" s="59">
        <f t="shared" ref="BJ69:BJ132" si="92">$BJ$3</f>
        <v>288.78083487077618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24.637928753319876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24.637928753319876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252.13593600000013</v>
      </c>
      <c r="CA69" s="13">
        <f t="shared" ref="CA69:CA132" si="93">EXP(-1.0587+0.8836*LN(BZ69)+0.284)</f>
        <v>61.043092689749741</v>
      </c>
      <c r="CB69" s="20">
        <f t="shared" si="64"/>
        <v>545.45347496798104</v>
      </c>
      <c r="CC69" s="59">
        <f t="shared" si="65"/>
        <v>809.90653408516812</v>
      </c>
      <c r="CD69" s="59">
        <f ca="1">AVERAGE(OFFSET($CC$3,0,0,'Données projet'!$E$12+1,1))-AVERAGE(OFFSET($H$3,0,0,'Données projet'!$E$12+1,1))</f>
        <v>655.36321433908199</v>
      </c>
      <c r="CE69" s="59">
        <f t="shared" ref="CE69:CE132" si="94">$CE$3</f>
        <v>300.52980782068698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25.912304378491598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25.912304378491598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264.9540673082206</v>
      </c>
      <c r="S70" s="59">
        <f ca="1">AVERAGE(OFFSET($R$3,0,0,'Données projet'!$E$9+1,1))-AVERAGE(OFFSET($H$3,0,0,'Données projet'!$E$9+1,1))</f>
        <v>297.34058997955685</v>
      </c>
      <c r="T70" s="59">
        <f t="shared" si="88"/>
        <v>440.06633724144069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39.943666210964103</v>
      </c>
      <c r="AA70" s="21">
        <f>EXP(-LN(2)/25)*AA69+(1-EXP(-LN(2)/25))/(LN(2)/25)*Calculateur!V70*Calculateur!X70*VLOOKUP('Données projet'!$B$9,Paramètres!$A$1:$I$89,3,0)*0.475*44/12</f>
        <v>67.629789445386962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107.57345565635106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10.238999999999999</v>
      </c>
      <c r="AI70" s="13">
        <f>IF('Données projet'!$A$62&gt;35,AI69+AH70-AQ69,IF(A70&lt;'Données projet'!$A$62,$AF$205^A70,IF(A70='Données projet'!$A$62,'Données projet'!$B$62,AI69+AH70-AQ69)))</f>
        <v>358.39299999999957</v>
      </c>
      <c r="AJ70" s="13">
        <f>AI70*VLOOKUP('Données projet'!$B$10,Paramètres!$A$1:$I$89,3,0)*VLOOKUP('Données projet'!$B$10,Paramètres!$A$1:$I$89,5,0)</f>
        <v>214.31901399999975</v>
      </c>
      <c r="AK70" s="13">
        <f t="shared" si="89"/>
        <v>52.878277746453307</v>
      </c>
      <c r="AL70" s="20">
        <f t="shared" si="58"/>
        <v>465.36861645840571</v>
      </c>
      <c r="AM70" s="59">
        <f t="shared" si="59"/>
        <v>730.32268376662262</v>
      </c>
      <c r="AN70" s="59">
        <f ca="1">AVERAGE(OFFSET($AM$3,0,0,'Données projet'!$E$10+1,1))-AVERAGE(OFFSET($H$3,0,0,'Données projet'!$E$10+1,1))</f>
        <v>302.29526572690196</v>
      </c>
      <c r="AO70" s="59">
        <f t="shared" si="90"/>
        <v>234.86746802631617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25.961425081134472</v>
      </c>
      <c r="AV70" s="21">
        <f>EXP(-LN(2)/25)*AV69+(1-EXP(-LN(2)/25))/(LN(2)/25)*Calculateur!AQ70*Calculateur!AS70*VLOOKUP('Données projet'!$B$10,Paramètres!$A$1:$I$89,3,0)*0.475*44/12</f>
        <v>25.605280056194424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51.566705137328896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202.59942300000012</v>
      </c>
      <c r="BF70" s="13">
        <f t="shared" si="91"/>
        <v>50.315012169520465</v>
      </c>
      <c r="BG70" s="20">
        <f t="shared" si="61"/>
        <v>440.49264125358167</v>
      </c>
      <c r="BH70" s="59">
        <f t="shared" si="62"/>
        <v>705.44670856179857</v>
      </c>
      <c r="BI70" s="59">
        <f ca="1">AVERAGE(OFFSET($BH$3,0,0,'Données projet'!$E$11+1,1))-AVERAGE(OFFSET($H$3,0,0,'Données projet'!$E$11+1,1))</f>
        <v>627.65081154031589</v>
      </c>
      <c r="BJ70" s="59">
        <f t="shared" si="92"/>
        <v>288.78083487077618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24.154793998119956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24.154793998119956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213.07870350000013</v>
      </c>
      <c r="CA70" s="13">
        <f t="shared" si="93"/>
        <v>52.607788941489872</v>
      </c>
      <c r="CB70" s="20">
        <f t="shared" si="64"/>
        <v>462.73730766892845</v>
      </c>
      <c r="CC70" s="59">
        <f t="shared" si="65"/>
        <v>727.69137497714541</v>
      </c>
      <c r="CD70" s="59">
        <f ca="1">AVERAGE(OFFSET($CC$3,0,0,'Données projet'!$E$12+1,1))-AVERAGE(OFFSET($H$3,0,0,'Données projet'!$E$12+1,1))</f>
        <v>655.36321433908199</v>
      </c>
      <c r="CE70" s="59">
        <f t="shared" si="94"/>
        <v>300.52980782068698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25.40417989457444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25.40417989457444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265.44638412722253</v>
      </c>
      <c r="S71" s="59">
        <f ca="1">AVERAGE(OFFSET($R$3,0,0,'Données projet'!$E$9+1,1))-AVERAGE(OFFSET($H$3,0,0,'Données projet'!$E$9+1,1))</f>
        <v>297.34058997955685</v>
      </c>
      <c r="T71" s="59">
        <f t="shared" si="88"/>
        <v>440.06633724144069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39.160395279797818</v>
      </c>
      <c r="AA71" s="21">
        <f>EXP(-LN(2)/25)*AA70+(1-EXP(-LN(2)/25))/(LN(2)/25)*Calculateur!V71*Calculateur!X71*VLOOKUP('Données projet'!$B$9,Paramètres!$A$1:$I$89,3,0)*0.475*44/12</f>
        <v>65.780449296506802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104.94084457630461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10.238999999999999</v>
      </c>
      <c r="AI71" s="13">
        <f>IF('Données projet'!$A$62&gt;35,AI70+AH71-AQ70,IF(A71&lt;'Données projet'!$A$62,$AF$205^A71,IF(A71='Données projet'!$A$62,'Données projet'!$B$62,AI70+AH71-AQ70)))</f>
        <v>368.63199999999955</v>
      </c>
      <c r="AJ71" s="13">
        <f>AI71*VLOOKUP('Données projet'!$B$10,Paramètres!$A$1:$I$89,3,0)*VLOOKUP('Données projet'!$B$10,Paramètres!$A$1:$I$89,5,0)</f>
        <v>220.44193599999974</v>
      </c>
      <c r="AK71" s="13">
        <f t="shared" si="89"/>
        <v>54.210927105344112</v>
      </c>
      <c r="AL71" s="20">
        <f t="shared" si="58"/>
        <v>478.35373657514043</v>
      </c>
      <c r="AM71" s="59">
        <f t="shared" si="59"/>
        <v>743.80012070235921</v>
      </c>
      <c r="AN71" s="59">
        <f ca="1">AVERAGE(OFFSET($AM$3,0,0,'Données projet'!$E$10+1,1))-AVERAGE(OFFSET($H$3,0,0,'Données projet'!$E$10+1,1))</f>
        <v>302.29526572690196</v>
      </c>
      <c r="AO71" s="59">
        <f t="shared" si="90"/>
        <v>234.86746802631617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25.452337370199157</v>
      </c>
      <c r="AV71" s="21">
        <f>EXP(-LN(2)/25)*AV70+(1-EXP(-LN(2)/25))/(LN(2)/25)*Calculateur!AQ71*Calculateur!AS71*VLOOKUP('Données projet'!$B$10,Paramètres!$A$1:$I$89,3,0)*0.475*44/12</f>
        <v>24.905102326534632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50.357439696733792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210.62160600000013</v>
      </c>
      <c r="BF71" s="13">
        <f t="shared" si="91"/>
        <v>52.071398873356536</v>
      </c>
      <c r="BG71" s="20">
        <f t="shared" si="61"/>
        <v>457.5236501544295</v>
      </c>
      <c r="BH71" s="59">
        <f t="shared" si="62"/>
        <v>722.9700342816484</v>
      </c>
      <c r="BI71" s="59">
        <f ca="1">AVERAGE(OFFSET($BH$3,0,0,'Données projet'!$E$11+1,1))-AVERAGE(OFFSET($H$3,0,0,'Données projet'!$E$11+1,1))</f>
        <v>627.65081154031589</v>
      </c>
      <c r="BJ71" s="59">
        <f t="shared" si="92"/>
        <v>288.78083487077618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23.681133220786403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23.681133220786403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221.51582700000012</v>
      </c>
      <c r="CA71" s="13">
        <f t="shared" si="93"/>
        <v>54.444211453000612</v>
      </c>
      <c r="CB71" s="20">
        <f t="shared" si="64"/>
        <v>480.63040030564292</v>
      </c>
      <c r="CC71" s="59">
        <f t="shared" si="65"/>
        <v>746.07678443286181</v>
      </c>
      <c r="CD71" s="59">
        <f ca="1">AVERAGE(OFFSET($CC$3,0,0,'Données projet'!$E$12+1,1))-AVERAGE(OFFSET($H$3,0,0,'Données projet'!$E$12+1,1))</f>
        <v>655.36321433908199</v>
      </c>
      <c r="CE71" s="59">
        <f t="shared" si="94"/>
        <v>300.52980782068698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24.906019421861565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24.906019421861565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265.93016035007025</v>
      </c>
      <c r="S72" s="59">
        <f ca="1">AVERAGE(OFFSET($R$3,0,0,'Données projet'!$E$9+1,1))-AVERAGE(OFFSET($H$3,0,0,'Données projet'!$E$9+1,1))</f>
        <v>297.34058997955685</v>
      </c>
      <c r="T72" s="59">
        <f t="shared" si="88"/>
        <v>440.06633724144069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38.392483813843612</v>
      </c>
      <c r="AA72" s="21">
        <f>EXP(-LN(2)/25)*AA71+(1-EXP(-LN(2)/25))/(LN(2)/25)*Calculateur!V72*Calculateur!X72*VLOOKUP('Données projet'!$B$9,Paramètres!$A$1:$I$89,3,0)*0.475*44/12</f>
        <v>63.981679451250336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102.37416326509396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10.238999999999999</v>
      </c>
      <c r="AI72" s="13">
        <f>IF('Données projet'!$A$62&gt;35,AI71+AH72-AQ71,IF(A72&lt;'Données projet'!$A$62,$AF$205^A72,IF(A72='Données projet'!$A$62,'Données projet'!$B$62,AI71+AH72-AQ71)))</f>
        <v>378.87099999999953</v>
      </c>
      <c r="AJ72" s="13">
        <f>AI72*VLOOKUP('Données projet'!$B$10,Paramètres!$A$1:$I$89,3,0)*VLOOKUP('Données projet'!$B$10,Paramètres!$A$1:$I$89,5,0)</f>
        <v>226.56485799999973</v>
      </c>
      <c r="AK72" s="13">
        <f t="shared" si="89"/>
        <v>55.539274264885066</v>
      </c>
      <c r="AL72" s="20">
        <f t="shared" si="58"/>
        <v>491.33136369467434</v>
      </c>
      <c r="AM72" s="59">
        <f t="shared" si="59"/>
        <v>757.2615240447409</v>
      </c>
      <c r="AN72" s="59">
        <f ca="1">AVERAGE(OFFSET($AM$3,0,0,'Données projet'!$E$10+1,1))-AVERAGE(OFFSET($H$3,0,0,'Données projet'!$E$10+1,1))</f>
        <v>302.29526572690196</v>
      </c>
      <c r="AO72" s="59">
        <f t="shared" si="90"/>
        <v>234.86746802631617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24.953232558762441</v>
      </c>
      <c r="AV72" s="21">
        <f>EXP(-LN(2)/25)*AV71+(1-EXP(-LN(2)/25))/(LN(2)/25)*Calculateur!AQ72*Calculateur!AS72*VLOOKUP('Données projet'!$B$10,Paramètres!$A$1:$I$89,3,0)*0.475*44/12</f>
        <v>24.224070993713131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49.177303552475571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218.64378900000014</v>
      </c>
      <c r="BF72" s="13">
        <f t="shared" si="91"/>
        <v>53.820013961218514</v>
      </c>
      <c r="BG72" s="20">
        <f t="shared" si="61"/>
        <v>474.54112349078923</v>
      </c>
      <c r="BH72" s="59">
        <f t="shared" si="62"/>
        <v>740.47128384085579</v>
      </c>
      <c r="BI72" s="59">
        <f ca="1">AVERAGE(OFFSET($BH$3,0,0,'Données projet'!$E$11+1,1))-AVERAGE(OFFSET($H$3,0,0,'Données projet'!$E$11+1,1))</f>
        <v>627.65081154031589</v>
      </c>
      <c r="BJ72" s="59">
        <f t="shared" si="92"/>
        <v>288.78083487077618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23.216760642391815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23.216760642391815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229.95295050000016</v>
      </c>
      <c r="CA72" s="13">
        <f t="shared" si="93"/>
        <v>56.272508208096568</v>
      </c>
      <c r="CB72" s="20">
        <f t="shared" si="64"/>
        <v>498.50934058326834</v>
      </c>
      <c r="CC72" s="59">
        <f t="shared" si="65"/>
        <v>764.4395009333349</v>
      </c>
      <c r="CD72" s="59">
        <f ca="1">AVERAGE(OFFSET($CC$3,0,0,'Données projet'!$E$12+1,1))-AVERAGE(OFFSET($H$3,0,0,'Données projet'!$E$12+1,1))</f>
        <v>655.36321433908199</v>
      </c>
      <c r="CE72" s="59">
        <f t="shared" si="94"/>
        <v>300.52980782068698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24.417627572170705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24.417627572170705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266.40554413701318</v>
      </c>
      <c r="S73" s="59">
        <f ca="1">AVERAGE(OFFSET($R$3,0,0,'Données projet'!$E$9+1,1))-AVERAGE(OFFSET($H$3,0,0,'Données projet'!$E$9+1,1))</f>
        <v>297.34058997955685</v>
      </c>
      <c r="T73" s="59">
        <f t="shared" si="88"/>
        <v>440.06633724144069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37.639630623357014</v>
      </c>
      <c r="AA73" s="21">
        <f>EXP(-LN(2)/25)*AA72+(1-EXP(-LN(2)/25))/(LN(2)/25)*Calculateur!V73*Calculateur!X73*VLOOKUP('Données projet'!$B$9,Paramètres!$A$1:$I$89,3,0)*0.475*44/12</f>
        <v>62.232097062005607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99.871727685362629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389.11</v>
      </c>
      <c r="AG73" s="12">
        <f>VLOOKUP(A73,'Données projet'!$A$61:$I$81,9,0)</f>
        <v>10.238999999999999</v>
      </c>
      <c r="AH73" s="12">
        <f t="array" ref="AH73">INDEX(AG:AG,MIN(IF(ISNUMBER(AG73:AG269),ROW(AG73:AG269),"")))</f>
        <v>10.238999999999999</v>
      </c>
      <c r="AI73" s="13">
        <f>IF('Données projet'!$A$62&gt;35,AI72+AH73-AQ72,IF(A73&lt;'Données projet'!$A$62,$AF$205^A73,IF(A73='Données projet'!$A$62,'Données projet'!$B$62,AI72+AH73-AQ72)))</f>
        <v>389.1099999999995</v>
      </c>
      <c r="AJ73" s="13">
        <f>AI73*VLOOKUP('Données projet'!$B$10,Paramètres!$A$1:$I$89,3,0)*VLOOKUP('Données projet'!$B$10,Paramètres!$A$1:$I$89,5,0)</f>
        <v>232.68777999999972</v>
      </c>
      <c r="AK73" s="13">
        <f t="shared" si="89"/>
        <v>56.86344885363593</v>
      </c>
      <c r="AL73" s="20">
        <f t="shared" si="58"/>
        <v>504.30172358674866</v>
      </c>
      <c r="AM73" s="59">
        <f t="shared" si="59"/>
        <v>770.70726772375815</v>
      </c>
      <c r="AN73" s="59">
        <f ca="1">AVERAGE(OFFSET($AM$3,0,0,'Données projet'!$E$10+1,1))-AVERAGE(OFFSET($H$3,0,0,'Données projet'!$E$10+1,1))</f>
        <v>302.29526572690196</v>
      </c>
      <c r="AO73" s="59">
        <f t="shared" si="90"/>
        <v>234.86746802631617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69.790000000000006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41.903385302475414</v>
      </c>
      <c r="AV73" s="21">
        <f>EXP(-LN(2)/25)*AV72+(1-EXP(-LN(2)/25))/(LN(2)/25)*Calculateur!AQ73*Calculateur!AS73*VLOOKUP('Données projet'!$B$10,Paramètres!$A$1:$I$89,3,0)*0.475*44/12</f>
        <v>31.006293030319227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72.909678332794641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226.66597200000012</v>
      </c>
      <c r="BF73" s="13">
        <f t="shared" si="91"/>
        <v>55.561175235972904</v>
      </c>
      <c r="BG73" s="20">
        <f t="shared" si="61"/>
        <v>491.54561476931968</v>
      </c>
      <c r="BH73" s="59">
        <f t="shared" si="62"/>
        <v>757.95115890632917</v>
      </c>
      <c r="BI73" s="59">
        <f ca="1">AVERAGE(OFFSET($BH$3,0,0,'Données projet'!$E$11+1,1))-AVERAGE(OFFSET($H$3,0,0,'Données projet'!$E$11+1,1))</f>
        <v>627.65081154031589</v>
      </c>
      <c r="BJ73" s="59">
        <f t="shared" si="92"/>
        <v>288.78083487077618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22.761494127020239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22.761494127020239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238.39007400000017</v>
      </c>
      <c r="CA73" s="13">
        <f t="shared" si="93"/>
        <v>58.09301149142599</v>
      </c>
      <c r="CB73" s="20">
        <f t="shared" si="64"/>
        <v>516.37470723090053</v>
      </c>
      <c r="CC73" s="59">
        <f t="shared" si="65"/>
        <v>782.78025136791007</v>
      </c>
      <c r="CD73" s="59">
        <f ca="1">AVERAGE(OFFSET($CC$3,0,0,'Données projet'!$E$12+1,1))-AVERAGE(OFFSET($H$3,0,0,'Données projet'!$E$12+1,1))</f>
        <v>655.36321433908199</v>
      </c>
      <c r="CE73" s="59">
        <f t="shared" si="94"/>
        <v>300.52980782068698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23.938812788762668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23.938812788762668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266.87268107805164</v>
      </c>
      <c r="S74" s="59">
        <f ca="1">AVERAGE(OFFSET($R$3,0,0,'Données projet'!$E$9+1,1))-AVERAGE(OFFSET($H$3,0,0,'Données projet'!$E$9+1,1))</f>
        <v>297.34058997955685</v>
      </c>
      <c r="T74" s="59">
        <f t="shared" si="88"/>
        <v>440.06633724144069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36.901540424740759</v>
      </c>
      <c r="AA74" s="21">
        <f>EXP(-LN(2)/25)*AA73+(1-EXP(-LN(2)/25))/(LN(2)/25)*Calculateur!V74*Calculateur!X74*VLOOKUP('Données projet'!$B$9,Paramètres!$A$1:$I$89,3,0)*0.475*44/12</f>
        <v>60.53035709520131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97.431897519942069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8.0829999999999984</v>
      </c>
      <c r="AI74" s="13">
        <f>IF('Données projet'!$A$62&gt;35,AI73+AH74-AQ73,IF(A74&lt;'Données projet'!$A$62,$AF$205^A74,IF(A74='Données projet'!$A$62,'Données projet'!$B$62,AI73+AH74-AQ73)))</f>
        <v>327.40299999999951</v>
      </c>
      <c r="AJ74" s="13">
        <f>AI74*VLOOKUP('Données projet'!$B$10,Paramètres!$A$1:$I$89,3,0)*VLOOKUP('Données projet'!$B$10,Paramètres!$A$1:$I$89,5,0)</f>
        <v>195.78699399999971</v>
      </c>
      <c r="AK74" s="13">
        <f t="shared" si="89"/>
        <v>48.817132394329121</v>
      </c>
      <c r="AL74" s="20">
        <f t="shared" si="58"/>
        <v>426.01885347012268</v>
      </c>
      <c r="AM74" s="59">
        <f t="shared" si="59"/>
        <v>692.89153454817063</v>
      </c>
      <c r="AN74" s="59">
        <f ca="1">AVERAGE(OFFSET($AM$3,0,0,'Données projet'!$E$10+1,1))-AVERAGE(OFFSET($H$3,0,0,'Données projet'!$E$10+1,1))</f>
        <v>302.29526572690196</v>
      </c>
      <c r="AO74" s="59">
        <f t="shared" si="90"/>
        <v>234.86746802631617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41.081685475235211</v>
      </c>
      <c r="AV74" s="21">
        <f>EXP(-LN(2)/25)*AV73+(1-EXP(-LN(2)/25))/(LN(2)/25)*Calculateur!AQ74*Calculateur!AS74*VLOOKUP('Données projet'!$B$10,Paramètres!$A$1:$I$89,3,0)*0.475*44/12</f>
        <v>30.158424316855065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71.24010979209028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234.68815500000011</v>
      </c>
      <c r="BF74" s="13">
        <f t="shared" si="91"/>
        <v>57.295176729679312</v>
      </c>
      <c r="BG74" s="20">
        <f t="shared" si="61"/>
        <v>508.53763609585832</v>
      </c>
      <c r="BH74" s="59">
        <f t="shared" si="62"/>
        <v>775.41031717390626</v>
      </c>
      <c r="BI74" s="59">
        <f ca="1">AVERAGE(OFFSET($BH$3,0,0,'Données projet'!$E$11+1,1))-AVERAGE(OFFSET($H$3,0,0,'Données projet'!$E$11+1,1))</f>
        <v>627.65081154031589</v>
      </c>
      <c r="BJ74" s="59">
        <f t="shared" si="92"/>
        <v>288.78083487077618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22.315155110329943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22.315155110329943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246.82719750000012</v>
      </c>
      <c r="CA74" s="13">
        <f t="shared" si="93"/>
        <v>59.906028733631878</v>
      </c>
      <c r="CB74" s="20">
        <f t="shared" si="64"/>
        <v>534.22703569024236</v>
      </c>
      <c r="CC74" s="59">
        <f t="shared" si="65"/>
        <v>801.09971676829036</v>
      </c>
      <c r="CD74" s="59">
        <f ca="1">AVERAGE(OFFSET($CC$3,0,0,'Données projet'!$E$12+1,1))-AVERAGE(OFFSET($H$3,0,0,'Données projet'!$E$12+1,1))</f>
        <v>655.36321433908199</v>
      </c>
      <c r="CE74" s="59">
        <f t="shared" si="94"/>
        <v>300.52980782068698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23.469387271209079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23.469387271209079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267.33171423752481</v>
      </c>
      <c r="S75" s="59">
        <f ca="1">AVERAGE(OFFSET($R$3,0,0,'Données projet'!$E$9+1,1))-AVERAGE(OFFSET($H$3,0,0,'Données projet'!$E$9+1,1))</f>
        <v>297.34058997955685</v>
      </c>
      <c r="T75" s="59">
        <f t="shared" si="88"/>
        <v>440.06633724144069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36.177923724728799</v>
      </c>
      <c r="AA75" s="21">
        <f>EXP(-LN(2)/25)*AA74+(1-EXP(-LN(2)/25))/(LN(2)/25)*Calculateur!V75*Calculateur!X75*VLOOKUP('Données projet'!$B$9,Paramètres!$A$1:$I$89,3,0)*0.475*44/12</f>
        <v>58.875151297279892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95.053075022008699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8.0829999999999984</v>
      </c>
      <c r="AI75" s="13">
        <f>IF('Données projet'!$A$62&gt;35,AI74+AH75-AQ74,IF(A75&lt;'Données projet'!$A$62,$AF$205^A75,IF(A75='Données projet'!$A$62,'Données projet'!$B$62,AI74+AH75-AQ74)))</f>
        <v>335.48599999999954</v>
      </c>
      <c r="AJ75" s="13">
        <f>AI75*VLOOKUP('Données projet'!$B$10,Paramètres!$A$1:$I$89,3,0)*VLOOKUP('Données projet'!$B$10,Paramètres!$A$1:$I$89,5,0)</f>
        <v>200.62062799999973</v>
      </c>
      <c r="AK75" s="13">
        <f t="shared" si="89"/>
        <v>49.880538370284725</v>
      </c>
      <c r="AL75" s="20">
        <f t="shared" si="58"/>
        <v>436.28953142824543</v>
      </c>
      <c r="AM75" s="59">
        <f t="shared" si="59"/>
        <v>703.62124566576654</v>
      </c>
      <c r="AN75" s="59">
        <f ca="1">AVERAGE(OFFSET($AM$3,0,0,'Données projet'!$E$10+1,1))-AVERAGE(OFFSET($H$3,0,0,'Données projet'!$E$10+1,1))</f>
        <v>302.29526572690196</v>
      </c>
      <c r="AO75" s="59">
        <f t="shared" si="90"/>
        <v>234.86746802631617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40.276098680419778</v>
      </c>
      <c r="AV75" s="21">
        <f>EXP(-LN(2)/25)*AV74+(1-EXP(-LN(2)/25))/(LN(2)/25)*Calculateur!AQ75*Calculateur!AS75*VLOOKUP('Données projet'!$B$10,Paramètres!$A$1:$I$89,3,0)*0.475*44/12</f>
        <v>29.333740617948056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69.609839298367831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242.71033800000009</v>
      </c>
      <c r="BF75" s="13">
        <f t="shared" si="91"/>
        <v>59.022291232778812</v>
      </c>
      <c r="BG75" s="20">
        <f t="shared" si="61"/>
        <v>525.51766258042323</v>
      </c>
      <c r="BH75" s="59">
        <f t="shared" si="62"/>
        <v>792.8493768179444</v>
      </c>
      <c r="BI75" s="59">
        <f ca="1">AVERAGE(OFFSET($BH$3,0,0,'Données projet'!$E$11+1,1))-AVERAGE(OFFSET($H$3,0,0,'Données projet'!$E$11+1,1))</f>
        <v>627.65081154031589</v>
      </c>
      <c r="BJ75" s="59">
        <f t="shared" si="92"/>
        <v>288.78083487077618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21.877568529517024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21.877568529517024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255.26432100000011</v>
      </c>
      <c r="CA75" s="13">
        <f t="shared" si="93"/>
        <v>61.711845155790719</v>
      </c>
      <c r="CB75" s="20">
        <f t="shared" si="64"/>
        <v>552.06682272133571</v>
      </c>
      <c r="CC75" s="59">
        <f t="shared" si="65"/>
        <v>819.39853695885677</v>
      </c>
      <c r="CD75" s="59">
        <f ca="1">AVERAGE(OFFSET($CC$3,0,0,'Données projet'!$E$12+1,1))-AVERAGE(OFFSET($H$3,0,0,'Données projet'!$E$12+1,1))</f>
        <v>655.36321433908199</v>
      </c>
      <c r="CE75" s="59">
        <f t="shared" si="94"/>
        <v>300.52980782068698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23.009166901733426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23.009166901733426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267.78278419792548</v>
      </c>
      <c r="S76" s="59">
        <f ca="1">AVERAGE(OFFSET($R$3,0,0,'Données projet'!$E$9+1,1))-AVERAGE(OFFSET($H$3,0,0,'Données projet'!$E$9+1,1))</f>
        <v>297.34058997955685</v>
      </c>
      <c r="T76" s="59">
        <f t="shared" si="88"/>
        <v>440.06633724144069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35.468496706841471</v>
      </c>
      <c r="AA76" s="21">
        <f>EXP(-LN(2)/25)*AA75+(1-EXP(-LN(2)/25))/(LN(2)/25)*Calculateur!V76*Calculateur!X76*VLOOKUP('Données projet'!$B$9,Paramètres!$A$1:$I$89,3,0)*0.475*44/12</f>
        <v>57.265207188946128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92.733703895787599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8.0829999999999984</v>
      </c>
      <c r="AI76" s="13">
        <f>IF('Données projet'!$A$62&gt;35,AI75+AH76-AQ75,IF(A76&lt;'Données projet'!$A$62,$AF$205^A76,IF(A76='Données projet'!$A$62,'Données projet'!$B$62,AI75+AH76-AQ75)))</f>
        <v>343.56899999999951</v>
      </c>
      <c r="AJ76" s="13">
        <f>AI76*VLOOKUP('Données projet'!$B$10,Paramètres!$A$1:$I$89,3,0)*VLOOKUP('Données projet'!$B$10,Paramètres!$A$1:$I$89,5,0)</f>
        <v>205.45426199999972</v>
      </c>
      <c r="AK76" s="13">
        <f t="shared" si="89"/>
        <v>50.940965927045724</v>
      </c>
      <c r="AL76" s="20">
        <f t="shared" si="58"/>
        <v>446.55502197293748</v>
      </c>
      <c r="AM76" s="59">
        <f t="shared" si="59"/>
        <v>714.33780617085927</v>
      </c>
      <c r="AN76" s="59">
        <f ca="1">AVERAGE(OFFSET($AM$3,0,0,'Données projet'!$E$10+1,1))-AVERAGE(OFFSET($H$3,0,0,'Données projet'!$E$10+1,1))</f>
        <v>302.29526572690196</v>
      </c>
      <c r="AO76" s="59">
        <f t="shared" si="90"/>
        <v>234.86746802631617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39.48630895129125</v>
      </c>
      <c r="AV76" s="21">
        <f>EXP(-LN(2)/25)*AV75+(1-EXP(-LN(2)/25))/(LN(2)/25)*Calculateur!AQ76*Calculateur!AS76*VLOOKUP('Données projet'!$B$10,Paramètres!$A$1:$I$89,3,0)*0.475*44/12</f>
        <v>28.53160793815589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68.017916889447136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250.73252100000005</v>
      </c>
      <c r="BF76" s="13">
        <f t="shared" si="91"/>
        <v>60.74277247950485</v>
      </c>
      <c r="BG76" s="20">
        <f t="shared" si="61"/>
        <v>542.48613614347107</v>
      </c>
      <c r="BH76" s="59">
        <f t="shared" si="62"/>
        <v>810.26892034139291</v>
      </c>
      <c r="BI76" s="59">
        <f ca="1">AVERAGE(OFFSET($BH$3,0,0,'Données projet'!$E$11+1,1))-AVERAGE(OFFSET($H$3,0,0,'Données projet'!$E$11+1,1))</f>
        <v>627.65081154031589</v>
      </c>
      <c r="BJ76" s="59">
        <f t="shared" si="92"/>
        <v>288.78083487077618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21.448562754652389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21.448562754652389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263.70144450000009</v>
      </c>
      <c r="CA76" s="13">
        <f t="shared" si="93"/>
        <v>63.510726054410156</v>
      </c>
      <c r="CB76" s="20">
        <f t="shared" si="64"/>
        <v>569.89453038226452</v>
      </c>
      <c r="CC76" s="59">
        <f t="shared" si="65"/>
        <v>837.67731458018625</v>
      </c>
      <c r="CD76" s="59">
        <f ca="1">AVERAGE(OFFSET($CC$3,0,0,'Données projet'!$E$12+1,1))-AVERAGE(OFFSET($H$3,0,0,'Données projet'!$E$12+1,1))</f>
        <v>655.36321433908199</v>
      </c>
      <c r="CE76" s="59">
        <f t="shared" si="94"/>
        <v>300.52980782068698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22.557971172996481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22.557971172996481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268.22602910295456</v>
      </c>
      <c r="S77" s="59">
        <f ca="1">AVERAGE(OFFSET($R$3,0,0,'Données projet'!$E$9+1,1))-AVERAGE(OFFSET($H$3,0,0,'Données projet'!$E$9+1,1))</f>
        <v>297.34058997955685</v>
      </c>
      <c r="T77" s="59">
        <f t="shared" si="88"/>
        <v>440.06633724144069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34.772981120067158</v>
      </c>
      <c r="AA77" s="21">
        <f>EXP(-LN(2)/25)*AA76+(1-EXP(-LN(2)/25))/(LN(2)/25)*Calculateur!V77*Calculateur!X77*VLOOKUP('Données projet'!$B$9,Paramètres!$A$1:$I$89,3,0)*0.475*44/12</f>
        <v>55.699287086918034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90.472268206985191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8.0829999999999984</v>
      </c>
      <c r="AI77" s="13">
        <f>IF('Données projet'!$A$62&gt;35,AI76+AH77-AQ76,IF(A77&lt;'Données projet'!$A$62,$AF$205^A77,IF(A77='Données projet'!$A$62,'Données projet'!$B$62,AI76+AH77-AQ76)))</f>
        <v>351.65199999999948</v>
      </c>
      <c r="AJ77" s="13">
        <f>AI77*VLOOKUP('Données projet'!$B$10,Paramètres!$A$1:$I$89,3,0)*VLOOKUP('Données projet'!$B$10,Paramètres!$A$1:$I$89,5,0)</f>
        <v>210.28789599999971</v>
      </c>
      <c r="AK77" s="13">
        <f t="shared" si="89"/>
        <v>51.998493200533538</v>
      </c>
      <c r="AL77" s="20">
        <f t="shared" si="58"/>
        <v>456.81546119092872</v>
      </c>
      <c r="AM77" s="59">
        <f t="shared" si="59"/>
        <v>725.04149029387963</v>
      </c>
      <c r="AN77" s="59">
        <f ca="1">AVERAGE(OFFSET($AM$3,0,0,'Données projet'!$E$10+1,1))-AVERAGE(OFFSET($H$3,0,0,'Données projet'!$E$10+1,1))</f>
        <v>302.29526572690196</v>
      </c>
      <c r="AO77" s="59">
        <f t="shared" si="90"/>
        <v>234.86746802631617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38.712006517026765</v>
      </c>
      <c r="AV77" s="21">
        <f>EXP(-LN(2)/25)*AV76+(1-EXP(-LN(2)/25))/(LN(2)/25)*Calculateur!AQ77*Calculateur!AS77*VLOOKUP('Données projet'!$B$10,Paramètres!$A$1:$I$89,3,0)*0.475*44/12</f>
        <v>27.751409618674966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66.463416135701735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258.75470400000006</v>
      </c>
      <c r="BF77" s="13">
        <f t="shared" si="91"/>
        <v>62.456857045748947</v>
      </c>
      <c r="BG77" s="20">
        <f t="shared" si="61"/>
        <v>559.4434688213463</v>
      </c>
      <c r="BH77" s="59">
        <f t="shared" si="62"/>
        <v>827.66949792429716</v>
      </c>
      <c r="BI77" s="59">
        <f ca="1">AVERAGE(OFFSET($BH$3,0,0,'Données projet'!$E$11+1,1))-AVERAGE(OFFSET($H$3,0,0,'Données projet'!$E$11+1,1))</f>
        <v>627.65081154031589</v>
      </c>
      <c r="BJ77" s="59">
        <f t="shared" si="92"/>
        <v>288.78083487077618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33.259977338364926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33.259977338364926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272.13856800000008</v>
      </c>
      <c r="CA77" s="13">
        <f t="shared" si="93"/>
        <v>65.302918785776711</v>
      </c>
      <c r="CB77" s="20">
        <f t="shared" si="64"/>
        <v>587.71058948522784</v>
      </c>
      <c r="CC77" s="59">
        <f t="shared" si="65"/>
        <v>855.9366185881787</v>
      </c>
      <c r="CD77" s="59">
        <f ca="1">AVERAGE(OFFSET($CC$3,0,0,'Données projet'!$E$12+1,1))-AVERAGE(OFFSET($H$3,0,0,'Données projet'!$E$12+1,1))</f>
        <v>655.36321433908199</v>
      </c>
      <c r="CE77" s="59">
        <f t="shared" si="94"/>
        <v>300.52980782068698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34.980320993797598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34.980320993797598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268.6615846998285</v>
      </c>
      <c r="S78" s="59">
        <f ca="1">AVERAGE(OFFSET($R$3,0,0,'Données projet'!$E$9+1,1))-AVERAGE(OFFSET($H$3,0,0,'Données projet'!$E$9+1,1))</f>
        <v>297.34058997955685</v>
      </c>
      <c r="T78" s="59">
        <f t="shared" si="88"/>
        <v>440.06633724144069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34.091104169726869</v>
      </c>
      <c r="AA78" s="21">
        <f>EXP(-LN(2)/25)*AA77+(1-EXP(-LN(2)/25))/(LN(2)/25)*Calculateur!V78*Calculateur!X78*VLOOKUP('Données projet'!$B$9,Paramètres!$A$1:$I$89,3,0)*0.475*44/12</f>
        <v>54.176187152428056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88.267291322154932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8.0829999999999984</v>
      </c>
      <c r="AI78" s="13">
        <f>IF('Données projet'!$A$62&gt;35,AI77+AH78-AQ77,IF(A78&lt;'Données projet'!$A$62,$AF$205^A78,IF(A78='Données projet'!$A$62,'Données projet'!$B$62,AI77+AH78-AQ77)))</f>
        <v>359.73499999999945</v>
      </c>
      <c r="AJ78" s="13">
        <f>AI78*VLOOKUP('Données projet'!$B$10,Paramètres!$A$1:$I$89,3,0)*VLOOKUP('Données projet'!$B$10,Paramètres!$A$1:$I$89,5,0)</f>
        <v>215.12152999999969</v>
      </c>
      <c r="AK78" s="13">
        <f t="shared" si="89"/>
        <v>53.053194529655578</v>
      </c>
      <c r="AL78" s="20">
        <f t="shared" si="58"/>
        <v>467.07097855581628</v>
      </c>
      <c r="AM78" s="59">
        <f t="shared" si="59"/>
        <v>735.73256325564103</v>
      </c>
      <c r="AN78" s="59">
        <f ca="1">AVERAGE(OFFSET($AM$3,0,0,'Données projet'!$E$10+1,1))-AVERAGE(OFFSET($H$3,0,0,'Données projet'!$E$10+1,1))</f>
        <v>302.29526572690196</v>
      </c>
      <c r="AO78" s="59">
        <f t="shared" si="90"/>
        <v>234.86746802631617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37.952887681220353</v>
      </c>
      <c r="AV78" s="21">
        <f>EXP(-LN(2)/25)*AV77+(1-EXP(-LN(2)/25))/(LN(2)/25)*Calculateur!AQ78*Calculateur!AS78*VLOOKUP('Données projet'!$B$10,Paramètres!$A$1:$I$89,3,0)*0.475*44/12</f>
        <v>26.992545863269093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64.945433544489447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223.71813360000007</v>
      </c>
      <c r="BF78" s="13">
        <f t="shared" si="91"/>
        <v>54.92221376571495</v>
      </c>
      <c r="BG78" s="20">
        <f t="shared" si="61"/>
        <v>485.29860499528695</v>
      </c>
      <c r="BH78" s="59">
        <f t="shared" si="62"/>
        <v>753.96018969511169</v>
      </c>
      <c r="BI78" s="59">
        <f ca="1">AVERAGE(OFFSET($BH$3,0,0,'Données projet'!$E$11+1,1))-AVERAGE(OFFSET($H$3,0,0,'Données projet'!$E$11+1,1))</f>
        <v>627.65081154031589</v>
      </c>
      <c r="BJ78" s="59">
        <f t="shared" si="92"/>
        <v>288.78083487077618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32.607769469342635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32.607769469342635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235.28976120000007</v>
      </c>
      <c r="CA78" s="13">
        <f t="shared" si="93"/>
        <v>57.424933541731441</v>
      </c>
      <c r="CB78" s="20">
        <f t="shared" si="64"/>
        <v>509.81142667518242</v>
      </c>
      <c r="CC78" s="59">
        <f t="shared" si="65"/>
        <v>778.47301137500722</v>
      </c>
      <c r="CD78" s="59">
        <f ca="1">AVERAGE(OFFSET($CC$3,0,0,'Données projet'!$E$12+1,1))-AVERAGE(OFFSET($H$3,0,0,'Données projet'!$E$12+1,1))</f>
        <v>655.36321433908199</v>
      </c>
      <c r="CE78" s="59">
        <f t="shared" si="94"/>
        <v>300.52980782068698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34.294378234998291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34.294378234998291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269.08958438085313</v>
      </c>
      <c r="S79" s="59">
        <f ca="1">AVERAGE(OFFSET($R$3,0,0,'Données projet'!$E$9+1,1))-AVERAGE(OFFSET($H$3,0,0,'Données projet'!$E$9+1,1))</f>
        <v>297.34058997955685</v>
      </c>
      <c r="T79" s="59">
        <f t="shared" si="88"/>
        <v>440.06633724144069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33.422598410478876</v>
      </c>
      <c r="AA79" s="21">
        <f>EXP(-LN(2)/25)*AA78+(1-EXP(-LN(2)/25))/(LN(2)/25)*Calculateur!V79*Calculateur!X79*VLOOKUP('Données projet'!$B$9,Paramètres!$A$1:$I$89,3,0)*0.475*44/12</f>
        <v>52.694736465743048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86.117334876221918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8.0829999999999984</v>
      </c>
      <c r="AI79" s="13">
        <f>IF('Données projet'!$A$62&gt;35,AI78+AH79-AQ78,IF(A79&lt;'Données projet'!$A$62,$AF$205^A79,IF(A79='Données projet'!$A$62,'Données projet'!$B$62,AI78+AH79-AQ78)))</f>
        <v>367.81799999999942</v>
      </c>
      <c r="AJ79" s="13">
        <f>AI79*VLOOKUP('Données projet'!$B$10,Paramètres!$A$1:$I$89,3,0)*VLOOKUP('Données projet'!$B$10,Paramètres!$A$1:$I$89,5,0)</f>
        <v>219.95516399999968</v>
      </c>
      <c r="AK79" s="13">
        <f t="shared" si="89"/>
        <v>54.105140721927512</v>
      </c>
      <c r="AL79" s="20">
        <f t="shared" si="58"/>
        <v>477.32169739068991</v>
      </c>
      <c r="AM79" s="59">
        <f t="shared" si="59"/>
        <v>746.41128177153928</v>
      </c>
      <c r="AN79" s="59">
        <f ca="1">AVERAGE(OFFSET($AM$3,0,0,'Données projet'!$E$10+1,1))-AVERAGE(OFFSET($H$3,0,0,'Données projet'!$E$10+1,1))</f>
        <v>302.29526572690196</v>
      </c>
      <c r="AO79" s="59">
        <f t="shared" si="90"/>
        <v>234.86746802631617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37.208654702767333</v>
      </c>
      <c r="AV79" s="21">
        <f>EXP(-LN(2)/25)*AV78+(1-EXP(-LN(2)/25))/(LN(2)/25)*Calculateur!AQ79*Calculateur!AS79*VLOOKUP('Données projet'!$B$10,Paramètres!$A$1:$I$89,3,0)*0.475*44/12</f>
        <v>26.254433277161706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63.463087979929043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231.56908320000005</v>
      </c>
      <c r="BF79" s="13">
        <f t="shared" si="91"/>
        <v>56.621819638037671</v>
      </c>
      <c r="BG79" s="20">
        <f t="shared" si="61"/>
        <v>501.93248910958238</v>
      </c>
      <c r="BH79" s="59">
        <f t="shared" si="62"/>
        <v>771.02207349043181</v>
      </c>
      <c r="BI79" s="59">
        <f ca="1">AVERAGE(OFFSET($BH$3,0,0,'Données projet'!$E$11+1,1))-AVERAGE(OFFSET($H$3,0,0,'Données projet'!$E$11+1,1))</f>
        <v>627.65081154031589</v>
      </c>
      <c r="BJ79" s="59">
        <f t="shared" si="92"/>
        <v>288.78083487077618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31.968350998824349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31.968350998824349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243.54679440000007</v>
      </c>
      <c r="CA79" s="13">
        <f t="shared" si="93"/>
        <v>59.201987807635689</v>
      </c>
      <c r="CB79" s="20">
        <f t="shared" si="64"/>
        <v>527.28746234496555</v>
      </c>
      <c r="CC79" s="59">
        <f t="shared" si="65"/>
        <v>796.37704672581503</v>
      </c>
      <c r="CD79" s="59">
        <f ca="1">AVERAGE(OFFSET($CC$3,0,0,'Données projet'!$E$12+1,1))-AVERAGE(OFFSET($H$3,0,0,'Données projet'!$E$12+1,1))</f>
        <v>655.36321433908199</v>
      </c>
      <c r="CE79" s="59">
        <f t="shared" si="94"/>
        <v>300.52980782068698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33.621886395315265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33.621886395315265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269.51015922427598</v>
      </c>
      <c r="S80" s="59">
        <f ca="1">AVERAGE(OFFSET($R$3,0,0,'Données projet'!$E$9+1,1))-AVERAGE(OFFSET($H$3,0,0,'Données projet'!$E$9+1,1))</f>
        <v>297.34058997955685</v>
      </c>
      <c r="T80" s="59">
        <f t="shared" si="88"/>
        <v>440.06633724144069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32.767201641421487</v>
      </c>
      <c r="AA80" s="21">
        <f>EXP(-LN(2)/25)*AA79+(1-EXP(-LN(2)/25))/(LN(2)/25)*Calculateur!V80*Calculateur!X80*VLOOKUP('Données projet'!$B$9,Paramètres!$A$1:$I$89,3,0)*0.475*44/12</f>
        <v>51.253796125991549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84.020997767413036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8.0829999999999984</v>
      </c>
      <c r="AI80" s="13">
        <f>IF('Données projet'!$A$62&gt;35,AI79+AH80-AQ79,IF(A80&lt;'Données projet'!$A$62,$AF$205^A80,IF(A80='Données projet'!$A$62,'Données projet'!$B$62,AI79+AH80-AQ79)))</f>
        <v>375.90099999999939</v>
      </c>
      <c r="AJ80" s="13">
        <f>AI80*VLOOKUP('Données projet'!$B$10,Paramètres!$A$1:$I$89,3,0)*VLOOKUP('Données projet'!$B$10,Paramètres!$A$1:$I$89,5,0)</f>
        <v>224.78879799999967</v>
      </c>
      <c r="AK80" s="13">
        <f t="shared" si="89"/>
        <v>55.154399295088197</v>
      </c>
      <c r="AL80" s="20">
        <f t="shared" si="58"/>
        <v>487.56773528894473</v>
      </c>
      <c r="AM80" s="59">
        <f t="shared" si="59"/>
        <v>757.07789451321696</v>
      </c>
      <c r="AN80" s="59">
        <f ca="1">AVERAGE(OFFSET($AM$3,0,0,'Données projet'!$E$10+1,1))-AVERAGE(OFFSET($H$3,0,0,'Données projet'!$E$10+1,1))</f>
        <v>302.29526572690196</v>
      </c>
      <c r="AO80" s="59">
        <f t="shared" si="90"/>
        <v>234.86746802631617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36.479015679084483</v>
      </c>
      <c r="AV80" s="21">
        <f>EXP(-LN(2)/25)*AV79+(1-EXP(-LN(2)/25))/(LN(2)/25)*Calculateur!AQ80*Calculateur!AS80*VLOOKUP('Données projet'!$B$10,Paramètres!$A$1:$I$89,3,0)*0.475*44/12</f>
        <v>25.536504418537078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62.015520097621561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239.42003280000009</v>
      </c>
      <c r="BF80" s="13">
        <f t="shared" si="91"/>
        <v>58.314730148380967</v>
      </c>
      <c r="BG80" s="20">
        <f t="shared" si="61"/>
        <v>518.55471213509702</v>
      </c>
      <c r="BH80" s="59">
        <f t="shared" si="62"/>
        <v>788.06487135936936</v>
      </c>
      <c r="BI80" s="59">
        <f ca="1">AVERAGE(OFFSET($BH$3,0,0,'Données projet'!$E$11+1,1))-AVERAGE(OFFSET($H$3,0,0,'Données projet'!$E$11+1,1))</f>
        <v>627.65081154031589</v>
      </c>
      <c r="BJ80" s="59">
        <f t="shared" si="92"/>
        <v>288.78083487077618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31.341471134506168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31.341471134506168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251.80382760000009</v>
      </c>
      <c r="CA80" s="13">
        <f t="shared" si="93"/>
        <v>60.972041614338686</v>
      </c>
      <c r="CB80" s="20">
        <f t="shared" si="64"/>
        <v>544.75130554830673</v>
      </c>
      <c r="CC80" s="59">
        <f t="shared" si="65"/>
        <v>814.26146477257907</v>
      </c>
      <c r="CD80" s="59">
        <f ca="1">AVERAGE(OFFSET($CC$3,0,0,'Données projet'!$E$12+1,1))-AVERAGE(OFFSET($H$3,0,0,'Données projet'!$E$12+1,1))</f>
        <v>655.36321433908199</v>
      </c>
      <c r="CE80" s="59">
        <f t="shared" si="94"/>
        <v>300.52980782068698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32.962581710428907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32.962581710428907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269.92343803442992</v>
      </c>
      <c r="S81" s="59">
        <f ca="1">AVERAGE(OFFSET($R$3,0,0,'Données projet'!$E$9+1,1))-AVERAGE(OFFSET($H$3,0,0,'Données projet'!$E$9+1,1))</f>
        <v>297.34058997955685</v>
      </c>
      <c r="T81" s="59">
        <f t="shared" si="88"/>
        <v>440.06633724144069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32.124656803252755</v>
      </c>
      <c r="AA81" s="21">
        <f>EXP(-LN(2)/25)*AA80+(1-EXP(-LN(2)/25))/(LN(2)/25)*Calculateur!V81*Calculateur!X81*VLOOKUP('Données projet'!$B$9,Paramètres!$A$1:$I$89,3,0)*0.475*44/12</f>
        <v>49.852258375606311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81.976915178859059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8.0829999999999984</v>
      </c>
      <c r="AI81" s="13">
        <f>IF('Données projet'!$A$62&gt;35,AI80+AH81-AQ80,IF(A81&lt;'Données projet'!$A$62,$AF$205^A81,IF(A81='Données projet'!$A$62,'Données projet'!$B$62,AI80+AH81-AQ80)))</f>
        <v>383.98399999999936</v>
      </c>
      <c r="AJ81" s="13">
        <f>AI81*VLOOKUP('Données projet'!$B$10,Paramètres!$A$1:$I$89,3,0)*VLOOKUP('Données projet'!$B$10,Paramètres!$A$1:$I$89,5,0)</f>
        <v>229.62243199999966</v>
      </c>
      <c r="AK81" s="13">
        <f t="shared" si="89"/>
        <v>56.201034697346252</v>
      </c>
      <c r="AL81" s="20">
        <f t="shared" si="58"/>
        <v>497.80920449787737</v>
      </c>
      <c r="AM81" s="59">
        <f t="shared" si="59"/>
        <v>767.73264253230354</v>
      </c>
      <c r="AN81" s="59">
        <f ca="1">AVERAGE(OFFSET($AM$3,0,0,'Données projet'!$E$10+1,1))-AVERAGE(OFFSET($H$3,0,0,'Données projet'!$E$10+1,1))</f>
        <v>302.29526572690196</v>
      </c>
      <c r="AO81" s="59">
        <f t="shared" si="90"/>
        <v>234.86746802631617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35.763684431620199</v>
      </c>
      <c r="AV81" s="21">
        <f>EXP(-LN(2)/25)*AV80+(1-EXP(-LN(2)/25))/(LN(2)/25)*Calculateur!AQ81*Calculateur!AS81*VLOOKUP('Données projet'!$B$10,Paramètres!$A$1:$I$89,3,0)*0.475*44/12</f>
        <v>24.838207362305777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60.601891793925972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247.27098240000012</v>
      </c>
      <c r="BF81" s="13">
        <f t="shared" si="91"/>
        <v>60.001190025553029</v>
      </c>
      <c r="BG81" s="20">
        <f t="shared" si="61"/>
        <v>535.16570030783839</v>
      </c>
      <c r="BH81" s="59">
        <f t="shared" si="62"/>
        <v>805.08913834226462</v>
      </c>
      <c r="BI81" s="59">
        <f ca="1">AVERAGE(OFFSET($BH$3,0,0,'Données projet'!$E$11+1,1))-AVERAGE(OFFSET($H$3,0,0,'Données projet'!$E$11+1,1))</f>
        <v>627.65081154031589</v>
      </c>
      <c r="BJ81" s="59">
        <f t="shared" si="92"/>
        <v>288.78083487077618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30.726884001968305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30.726884001968305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260.06086080000017</v>
      </c>
      <c r="CA81" s="13">
        <f t="shared" si="93"/>
        <v>62.735350842559512</v>
      </c>
      <c r="CB81" s="20">
        <f t="shared" si="64"/>
        <v>562.20340194412472</v>
      </c>
      <c r="CC81" s="59">
        <f t="shared" si="65"/>
        <v>832.12683997855095</v>
      </c>
      <c r="CD81" s="59">
        <f ca="1">AVERAGE(OFFSET($CC$3,0,0,'Données projet'!$E$12+1,1))-AVERAGE(OFFSET($H$3,0,0,'Données projet'!$E$12+1,1))</f>
        <v>655.36321433908199</v>
      </c>
      <c r="CE81" s="59">
        <f t="shared" si="94"/>
        <v>300.52980782068698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32.316205588277015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32.316205588277015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270.32954738118065</v>
      </c>
      <c r="S82" s="59">
        <f ca="1">AVERAGE(OFFSET($R$3,0,0,'Données projet'!$E$9+1,1))-AVERAGE(OFFSET($H$3,0,0,'Données projet'!$E$9+1,1))</f>
        <v>297.34058997955685</v>
      </c>
      <c r="T82" s="59">
        <f t="shared" si="88"/>
        <v>440.06633724144069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31.494711877446861</v>
      </c>
      <c r="AA82" s="21">
        <f>EXP(-LN(2)/25)*AA81+(1-EXP(-LN(2)/25))/(LN(2)/25)*Calculateur!V82*Calculateur!X82*VLOOKUP('Données projet'!$B$9,Paramètres!$A$1:$I$89,3,0)*0.475*44/12</f>
        <v>48.489045748709025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79.983757626155892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8.0829999999999984</v>
      </c>
      <c r="AI82" s="13">
        <f>IF('Données projet'!$A$62&gt;35,AI81+AH82-AQ81,IF(A82&lt;'Données projet'!$A$62,$AF$205^A82,IF(A82='Données projet'!$A$62,'Données projet'!$B$62,AI81+AH82-AQ81)))</f>
        <v>392.06699999999933</v>
      </c>
      <c r="AJ82" s="13">
        <f>AI82*VLOOKUP('Données projet'!$B$10,Paramètres!$A$1:$I$89,3,0)*VLOOKUP('Données projet'!$B$10,Paramètres!$A$1:$I$89,5,0)</f>
        <v>234.45606599999959</v>
      </c>
      <c r="AK82" s="13">
        <f t="shared" si="89"/>
        <v>57.245108508558658</v>
      </c>
      <c r="AL82" s="20">
        <f t="shared" si="58"/>
        <v>508.04621226907233</v>
      </c>
      <c r="AM82" s="59">
        <f t="shared" si="59"/>
        <v>778.37575965024928</v>
      </c>
      <c r="AN82" s="59">
        <f ca="1">AVERAGE(OFFSET($AM$3,0,0,'Données projet'!$E$10+1,1))-AVERAGE(OFFSET($H$3,0,0,'Données projet'!$E$10+1,1))</f>
        <v>302.29526572690196</v>
      </c>
      <c r="AO82" s="59">
        <f t="shared" si="90"/>
        <v>234.86746802631617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35.062380393609708</v>
      </c>
      <c r="AV82" s="21">
        <f>EXP(-LN(2)/25)*AV81+(1-EXP(-LN(2)/25))/(LN(2)/25)*Calculateur!AQ82*Calculateur!AS82*VLOOKUP('Données projet'!$B$10,Paramètres!$A$1:$I$89,3,0)*0.475*44/12</f>
        <v>24.159005275798968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59.221385669408676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255.1219320000001</v>
      </c>
      <c r="BF82" s="13">
        <f t="shared" si="91"/>
        <v>61.681427575411924</v>
      </c>
      <c r="BG82" s="20">
        <f t="shared" si="61"/>
        <v>551.76585126050918</v>
      </c>
      <c r="BH82" s="59">
        <f t="shared" si="62"/>
        <v>822.09539864168619</v>
      </c>
      <c r="BI82" s="59">
        <f ca="1">AVERAGE(OFFSET($BH$3,0,0,'Données projet'!$E$11+1,1))-AVERAGE(OFFSET($H$3,0,0,'Données projet'!$E$11+1,1))</f>
        <v>627.65081154031589</v>
      </c>
      <c r="BJ82" s="59">
        <f t="shared" si="92"/>
        <v>288.78083487077618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30.124348548238373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30.124348548238373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268.31789400000014</v>
      </c>
      <c r="CA82" s="13">
        <f t="shared" si="93"/>
        <v>64.492154201698639</v>
      </c>
      <c r="CB82" s="20">
        <f t="shared" si="64"/>
        <v>579.6441672846255</v>
      </c>
      <c r="CC82" s="59">
        <f t="shared" si="65"/>
        <v>849.97371466580239</v>
      </c>
      <c r="CD82" s="59">
        <f ca="1">AVERAGE(OFFSET($CC$3,0,0,'Données projet'!$E$12+1,1))-AVERAGE(OFFSET($H$3,0,0,'Données projet'!$E$12+1,1))</f>
        <v>655.36321433908199</v>
      </c>
      <c r="CE82" s="59">
        <f t="shared" si="94"/>
        <v>300.52980782068698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31.682504507630018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31.682504507630018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270.72861163868981</v>
      </c>
      <c r="S83" s="59">
        <f ca="1">AVERAGE(OFFSET($R$3,0,0,'Données projet'!$E$9+1,1))-AVERAGE(OFFSET($H$3,0,0,'Données projet'!$E$9+1,1))</f>
        <v>297.34058997955685</v>
      </c>
      <c r="T83" s="59">
        <f t="shared" si="88"/>
        <v>440.06633724144069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30.877119787407555</v>
      </c>
      <c r="AA83" s="21">
        <f>EXP(-LN(2)/25)*AA82+(1-EXP(-LN(2)/25))/(LN(2)/25)*Calculateur!V83*Calculateur!X83*VLOOKUP('Données projet'!$B$9,Paramètres!$A$1:$I$89,3,0)*0.475*44/12</f>
        <v>47.16311024278248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78.040230030190031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400.15</v>
      </c>
      <c r="AG83" s="12">
        <f>VLOOKUP(A83,'Données projet'!$A$61:$I$81,9,0)</f>
        <v>8.0829999999999984</v>
      </c>
      <c r="AH83" s="12">
        <f t="array" ref="AH83">INDEX(AG:AG,MIN(IF(ISNUMBER(AG83:AG279),ROW(AG83:AG279),"")))</f>
        <v>8.0829999999999984</v>
      </c>
      <c r="AI83" s="13">
        <f>IF('Données projet'!$A$62&gt;35,AI82+AH83-AQ82,IF(A83&lt;'Données projet'!$A$62,$AF$205^A83,IF(A83='Données projet'!$A$62,'Données projet'!$B$62,AI82+AH83-AQ82)))</f>
        <v>400.1499999999993</v>
      </c>
      <c r="AJ83" s="13">
        <f>AI83*VLOOKUP('Données projet'!$B$10,Paramètres!$A$1:$I$89,3,0)*VLOOKUP('Données projet'!$B$10,Paramètres!$A$1:$I$89,5,0)</f>
        <v>239.28969999999958</v>
      </c>
      <c r="AK83" s="13">
        <f t="shared" si="89"/>
        <v>58.286679624350214</v>
      </c>
      <c r="AL83" s="20">
        <f t="shared" si="58"/>
        <v>518.27886117907588</v>
      </c>
      <c r="AM83" s="59">
        <f t="shared" si="59"/>
        <v>789.00747281776194</v>
      </c>
      <c r="AN83" s="59">
        <f ca="1">AVERAGE(OFFSET($AM$3,0,0,'Données projet'!$E$10+1,1))-AVERAGE(OFFSET($H$3,0,0,'Données projet'!$E$10+1,1))</f>
        <v>302.29526572690196</v>
      </c>
      <c r="AO83" s="59">
        <f t="shared" si="90"/>
        <v>234.86746802631617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400.15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134.36628983046052</v>
      </c>
      <c r="AV83" s="21">
        <f>EXP(-LN(2)/25)*AV82+(1-EXP(-LN(2)/25))/(LN(2)/25)*Calculateur!AQ83*Calculateur!AS83*VLOOKUP('Données projet'!$B$10,Paramètres!$A$1:$I$89,3,0)*0.475*44/12</f>
        <v>66.183128940681456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200.54941877114197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262.97288160000016</v>
      </c>
      <c r="BF83" s="13">
        <f t="shared" si="91"/>
        <v>63.355656254051972</v>
      </c>
      <c r="BG83" s="20">
        <f t="shared" si="61"/>
        <v>568.35553676247412</v>
      </c>
      <c r="BH83" s="59">
        <f t="shared" si="62"/>
        <v>839.08414840116029</v>
      </c>
      <c r="BI83" s="59">
        <f ca="1">AVERAGE(OFFSET($BH$3,0,0,'Données projet'!$E$11+1,1))-AVERAGE(OFFSET($H$3,0,0,'Données projet'!$E$11+1,1))</f>
        <v>627.65081154031589</v>
      </c>
      <c r="BJ83" s="59">
        <f t="shared" si="92"/>
        <v>288.78083487077618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29.533628447245746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29.533628447245746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276.57492720000016</v>
      </c>
      <c r="CA83" s="13">
        <f t="shared" si="93"/>
        <v>66.242674874712534</v>
      </c>
      <c r="CB83" s="20">
        <f t="shared" si="64"/>
        <v>597.07399028012458</v>
      </c>
      <c r="CC83" s="59">
        <f t="shared" si="65"/>
        <v>867.80260191881075</v>
      </c>
      <c r="CD83" s="59">
        <f ca="1">AVERAGE(OFFSET($CC$3,0,0,'Données projet'!$E$12+1,1))-AVERAGE(OFFSET($H$3,0,0,'Données projet'!$E$12+1,1))</f>
        <v>655.36321433908199</v>
      </c>
      <c r="CE83" s="59">
        <f t="shared" si="94"/>
        <v>300.52980782068698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31.061229918655016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31.061229918655016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271.12075302350513</v>
      </c>
      <c r="S84" s="59">
        <f ca="1">AVERAGE(OFFSET($R$3,0,0,'Données projet'!$E$9+1,1))-AVERAGE(OFFSET($H$3,0,0,'Données projet'!$E$9+1,1))</f>
        <v>297.34058997955685</v>
      </c>
      <c r="T84" s="59">
        <f t="shared" si="88"/>
        <v>440.06633724144069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30.271638301559939</v>
      </c>
      <c r="AA84" s="21">
        <f>EXP(-LN(2)/25)*AA83+(1-EXP(-LN(2)/25))/(LN(2)/25)*Calculateur!V84*Calculateur!X84*VLOOKUP('Données projet'!$B$9,Paramètres!$A$1:$I$89,3,0)*0.475*44/12</f>
        <v>45.873432512993418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76.14507081455335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-6.8212102632969618E-13</v>
      </c>
      <c r="AJ84" s="13">
        <f>AI84*VLOOKUP('Données projet'!$B$10,Paramètres!$A$1:$I$89,3,0)*VLOOKUP('Données projet'!$B$10,Paramètres!$A$1:$I$89,5,0)</f>
        <v>-4.0790837374515837E-13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302.29526572690196</v>
      </c>
      <c r="AO84" s="59">
        <f t="shared" si="90"/>
        <v>234.86746802631617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131.73144884222955</v>
      </c>
      <c r="AV84" s="21">
        <f>EXP(-LN(2)/25)*AV83+(1-EXP(-LN(2)/25))/(LN(2)/25)*Calculateur!AQ84*Calculateur!AS84*VLOOKUP('Données projet'!$B$10,Paramètres!$A$1:$I$89,3,0)*0.475*44/12</f>
        <v>64.373347799379033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196.10479664160857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270.8238312000002</v>
      </c>
      <c r="BF84" s="13">
        <f t="shared" si="91"/>
        <v>65.024076047844915</v>
      </c>
      <c r="BG84" s="20">
        <f t="shared" si="61"/>
        <v>584.93510512333023</v>
      </c>
      <c r="BH84" s="59">
        <f t="shared" si="62"/>
        <v>856.05585814683172</v>
      </c>
      <c r="BI84" s="59">
        <f ca="1">AVERAGE(OFFSET($BH$3,0,0,'Données projet'!$E$11+1,1))-AVERAGE(OFFSET($H$3,0,0,'Données projet'!$E$11+1,1))</f>
        <v>627.65081154031589</v>
      </c>
      <c r="BJ84" s="59">
        <f t="shared" si="92"/>
        <v>288.78083487077618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28.9544920071299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28.9544920071299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284.83196040000018</v>
      </c>
      <c r="CA84" s="13">
        <f t="shared" si="93"/>
        <v>67.987121961040245</v>
      </c>
      <c r="CB84" s="20">
        <f t="shared" si="64"/>
        <v>614.49323511214538</v>
      </c>
      <c r="CC84" s="59">
        <f t="shared" si="65"/>
        <v>885.61398813564688</v>
      </c>
      <c r="CD84" s="59">
        <f ca="1">AVERAGE(OFFSET($CC$3,0,0,'Données projet'!$E$12+1,1))-AVERAGE(OFFSET($H$3,0,0,'Données projet'!$E$12+1,1))</f>
        <v>655.36321433908199</v>
      </c>
      <c r="CE84" s="59">
        <f t="shared" si="94"/>
        <v>300.52980782068698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30.452138145429732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30.452138145429732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271.50609163199073</v>
      </c>
      <c r="S85" s="59">
        <f ca="1">AVERAGE(OFFSET($R$3,0,0,'Données projet'!$E$9+1,1))-AVERAGE(OFFSET($H$3,0,0,'Données projet'!$E$9+1,1))</f>
        <v>297.34058997955685</v>
      </c>
      <c r="T85" s="59">
        <f t="shared" si="88"/>
        <v>440.06633724144069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29.678029938342558</v>
      </c>
      <c r="AA85" s="21">
        <f>EXP(-LN(2)/25)*AA84+(1-EXP(-LN(2)/25))/(LN(2)/25)*Calculateur!V85*Calculateur!X85*VLOOKUP('Données projet'!$B$9,Paramètres!$A$1:$I$89,3,0)*0.475*44/12</f>
        <v>44.619021088546639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74.297051026889193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-6.8212102632969618E-13</v>
      </c>
      <c r="AJ85" s="13">
        <f>AI85*VLOOKUP('Données projet'!$B$10,Paramètres!$A$1:$I$89,3,0)*VLOOKUP('Données projet'!$B$10,Paramètres!$A$1:$I$89,5,0)</f>
        <v>-4.0790837374515837E-13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302.29526572690196</v>
      </c>
      <c r="AO85" s="59">
        <f t="shared" si="90"/>
        <v>234.86746802631617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129.1482754786835</v>
      </c>
      <c r="AV85" s="21">
        <f>EXP(-LN(2)/25)*AV84+(1-EXP(-LN(2)/25))/(LN(2)/25)*Calculateur!AQ85*Calculateur!AS85*VLOOKUP('Données projet'!$B$10,Paramètres!$A$1:$I$89,3,0)*0.475*44/12</f>
        <v>62.613055218557783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191.76133069724128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278.67478080000018</v>
      </c>
      <c r="BF85" s="13">
        <f t="shared" si="91"/>
        <v>66.686874688958113</v>
      </c>
      <c r="BG85" s="20">
        <f t="shared" si="61"/>
        <v>601.50488330993562</v>
      </c>
      <c r="BH85" s="59">
        <f t="shared" si="62"/>
        <v>873.01097494192265</v>
      </c>
      <c r="BI85" s="59">
        <f ca="1">AVERAGE(OFFSET($BH$3,0,0,'Données projet'!$E$11+1,1))-AVERAGE(OFFSET($H$3,0,0,'Données projet'!$E$11+1,1))</f>
        <v>627.65081154031589</v>
      </c>
      <c r="BJ85" s="59">
        <f t="shared" si="92"/>
        <v>288.78083487077618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28.386712079366379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28.386712079366379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293.08899360000021</v>
      </c>
      <c r="CA85" s="13">
        <f t="shared" si="93"/>
        <v>69.725691747511789</v>
      </c>
      <c r="CB85" s="20">
        <f t="shared" si="64"/>
        <v>631.90224364691676</v>
      </c>
      <c r="CC85" s="59">
        <f t="shared" si="65"/>
        <v>903.40833527890379</v>
      </c>
      <c r="CD85" s="59">
        <f ca="1">AVERAGE(OFFSET($CC$3,0,0,'Données projet'!$E$12+1,1))-AVERAGE(OFFSET($H$3,0,0,'Données projet'!$E$12+1,1))</f>
        <v>655.36321433908199</v>
      </c>
      <c r="CE85" s="59">
        <f t="shared" si="94"/>
        <v>300.52980782068698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29.854990290368097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29.854990290368097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271.88474547710717</v>
      </c>
      <c r="S86" s="59">
        <f ca="1">AVERAGE(OFFSET($R$3,0,0,'Données projet'!$E$9+1,1))-AVERAGE(OFFSET($H$3,0,0,'Données projet'!$E$9+1,1))</f>
        <v>297.34058997955685</v>
      </c>
      <c r="T86" s="59">
        <f t="shared" si="88"/>
        <v>440.06633724144069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29.096061873062517</v>
      </c>
      <c r="AA86" s="21">
        <f>EXP(-LN(2)/25)*AA85+(1-EXP(-LN(2)/25))/(LN(2)/25)*Calculateur!V86*Calculateur!X86*VLOOKUP('Données projet'!$B$9,Paramètres!$A$1:$I$89,3,0)*0.475*44/12</f>
        <v>43.398911610467991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72.494973483530515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-6.8212102632969618E-13</v>
      </c>
      <c r="AJ86" s="13">
        <f>AI86*VLOOKUP('Données projet'!$B$10,Paramètres!$A$1:$I$89,3,0)*VLOOKUP('Données projet'!$B$10,Paramètres!$A$1:$I$89,5,0)</f>
        <v>-4.0790837374515837E-13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302.29526572690196</v>
      </c>
      <c r="AO86" s="59">
        <f t="shared" si="90"/>
        <v>234.86746802631617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126.6157565692164</v>
      </c>
      <c r="AV86" s="21">
        <f>EXP(-LN(2)/25)*AV85+(1-EXP(-LN(2)/25))/(LN(2)/25)*Calculateur!AQ86*Calculateur!AS86*VLOOKUP('Données projet'!$B$10,Paramètres!$A$1:$I$89,3,0)*0.475*44/12</f>
        <v>60.900897930928849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187.51665450014525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286.52573040000021</v>
      </c>
      <c r="BF86" s="13">
        <f t="shared" si="91"/>
        <v>68.344228730046424</v>
      </c>
      <c r="BG86" s="20">
        <f t="shared" si="61"/>
        <v>618.06517881816455</v>
      </c>
      <c r="BH86" s="59">
        <f t="shared" si="62"/>
        <v>889.94992429526803</v>
      </c>
      <c r="BI86" s="59">
        <f ca="1">AVERAGE(OFFSET($BH$3,0,0,'Données projet'!$E$11+1,1))-AVERAGE(OFFSET($H$3,0,0,'Données projet'!$E$11+1,1))</f>
        <v>627.65081154031589</v>
      </c>
      <c r="BJ86" s="59">
        <f t="shared" si="92"/>
        <v>288.78083487077618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27.830065969674738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27.830065969674738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301.34602680000023</v>
      </c>
      <c r="CA86" s="13">
        <f t="shared" si="93"/>
        <v>71.45856883201175</v>
      </c>
      <c r="CB86" s="20">
        <f t="shared" si="64"/>
        <v>649.30133739242081</v>
      </c>
      <c r="CC86" s="59">
        <f t="shared" si="65"/>
        <v>921.18608286952428</v>
      </c>
      <c r="CD86" s="59">
        <f ca="1">AVERAGE(OFFSET($CC$3,0,0,'Données projet'!$E$12+1,1))-AVERAGE(OFFSET($H$3,0,0,'Données projet'!$E$12+1,1))</f>
        <v>655.36321433908199</v>
      </c>
      <c r="CE86" s="59">
        <f t="shared" si="94"/>
        <v>300.52980782068698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29.269552140519991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29.269552140519991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272.256830524554</v>
      </c>
      <c r="S87" s="59">
        <f ca="1">AVERAGE(OFFSET($R$3,0,0,'Données projet'!$E$9+1,1))-AVERAGE(OFFSET($H$3,0,0,'Données projet'!$E$9+1,1))</f>
        <v>297.34058997955685</v>
      </c>
      <c r="T87" s="59">
        <f t="shared" si="88"/>
        <v>440.06633724144069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28.525505846577147</v>
      </c>
      <c r="AA87" s="21">
        <f>EXP(-LN(2)/25)*AA86+(1-EXP(-LN(2)/25))/(LN(2)/25)*Calculateur!V87*Calculateur!X87*VLOOKUP('Données projet'!$B$9,Paramètres!$A$1:$I$89,3,0)*0.475*44/12</f>
        <v>42.21216609023017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70.737671936807317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-6.8212102632969618E-13</v>
      </c>
      <c r="AJ87" s="13">
        <f>AI87*VLOOKUP('Données projet'!$B$10,Paramètres!$A$1:$I$89,3,0)*VLOOKUP('Données projet'!$B$10,Paramètres!$A$1:$I$89,5,0)</f>
        <v>-4.0790837374515837E-13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302.29526572690196</v>
      </c>
      <c r="AO87" s="59">
        <f t="shared" si="90"/>
        <v>234.86746802631617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124.13289881087995</v>
      </c>
      <c r="AV87" s="21">
        <f>EXP(-LN(2)/25)*AV86+(1-EXP(-LN(2)/25))/(LN(2)/25)*Calculateur!AQ87*Calculateur!AS87*VLOOKUP('Données projet'!$B$10,Paramètres!$A$1:$I$89,3,0)*0.475*44/12</f>
        <v>59.235559674368567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183.36845848524851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294.37668000000025</v>
      </c>
      <c r="BF87" s="13">
        <f t="shared" si="91"/>
        <v>69.99630449784344</v>
      </c>
      <c r="BG87" s="20">
        <f t="shared" si="61"/>
        <v>634.61628133374438</v>
      </c>
      <c r="BH87" s="59">
        <f t="shared" si="62"/>
        <v>906.87311185829469</v>
      </c>
      <c r="BI87" s="59">
        <f ca="1">AVERAGE(OFFSET($BH$3,0,0,'Données projet'!$E$11+1,1))-AVERAGE(OFFSET($H$3,0,0,'Données projet'!$E$11+1,1))</f>
        <v>627.65081154031589</v>
      </c>
      <c r="BJ87" s="59">
        <f t="shared" si="92"/>
        <v>288.78083487077618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43.147236627276406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43.147236627276406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309.60306000000026</v>
      </c>
      <c r="CA87" s="13">
        <f t="shared" si="93"/>
        <v>73.185927120523928</v>
      </c>
      <c r="CB87" s="20">
        <f t="shared" si="64"/>
        <v>666.69081923491296</v>
      </c>
      <c r="CC87" s="59">
        <f t="shared" si="65"/>
        <v>938.94764975946327</v>
      </c>
      <c r="CD87" s="59">
        <f ca="1">AVERAGE(OFFSET($CC$3,0,0,'Données projet'!$E$12+1,1))-AVERAGE(OFFSET($H$3,0,0,'Données projet'!$E$12+1,1))</f>
        <v>655.36321433908199</v>
      </c>
      <c r="CE87" s="59">
        <f t="shared" si="94"/>
        <v>300.52980782068698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45.378990245928641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45.378990245928641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272.6224607282852</v>
      </c>
      <c r="S88" s="59">
        <f ca="1">AVERAGE(OFFSET($R$3,0,0,'Données projet'!$E$9+1,1))-AVERAGE(OFFSET($H$3,0,0,'Données projet'!$E$9+1,1))</f>
        <v>297.34058997955685</v>
      </c>
      <c r="T88" s="59">
        <f t="shared" si="88"/>
        <v>440.06633724144069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27.966138075766342</v>
      </c>
      <c r="AA88" s="21">
        <f>EXP(-LN(2)/25)*AA87+(1-EXP(-LN(2)/25))/(LN(2)/25)*Calculateur!V88*Calculateur!X88*VLOOKUP('Données projet'!$B$9,Paramètres!$A$1:$I$89,3,0)*0.475*44/12</f>
        <v>41.057872188651487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69.024010264417825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-6.8212102632969618E-13</v>
      </c>
      <c r="AJ88" s="13">
        <f>AI88*VLOOKUP('Données projet'!$B$10,Paramètres!$A$1:$I$89,3,0)*VLOOKUP('Données projet'!$B$10,Paramètres!$A$1:$I$89,5,0)</f>
        <v>-4.0790837374515837E-13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302.29526572690196</v>
      </c>
      <c r="AO88" s="59">
        <f t="shared" si="90"/>
        <v>234.86746802631617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121.69872837879078</v>
      </c>
      <c r="AV88" s="21">
        <f>EXP(-LN(2)/25)*AV87+(1-EXP(-LN(2)/25))/(LN(2)/25)*Calculateur!AQ88*Calculateur!AS88*VLOOKUP('Données projet'!$B$10,Paramètres!$A$1:$I$89,3,0)*0.475*44/12</f>
        <v>57.615760180010263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179.31448855880103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246.26032080000024</v>
      </c>
      <c r="BF88" s="13">
        <f t="shared" si="91"/>
        <v>59.784443753506842</v>
      </c>
      <c r="BG88" s="20">
        <f t="shared" si="61"/>
        <v>533.02796493069138</v>
      </c>
      <c r="BH88" s="59">
        <f t="shared" si="62"/>
        <v>805.65042565897284</v>
      </c>
      <c r="BI88" s="59">
        <f ca="1">AVERAGE(OFFSET($BH$3,0,0,'Données projet'!$E$11+1,1))-AVERAGE(OFFSET($H$3,0,0,'Données projet'!$E$11+1,1))</f>
        <v>627.65081154031589</v>
      </c>
      <c r="BJ88" s="59">
        <f t="shared" si="92"/>
        <v>288.78083487077618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42.301145634231247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42.301145634231247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258.99792360000026</v>
      </c>
      <c r="CA88" s="13">
        <f t="shared" si="93"/>
        <v>62.508727780336244</v>
      </c>
      <c r="CB88" s="20">
        <f t="shared" si="64"/>
        <v>559.95741782075277</v>
      </c>
      <c r="CC88" s="59">
        <f t="shared" si="65"/>
        <v>832.57987854903422</v>
      </c>
      <c r="CD88" s="59">
        <f ca="1">AVERAGE(OFFSET($CC$3,0,0,'Données projet'!$E$12+1,1))-AVERAGE(OFFSET($H$3,0,0,'Données projet'!$E$12+1,1))</f>
        <v>655.36321433908199</v>
      </c>
      <c r="CE88" s="59">
        <f t="shared" si="94"/>
        <v>300.52980782068698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44.48913592565701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44.48913592565701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272.9817480654084</v>
      </c>
      <c r="S89" s="59">
        <f ca="1">AVERAGE(OFFSET($R$3,0,0,'Données projet'!$E$9+1,1))-AVERAGE(OFFSET($H$3,0,0,'Données projet'!$E$9+1,1))</f>
        <v>297.34058997955685</v>
      </c>
      <c r="T89" s="59">
        <f t="shared" si="88"/>
        <v>440.06633724144069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27.417739165760487</v>
      </c>
      <c r="AA89" s="21">
        <f>EXP(-LN(2)/25)*AA88+(1-EXP(-LN(2)/25))/(LN(2)/25)*Calculateur!V89*Calculateur!X89*VLOOKUP('Données projet'!$B$9,Paramètres!$A$1:$I$89,3,0)*0.475*44/12</f>
        <v>39.935142514513153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67.35288168027364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-6.8212102632969618E-13</v>
      </c>
      <c r="AJ89" s="13">
        <f>AI89*VLOOKUP('Données projet'!$B$10,Paramètres!$A$1:$I$89,3,0)*VLOOKUP('Données projet'!$B$10,Paramètres!$A$1:$I$89,5,0)</f>
        <v>-4.0790837374515837E-13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302.29526572690196</v>
      </c>
      <c r="AO89" s="59">
        <f t="shared" si="90"/>
        <v>234.86746802631617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119.3122905441775</v>
      </c>
      <c r="AV89" s="21">
        <f>EXP(-LN(2)/25)*AV88+(1-EXP(-LN(2)/25))/(LN(2)/25)*Calculateur!AQ89*Calculateur!AS89*VLOOKUP('Données projet'!$B$10,Paramètres!$A$1:$I$89,3,0)*0.475*44/12</f>
        <v>56.040254188006735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175.35254473218424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253.76201760000023</v>
      </c>
      <c r="BF89" s="13">
        <f t="shared" si="91"/>
        <v>61.390818695638195</v>
      </c>
      <c r="BG89" s="20">
        <f t="shared" si="61"/>
        <v>548.89118988157031</v>
      </c>
      <c r="BH89" s="59">
        <f t="shared" si="62"/>
        <v>821.87293794697507</v>
      </c>
      <c r="BI89" s="59">
        <f ca="1">AVERAGE(OFFSET($BH$3,0,0,'Données projet'!$E$11+1,1))-AVERAGE(OFFSET($H$3,0,0,'Données projet'!$E$11+1,1))</f>
        <v>627.65081154031589</v>
      </c>
      <c r="BJ89" s="59">
        <f t="shared" si="92"/>
        <v>288.78083487077618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41.471645969495157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41.471645969495157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266.88763920000025</v>
      </c>
      <c r="CA89" s="13">
        <f t="shared" si="93"/>
        <v>64.188302727706215</v>
      </c>
      <c r="CB89" s="20">
        <f t="shared" si="64"/>
        <v>576.62393219075545</v>
      </c>
      <c r="CC89" s="59">
        <f t="shared" si="65"/>
        <v>849.60568025616021</v>
      </c>
      <c r="CD89" s="59">
        <f ca="1">AVERAGE(OFFSET($CC$3,0,0,'Données projet'!$E$12+1,1))-AVERAGE(OFFSET($H$3,0,0,'Données projet'!$E$12+1,1))</f>
        <v>655.36321433908199</v>
      </c>
      <c r="CE89" s="59">
        <f t="shared" si="94"/>
        <v>300.52980782068698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43.616731105848366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43.616731105848366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273.33480257047853</v>
      </c>
      <c r="S90" s="59">
        <f ca="1">AVERAGE(OFFSET($R$3,0,0,'Données projet'!$E$9+1,1))-AVERAGE(OFFSET($H$3,0,0,'Données projet'!$E$9+1,1))</f>
        <v>297.34058997955685</v>
      </c>
      <c r="T90" s="59">
        <f t="shared" si="88"/>
        <v>440.06633724144069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26.880094023889541</v>
      </c>
      <c r="AA90" s="21">
        <f>EXP(-LN(2)/25)*AA89+(1-EXP(-LN(2)/25))/(LN(2)/25)*Calculateur!V90*Calculateur!X90*VLOOKUP('Données projet'!$B$9,Paramètres!$A$1:$I$89,3,0)*0.475*44/12</f>
        <v>38.84311394235592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65.723207966245468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-6.8212102632969618E-13</v>
      </c>
      <c r="AJ90" s="13">
        <f>AI90*VLOOKUP('Données projet'!$B$10,Paramètres!$A$1:$I$89,3,0)*VLOOKUP('Données projet'!$B$10,Paramètres!$A$1:$I$89,5,0)</f>
        <v>-4.0790837374515837E-13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302.29526572690196</v>
      </c>
      <c r="AO90" s="59">
        <f t="shared" si="90"/>
        <v>234.86746802631617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116.97264929991765</v>
      </c>
      <c r="AV90" s="21">
        <f>EXP(-LN(2)/25)*AV89+(1-EXP(-LN(2)/25))/(LN(2)/25)*Calculateur!AQ90*Calculateur!AS90*VLOOKUP('Données projet'!$B$10,Paramètres!$A$1:$I$89,3,0)*0.475*44/12</f>
        <v>54.507830490206807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171.48047979012446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261.26371440000025</v>
      </c>
      <c r="BF90" s="13">
        <f t="shared" si="91"/>
        <v>62.991674736313257</v>
      </c>
      <c r="BG90" s="20">
        <f t="shared" si="61"/>
        <v>564.74480274574603</v>
      </c>
      <c r="BH90" s="59">
        <f t="shared" si="62"/>
        <v>838.07960531622086</v>
      </c>
      <c r="BI90" s="59">
        <f ca="1">AVERAGE(OFFSET($BH$3,0,0,'Données projet'!$E$11+1,1))-AVERAGE(OFFSET($H$3,0,0,'Données projet'!$E$11+1,1))</f>
        <v>627.65081154031589</v>
      </c>
      <c r="BJ90" s="59">
        <f t="shared" si="92"/>
        <v>288.78083487077618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40.658412287239706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40.658412287239706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274.7773548000003</v>
      </c>
      <c r="CA90" s="13">
        <f t="shared" si="93"/>
        <v>65.862107285872696</v>
      </c>
      <c r="CB90" s="20">
        <f t="shared" si="64"/>
        <v>593.28039646622881</v>
      </c>
      <c r="CC90" s="59">
        <f t="shared" si="65"/>
        <v>866.61519903670364</v>
      </c>
      <c r="CD90" s="59">
        <f ca="1">AVERAGE(OFFSET($CC$3,0,0,'Données projet'!$E$12+1,1))-AVERAGE(OFFSET($H$3,0,0,'Données projet'!$E$12+1,1))</f>
        <v>655.36321433908199</v>
      </c>
      <c r="CE90" s="59">
        <f t="shared" si="94"/>
        <v>300.52980782068698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42.76143361244177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42.76143361244177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273.68173236919739</v>
      </c>
      <c r="S91" s="59">
        <f ca="1">AVERAGE(OFFSET($R$3,0,0,'Données projet'!$E$9+1,1))-AVERAGE(OFFSET($H$3,0,0,'Données projet'!$E$9+1,1))</f>
        <v>297.34058997955685</v>
      </c>
      <c r="T91" s="59">
        <f t="shared" si="88"/>
        <v>440.06633724144069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26.352991775319527</v>
      </c>
      <c r="AA91" s="21">
        <f>EXP(-LN(2)/25)*AA90+(1-EXP(-LN(2)/25))/(LN(2)/25)*Calculateur!V91*Calculateur!X91*VLOOKUP('Données projet'!$B$9,Paramètres!$A$1:$I$89,3,0)*0.475*44/12</f>
        <v>37.780946948931614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64.133938724251138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-6.8212102632969618E-13</v>
      </c>
      <c r="AJ91" s="13">
        <f>AI91*VLOOKUP('Données projet'!$B$10,Paramètres!$A$1:$I$89,3,0)*VLOOKUP('Données projet'!$B$10,Paramètres!$A$1:$I$89,5,0)</f>
        <v>-4.0790837374515837E-13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302.29526572690196</v>
      </c>
      <c r="AO91" s="59">
        <f t="shared" si="90"/>
        <v>234.86746802631617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114.67888699341748</v>
      </c>
      <c r="AV91" s="21">
        <f>EXP(-LN(2)/25)*AV90+(1-EXP(-LN(2)/25))/(LN(2)/25)*Calculateur!AQ91*Calculateur!AS91*VLOOKUP('Données projet'!$B$10,Paramètres!$A$1:$I$89,3,0)*0.475*44/12</f>
        <v>53.017310999009872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167.69619799242736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268.76541120000024</v>
      </c>
      <c r="BF91" s="13">
        <f t="shared" si="91"/>
        <v>64.587188539623412</v>
      </c>
      <c r="BG91" s="20">
        <f t="shared" si="61"/>
        <v>580.58911121317794</v>
      </c>
      <c r="BH91" s="59">
        <f t="shared" si="62"/>
        <v>854.27084358237164</v>
      </c>
      <c r="BI91" s="59">
        <f ca="1">AVERAGE(OFFSET($BH$3,0,0,'Données projet'!$E$11+1,1))-AVERAGE(OFFSET($H$3,0,0,'Données projet'!$E$11+1,1))</f>
        <v>627.65081154031589</v>
      </c>
      <c r="BJ91" s="59">
        <f t="shared" si="92"/>
        <v>288.78083487077618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39.861125621469718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39.861125621469718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282.66707040000023</v>
      </c>
      <c r="CA91" s="13">
        <f t="shared" si="93"/>
        <v>67.530326169234471</v>
      </c>
      <c r="CB91" s="20">
        <f t="shared" si="64"/>
        <v>609.92713235808367</v>
      </c>
      <c r="CC91" s="59">
        <f t="shared" si="65"/>
        <v>883.60886472727736</v>
      </c>
      <c r="CD91" s="59">
        <f ca="1">AVERAGE(OFFSET($CC$3,0,0,'Données projet'!$E$12+1,1))-AVERAGE(OFFSET($H$3,0,0,'Données projet'!$E$12+1,1))</f>
        <v>655.36321433908199</v>
      </c>
      <c r="CE91" s="59">
        <f t="shared" si="94"/>
        <v>300.52980782068698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41.922907981200915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41.922907981200915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274.02264371152728</v>
      </c>
      <c r="S92" s="59">
        <f ca="1">AVERAGE(OFFSET($R$3,0,0,'Données projet'!$E$9+1,1))-AVERAGE(OFFSET($H$3,0,0,'Données projet'!$E$9+1,1))</f>
        <v>297.34058997955685</v>
      </c>
      <c r="T92" s="59">
        <f t="shared" si="88"/>
        <v>440.06633724144069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25.836225680343343</v>
      </c>
      <c r="AA92" s="21">
        <f>EXP(-LN(2)/25)*AA91+(1-EXP(-LN(2)/25))/(LN(2)/25)*Calculateur!V92*Calculateur!X92*VLOOKUP('Données projet'!$B$9,Paramètres!$A$1:$I$89,3,0)*0.475*44/12</f>
        <v>36.747824967799431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62.584050648142778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-6.8212102632969618E-13</v>
      </c>
      <c r="AJ92" s="13">
        <f>AI92*VLOOKUP('Données projet'!$B$10,Paramètres!$A$1:$I$89,3,0)*VLOOKUP('Données projet'!$B$10,Paramètres!$A$1:$I$89,5,0)</f>
        <v>-4.0790837374515837E-13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302.29526572690196</v>
      </c>
      <c r="AO92" s="59">
        <f t="shared" si="90"/>
        <v>234.86746802631617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112.43010396669091</v>
      </c>
      <c r="AV92" s="21">
        <f>EXP(-LN(2)/25)*AV91+(1-EXP(-LN(2)/25))/(LN(2)/25)*Calculateur!AQ92*Calculateur!AS92*VLOOKUP('Données projet'!$B$10,Paramètres!$A$1:$I$89,3,0)*0.475*44/12</f>
        <v>51.567549841682734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163.99765380837363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276.26710800000023</v>
      </c>
      <c r="BF92" s="13">
        <f t="shared" si="91"/>
        <v>66.177526346547864</v>
      </c>
      <c r="BG92" s="20">
        <f t="shared" si="61"/>
        <v>596.42440482023801</v>
      </c>
      <c r="BH92" s="59">
        <f t="shared" si="62"/>
        <v>870.44704853176154</v>
      </c>
      <c r="BI92" s="59">
        <f ca="1">AVERAGE(OFFSET($BH$3,0,0,'Données projet'!$E$11+1,1))-AVERAGE(OFFSET($H$3,0,0,'Données projet'!$E$11+1,1))</f>
        <v>627.65081154031589</v>
      </c>
      <c r="BJ92" s="59">
        <f t="shared" si="92"/>
        <v>288.78083487077618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39.079473260918625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39.079473260918625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290.55678600000027</v>
      </c>
      <c r="CA92" s="13">
        <f t="shared" si="93"/>
        <v>69.193133194113571</v>
      </c>
      <c r="CB92" s="20">
        <f t="shared" si="64"/>
        <v>626.56444259641489</v>
      </c>
      <c r="CC92" s="59">
        <f t="shared" si="65"/>
        <v>900.58708630793853</v>
      </c>
      <c r="CD92" s="59">
        <f ca="1">AVERAGE(OFFSET($CC$3,0,0,'Données projet'!$E$12+1,1))-AVERAGE(OFFSET($H$3,0,0,'Données projet'!$E$12+1,1))</f>
        <v>655.36321433908199</v>
      </c>
      <c r="CE92" s="59">
        <f t="shared" si="94"/>
        <v>300.52980782068698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41.100825326138562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41.100825326138562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274.35764100423137</v>
      </c>
      <c r="S93" s="59">
        <f ca="1">AVERAGE(OFFSET($R$3,0,0,'Données projet'!$E$9+1,1))-AVERAGE(OFFSET($H$3,0,0,'Données projet'!$E$9+1,1))</f>
        <v>297.34058997955685</v>
      </c>
      <c r="T93" s="59">
        <f t="shared" si="88"/>
        <v>440.06633724144069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25.329593053293447</v>
      </c>
      <c r="AA93" s="21">
        <f>EXP(-LN(2)/25)*AA92+(1-EXP(-LN(2)/25))/(LN(2)/25)*Calculateur!V93*Calculateur!X93*VLOOKUP('Données projet'!$B$9,Paramètres!$A$1:$I$89,3,0)*0.475*44/12</f>
        <v>35.742953761570831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61.072546814864282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-6.8212102632969618E-13</v>
      </c>
      <c r="AJ93" s="13">
        <f>AI93*VLOOKUP('Données projet'!$B$10,Paramètres!$A$1:$I$89,3,0)*VLOOKUP('Données projet'!$B$10,Paramètres!$A$1:$I$89,5,0)</f>
        <v>-4.0790837374515837E-13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302.29526572690196</v>
      </c>
      <c r="AO93" s="59">
        <f t="shared" si="90"/>
        <v>234.86746802631617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110.22541820349625</v>
      </c>
      <c r="AV93" s="21">
        <f>EXP(-LN(2)/25)*AV92+(1-EXP(-LN(2)/25))/(LN(2)/25)*Calculateur!AQ93*Calculateur!AS93*VLOOKUP('Données projet'!$B$10,Paramètres!$A$1:$I$89,3,0)*0.475*44/12</f>
        <v>50.157432479442335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160.38285068293857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283.76880480000023</v>
      </c>
      <c r="BF93" s="13">
        <f t="shared" si="91"/>
        <v>67.762844856024827</v>
      </c>
      <c r="BG93" s="20">
        <f t="shared" si="61"/>
        <v>612.2509564842436</v>
      </c>
      <c r="BH93" s="59">
        <f t="shared" si="62"/>
        <v>886.60859748847133</v>
      </c>
      <c r="BI93" s="59">
        <f ca="1">AVERAGE(OFFSET($BH$3,0,0,'Données projet'!$E$11+1,1))-AVERAGE(OFFSET($H$3,0,0,'Données projet'!$E$11+1,1))</f>
        <v>627.65081154031589</v>
      </c>
      <c r="BJ93" s="59">
        <f t="shared" si="92"/>
        <v>288.78083487077618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38.31314862639708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38.31314862639708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298.44650160000026</v>
      </c>
      <c r="CA93" s="13">
        <f t="shared" si="93"/>
        <v>70.850692199974645</v>
      </c>
      <c r="CB93" s="20">
        <f t="shared" si="64"/>
        <v>643.19261253495631</v>
      </c>
      <c r="CC93" s="59">
        <f t="shared" si="65"/>
        <v>917.55025353918404</v>
      </c>
      <c r="CD93" s="59">
        <f ca="1">AVERAGE(OFFSET($CC$3,0,0,'Données projet'!$E$12+1,1))-AVERAGE(OFFSET($H$3,0,0,'Données projet'!$E$12+1,1))</f>
        <v>655.36321433908199</v>
      </c>
      <c r="CE93" s="59">
        <f t="shared" si="94"/>
        <v>300.52980782068698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40.294863210521072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40.294863210521072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274.68682684284875</v>
      </c>
      <c r="S94" s="59">
        <f ca="1">AVERAGE(OFFSET($R$3,0,0,'Données projet'!$E$9+1,1))-AVERAGE(OFFSET($H$3,0,0,'Données projet'!$E$9+1,1))</f>
        <v>297.34058997955685</v>
      </c>
      <c r="T94" s="59">
        <f t="shared" si="88"/>
        <v>440.06633724144069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24.832895183044609</v>
      </c>
      <c r="AA94" s="21">
        <f>EXP(-LN(2)/25)*AA93+(1-EXP(-LN(2)/25))/(LN(2)/25)*Calculateur!V94*Calculateur!X94*VLOOKUP('Données projet'!$B$9,Paramètres!$A$1:$I$89,3,0)*0.475*44/12</f>
        <v>34.765560811320427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59.59845599436504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-6.8212102632969618E-13</v>
      </c>
      <c r="AJ94" s="13">
        <f>AI94*VLOOKUP('Données projet'!$B$10,Paramètres!$A$1:$I$89,3,0)*VLOOKUP('Données projet'!$B$10,Paramètres!$A$1:$I$89,5,0)</f>
        <v>-4.0790837374515837E-13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302.29526572690196</v>
      </c>
      <c r="AO94" s="59">
        <f t="shared" si="90"/>
        <v>234.86746802631617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108.0639649833923</v>
      </c>
      <c r="AV94" s="21">
        <f>EXP(-LN(2)/25)*AV93+(1-EXP(-LN(2)/25))/(LN(2)/25)*Calculateur!AQ94*Calculateur!AS94*VLOOKUP('Données projet'!$B$10,Paramètres!$A$1:$I$89,3,0)*0.475*44/12</f>
        <v>48.785874850627245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156.84983983401955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291.27050160000022</v>
      </c>
      <c r="BF94" s="13">
        <f t="shared" si="91"/>
        <v>69.343292010233441</v>
      </c>
      <c r="BG94" s="20">
        <f t="shared" si="61"/>
        <v>628.0690238711569</v>
      </c>
      <c r="BH94" s="59">
        <f t="shared" si="62"/>
        <v>902.75585071400201</v>
      </c>
      <c r="BI94" s="59">
        <f ca="1">AVERAGE(OFFSET($BH$3,0,0,'Données projet'!$E$11+1,1))-AVERAGE(OFFSET($H$3,0,0,'Données projet'!$E$11+1,1))</f>
        <v>627.65081154031589</v>
      </c>
      <c r="BJ94" s="59">
        <f t="shared" si="92"/>
        <v>288.78083487077618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37.561851150546623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37.561851150546623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306.33621720000025</v>
      </c>
      <c r="CA94" s="13">
        <f t="shared" si="93"/>
        <v>72.503157870491862</v>
      </c>
      <c r="CB94" s="20">
        <f t="shared" si="64"/>
        <v>659.81191158110698</v>
      </c>
      <c r="CC94" s="59">
        <f t="shared" si="65"/>
        <v>934.49873842395209</v>
      </c>
      <c r="CD94" s="59">
        <f ca="1">AVERAGE(OFFSET($CC$3,0,0,'Données projet'!$E$12+1,1))-AVERAGE(OFFSET($H$3,0,0,'Données projet'!$E$12+1,1))</f>
        <v>655.36321433908199</v>
      </c>
      <c r="CE94" s="59">
        <f t="shared" si="94"/>
        <v>300.52980782068698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39.504705520402489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39.504705520402489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275.01030204311542</v>
      </c>
      <c r="S95" s="59">
        <f ca="1">AVERAGE(OFFSET($R$3,0,0,'Données projet'!$E$9+1,1))-AVERAGE(OFFSET($H$3,0,0,'Données projet'!$E$9+1,1))</f>
        <v>297.34058997955685</v>
      </c>
      <c r="T95" s="59">
        <f t="shared" si="88"/>
        <v>440.06633724144069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24.345937255075565</v>
      </c>
      <c r="AA95" s="21">
        <f>EXP(-LN(2)/25)*AA94+(1-EXP(-LN(2)/25))/(LN(2)/25)*Calculateur!V95*Calculateur!X95*VLOOKUP('Données projet'!$B$9,Paramètres!$A$1:$I$89,3,0)*0.475*44/12</f>
        <v>33.814894722693481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58.16083197776905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-6.8212102632969618E-13</v>
      </c>
      <c r="AJ95" s="13">
        <f>AI95*VLOOKUP('Données projet'!$B$10,Paramètres!$A$1:$I$89,3,0)*VLOOKUP('Données projet'!$B$10,Paramètres!$A$1:$I$89,5,0)</f>
        <v>-4.0790837374515837E-13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302.29526572690196</v>
      </c>
      <c r="AO95" s="59">
        <f t="shared" si="90"/>
        <v>234.86746802631617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105.94489654257829</v>
      </c>
      <c r="AV95" s="21">
        <f>EXP(-LN(2)/25)*AV94+(1-EXP(-LN(2)/25))/(LN(2)/25)*Calculateur!AQ95*Calculateur!AS95*VLOOKUP('Données projet'!$B$10,Paramètres!$A$1:$I$89,3,0)*0.475*44/12</f>
        <v>47.451822537299186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153.39671907987747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298.77219840000021</v>
      </c>
      <c r="BF95" s="13">
        <f t="shared" si="91"/>
        <v>70.919007696700163</v>
      </c>
      <c r="BG95" s="20">
        <f t="shared" si="61"/>
        <v>643.87885061841985</v>
      </c>
      <c r="BH95" s="59">
        <f t="shared" si="62"/>
        <v>918.88915266153163</v>
      </c>
      <c r="BI95" s="59">
        <f ca="1">AVERAGE(OFFSET($BH$3,0,0,'Données projet'!$E$11+1,1))-AVERAGE(OFFSET($H$3,0,0,'Données projet'!$E$11+1,1))</f>
        <v>627.65081154031589</v>
      </c>
      <c r="BJ95" s="59">
        <f t="shared" si="92"/>
        <v>288.78083487077618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36.825286159951382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36.825286159951382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314.22593280000024</v>
      </c>
      <c r="CA95" s="13">
        <f t="shared" si="93"/>
        <v>74.150676467648211</v>
      </c>
      <c r="CB95" s="20">
        <f t="shared" si="64"/>
        <v>676.42259447448771</v>
      </c>
      <c r="CC95" s="59">
        <f t="shared" si="65"/>
        <v>951.43289651759937</v>
      </c>
      <c r="CD95" s="59">
        <f ca="1">AVERAGE(OFFSET($CC$3,0,0,'Données projet'!$E$12+1,1))-AVERAGE(OFFSET($H$3,0,0,'Données projet'!$E$12+1,1))</f>
        <v>655.36321433908199</v>
      </c>
      <c r="CE95" s="59">
        <f t="shared" si="94"/>
        <v>300.52980782068698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38.730042340638533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38.730042340638533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275.32816567183966</v>
      </c>
      <c r="S96" s="59">
        <f ca="1">AVERAGE(OFFSET($R$3,0,0,'Données projet'!$E$9+1,1))-AVERAGE(OFFSET($H$3,0,0,'Données projet'!$E$9+1,1))</f>
        <v>297.34058997955685</v>
      </c>
      <c r="T96" s="59">
        <f t="shared" si="88"/>
        <v>440.06633724144069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23.868528275058988</v>
      </c>
      <c r="AA96" s="21">
        <f>EXP(-LN(2)/25)*AA95+(1-EXP(-LN(2)/25))/(LN(2)/25)*Calculateur!V96*Calculateur!X96*VLOOKUP('Données projet'!$B$9,Paramètres!$A$1:$I$89,3,0)*0.475*44/12</f>
        <v>32.890224648253401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56.758752923312386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-6.8212102632969618E-13</v>
      </c>
      <c r="AJ96" s="13">
        <f>AI96*VLOOKUP('Données projet'!$B$10,Paramètres!$A$1:$I$89,3,0)*VLOOKUP('Données projet'!$B$10,Paramètres!$A$1:$I$89,5,0)</f>
        <v>-4.0790837374515837E-13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302.29526572690196</v>
      </c>
      <c r="AO96" s="59">
        <f t="shared" si="90"/>
        <v>234.86746802631617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103.86738174138452</v>
      </c>
      <c r="AV96" s="21">
        <f>EXP(-LN(2)/25)*AV95+(1-EXP(-LN(2)/25))/(LN(2)/25)*Calculateur!AQ96*Calculateur!AS96*VLOOKUP('Données projet'!$B$10,Paramètres!$A$1:$I$89,3,0)*0.475*44/12</f>
        <v>46.154249954633848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150.02163169601837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306.27389520000025</v>
      </c>
      <c r="BF96" s="13">
        <f t="shared" si="91"/>
        <v>72.490124377904692</v>
      </c>
      <c r="BG96" s="20">
        <f t="shared" si="61"/>
        <v>659.68066743151769</v>
      </c>
      <c r="BH96" s="59">
        <f t="shared" si="62"/>
        <v>935.00883310335371</v>
      </c>
      <c r="BI96" s="59">
        <f ca="1">AVERAGE(OFFSET($BH$3,0,0,'Données projet'!$E$11+1,1))-AVERAGE(OFFSET($H$3,0,0,'Données projet'!$E$11+1,1))</f>
        <v>627.65081154031589</v>
      </c>
      <c r="BJ96" s="59">
        <f t="shared" si="92"/>
        <v>288.78083487077618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36.10316475956143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36.10316475956143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322.11564840000028</v>
      </c>
      <c r="CA96" s="13">
        <f t="shared" si="93"/>
        <v>75.793386490032546</v>
      </c>
      <c r="CB96" s="20">
        <f t="shared" si="64"/>
        <v>693.02490243347381</v>
      </c>
      <c r="CC96" s="59">
        <f t="shared" si="65"/>
        <v>968.35306810530983</v>
      </c>
      <c r="CD96" s="59">
        <f ca="1">AVERAGE(OFFSET($CC$3,0,0,'Données projet'!$E$12+1,1))-AVERAGE(OFFSET($H$3,0,0,'Données projet'!$E$12+1,1))</f>
        <v>655.36321433908199</v>
      </c>
      <c r="CE96" s="59">
        <f t="shared" si="94"/>
        <v>300.52980782068698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37.970569833331865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37.970569833331865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275.64051507724218</v>
      </c>
      <c r="S97" s="59">
        <f ca="1">AVERAGE(OFFSET($R$3,0,0,'Données projet'!$E$9+1,1))-AVERAGE(OFFSET($H$3,0,0,'Données projet'!$E$9+1,1))</f>
        <v>297.34058997955685</v>
      </c>
      <c r="T97" s="59">
        <f t="shared" si="88"/>
        <v>440.06633724144069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23.40048099394981</v>
      </c>
      <c r="AA97" s="21">
        <f>EXP(-LN(2)/25)*AA96+(1-EXP(-LN(2)/25))/(LN(2)/25)*Calculateur!V97*Calculateur!X97*VLOOKUP('Données projet'!$B$9,Paramètres!$A$1:$I$89,3,0)*0.475*44/12</f>
        <v>31.990839725625168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55.391320719574978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-6.8212102632969618E-13</v>
      </c>
      <c r="AJ97" s="13">
        <f>AI97*VLOOKUP('Données projet'!$B$10,Paramètres!$A$1:$I$89,3,0)*VLOOKUP('Données projet'!$B$10,Paramètres!$A$1:$I$89,5,0)</f>
        <v>-4.0790837374515837E-13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302.29526572690196</v>
      </c>
      <c r="AO97" s="59">
        <f t="shared" si="90"/>
        <v>234.86746802631617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101.83060573828325</v>
      </c>
      <c r="AV97" s="21">
        <f>EXP(-LN(2)/25)*AV96+(1-EXP(-LN(2)/25))/(LN(2)/25)*Calculateur!AQ97*Calculateur!AS97*VLOOKUP('Données projet'!$B$10,Paramètres!$A$1:$I$89,3,0)*0.475*44/12</f>
        <v>44.892159562477865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146.72276530076113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313.77559200000019</v>
      </c>
      <c r="BF97" s="13">
        <f t="shared" si="91"/>
        <v>74.056767657464533</v>
      </c>
      <c r="BG97" s="20">
        <f t="shared" si="61"/>
        <v>675.47469307008441</v>
      </c>
      <c r="BH97" s="59">
        <f t="shared" si="62"/>
        <v>951.11520814732285</v>
      </c>
      <c r="BI97" s="59">
        <f ca="1">AVERAGE(OFFSET($BH$3,0,0,'Données projet'!$E$11+1,1))-AVERAGE(OFFSET($H$3,0,0,'Données projet'!$E$11+1,1))</f>
        <v>627.65081154031589</v>
      </c>
      <c r="BJ97" s="59">
        <f t="shared" si="92"/>
        <v>288.78083487077618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51.356167505910733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51.356167505910733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330.00536400000021</v>
      </c>
      <c r="CA97" s="13">
        <f t="shared" si="93"/>
        <v>77.43141926482366</v>
      </c>
      <c r="CB97" s="20">
        <f t="shared" si="64"/>
        <v>709.61906418623494</v>
      </c>
      <c r="CC97" s="59">
        <f t="shared" si="65"/>
        <v>985.25957926347337</v>
      </c>
      <c r="CD97" s="59">
        <f ca="1">AVERAGE(OFFSET($CC$3,0,0,'Données projet'!$E$12+1,1))-AVERAGE(OFFSET($H$3,0,0,'Données projet'!$E$12+1,1))</f>
        <v>655.36321433908199</v>
      </c>
      <c r="CE97" s="59">
        <f t="shared" si="94"/>
        <v>300.52980782068698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54.012520997595786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54.012520997595786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275.94744591876963</v>
      </c>
      <c r="S98" s="59">
        <f ca="1">AVERAGE(OFFSET($R$3,0,0,'Données projet'!$E$9+1,1))-AVERAGE(OFFSET($H$3,0,0,'Données projet'!$E$9+1,1))</f>
        <v>297.34058997955685</v>
      </c>
      <c r="T98" s="59">
        <f t="shared" si="88"/>
        <v>440.06633724144069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22.941611834542531</v>
      </c>
      <c r="AA98" s="21">
        <f>EXP(-LN(2)/25)*AA97+(1-EXP(-LN(2)/25))/(LN(2)/25)*Calculateur!V98*Calculateur!X98*VLOOKUP('Données projet'!$B$9,Paramètres!$A$1:$I$89,3,0)*0.475*44/12</f>
        <v>31.116048531002804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54.057660365545331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-6.8212102632969618E-13</v>
      </c>
      <c r="AJ98" s="13">
        <f>AI98*VLOOKUP('Données projet'!$B$10,Paramètres!$A$1:$I$89,3,0)*VLOOKUP('Données projet'!$B$10,Paramètres!$A$1:$I$89,5,0)</f>
        <v>-4.0790837374515837E-13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302.29526572690196</v>
      </c>
      <c r="AO98" s="59">
        <f t="shared" si="90"/>
        <v>234.86746802631617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99.833769670292114</v>
      </c>
      <c r="AV98" s="21">
        <f>EXP(-LN(2)/25)*AV97+(1-EXP(-LN(2)/25))/(LN(2)/25)*Calculateur!AQ98*Calculateur!AS98*VLOOKUP('Données projet'!$B$10,Paramètres!$A$1:$I$89,3,0)*0.475*44/12</f>
        <v>43.664581098465838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143.49835076875794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265.09463760000023</v>
      </c>
      <c r="BF98" s="13">
        <f t="shared" si="91"/>
        <v>63.807119294189917</v>
      </c>
      <c r="BG98" s="20">
        <f t="shared" si="61"/>
        <v>572.83722659071452</v>
      </c>
      <c r="BH98" s="59">
        <f t="shared" si="62"/>
        <v>848.78467250948052</v>
      </c>
      <c r="BI98" s="59">
        <f ca="1">AVERAGE(OFFSET($BH$3,0,0,'Données projet'!$E$11+1,1))-AVERAGE(OFFSET($H$3,0,0,'Données projet'!$E$11+1,1))</f>
        <v>627.65081154031589</v>
      </c>
      <c r="BJ98" s="59">
        <f t="shared" si="92"/>
        <v>288.78083487077618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50.349104385288996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50.349104385288996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278.80642920000025</v>
      </c>
      <c r="CA98" s="13">
        <f t="shared" si="93"/>
        <v>66.714710382732235</v>
      </c>
      <c r="CB98" s="20">
        <f t="shared" si="64"/>
        <v>601.78265143992576</v>
      </c>
      <c r="CC98" s="59">
        <f t="shared" si="65"/>
        <v>877.73009735869164</v>
      </c>
      <c r="CD98" s="59">
        <f ca="1">AVERAGE(OFFSET($CC$3,0,0,'Données projet'!$E$12+1,1))-AVERAGE(OFFSET($H$3,0,0,'Données projet'!$E$12+1,1))</f>
        <v>655.36321433908199</v>
      </c>
      <c r="CE98" s="59">
        <f t="shared" si="94"/>
        <v>300.52980782068698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52.953368405217752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52.953368405217752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276.24905219639112</v>
      </c>
      <c r="S99" s="59">
        <f ca="1">AVERAGE(OFFSET($R$3,0,0,'Données projet'!$E$9+1,1))-AVERAGE(OFFSET($H$3,0,0,'Données projet'!$E$9+1,1))</f>
        <v>297.34058997955685</v>
      </c>
      <c r="T99" s="59">
        <f t="shared" si="88"/>
        <v>440.06633724144069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22.491740819468678</v>
      </c>
      <c r="AA99" s="21">
        <f>EXP(-LN(2)/25)*AA98+(1-EXP(-LN(2)/25))/(LN(2)/25)*Calculateur!V99*Calculateur!X99*VLOOKUP('Données projet'!$B$9,Paramètres!$A$1:$I$89,3,0)*0.475*44/12</f>
        <v>30.265178547600655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52.756919367069329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-6.8212102632969618E-13</v>
      </c>
      <c r="AJ99" s="13">
        <f>AI99*VLOOKUP('Données projet'!$B$10,Paramètres!$A$1:$I$89,3,0)*VLOOKUP('Données projet'!$B$10,Paramètres!$A$1:$I$89,5,0)</f>
        <v>-4.0790837374515837E-13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302.29526572690196</v>
      </c>
      <c r="AO99" s="59">
        <f t="shared" si="90"/>
        <v>234.86746802631617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97.876090339644534</v>
      </c>
      <c r="AV99" s="21">
        <f>EXP(-LN(2)/25)*AV98+(1-EXP(-LN(2)/25))/(LN(2)/25)*Calculateur!AQ99*Calculateur!AS99*VLOOKUP('Données projet'!$B$10,Paramètres!$A$1:$I$89,3,0)*0.475*44/12</f>
        <v>42.470570832107768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140.34666117175232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272.37556320000027</v>
      </c>
      <c r="BF99" s="13">
        <f t="shared" si="91"/>
        <v>65.35316643513535</v>
      </c>
      <c r="BG99" s="20">
        <f t="shared" si="61"/>
        <v>588.21087078119456</v>
      </c>
      <c r="BH99" s="59">
        <f t="shared" si="62"/>
        <v>864.45992297758198</v>
      </c>
      <c r="BI99" s="59">
        <f ca="1">AVERAGE(OFFSET($BH$3,0,0,'Données projet'!$E$11+1,1))-AVERAGE(OFFSET($H$3,0,0,'Données projet'!$E$11+1,1))</f>
        <v>627.65081154031589</v>
      </c>
      <c r="BJ99" s="59">
        <f t="shared" si="92"/>
        <v>288.78083487077618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49.361789158214798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49.361789158214798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286.46395440000026</v>
      </c>
      <c r="CA99" s="13">
        <f t="shared" si="93"/>
        <v>68.331208484937235</v>
      </c>
      <c r="CB99" s="20">
        <f t="shared" si="64"/>
        <v>617.93490869126617</v>
      </c>
      <c r="CC99" s="59">
        <f t="shared" si="65"/>
        <v>894.1839608876536</v>
      </c>
      <c r="CD99" s="59">
        <f ca="1">AVERAGE(OFFSET($CC$3,0,0,'Données projet'!$E$12+1,1))-AVERAGE(OFFSET($H$3,0,0,'Données projet'!$E$12+1,1))</f>
        <v>655.36321433908199</v>
      </c>
      <c r="CE99" s="59">
        <f t="shared" si="94"/>
        <v>300.52980782068698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51.914985149156962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51.914985149156962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276.5454262793865</v>
      </c>
      <c r="S100" s="59">
        <f ca="1">AVERAGE(OFFSET($R$3,0,0,'Données projet'!$E$9+1,1))-AVERAGE(OFFSET($H$3,0,0,'Données projet'!$E$9+1,1))</f>
        <v>297.34058997955685</v>
      </c>
      <c r="T100" s="59">
        <f t="shared" si="88"/>
        <v>440.06633724144069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22.050691500606199</v>
      </c>
      <c r="AA100" s="21">
        <f>EXP(-LN(2)/25)*AA99+(1-EXP(-LN(2)/25))/(LN(2)/25)*Calculateur!V100*Calculateur!X100*VLOOKUP('Données projet'!$B$9,Paramètres!$A$1:$I$89,3,0)*0.475*44/12</f>
        <v>29.437575648639946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51.488267149246141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-6.8212102632969618E-13</v>
      </c>
      <c r="AJ100" s="13">
        <f>AI100*VLOOKUP('Données projet'!$B$10,Paramètres!$A$1:$I$89,3,0)*VLOOKUP('Données projet'!$B$10,Paramètres!$A$1:$I$89,5,0)</f>
        <v>-4.0790837374515837E-13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302.29526572690196</v>
      </c>
      <c r="AO100" s="59">
        <f t="shared" si="90"/>
        <v>234.86746802631617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95.956799906604473</v>
      </c>
      <c r="AV100" s="21">
        <f>EXP(-LN(2)/25)*AV99+(1-EXP(-LN(2)/25))/(LN(2)/25)*Calculateur!AQ100*Calculateur!AS100*VLOOKUP('Données projet'!$B$10,Paramètres!$A$1:$I$89,3,0)*0.475*44/12</f>
        <v>41.309210839273526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137.26601074587799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279.65648880000026</v>
      </c>
      <c r="BF100" s="13">
        <f t="shared" si="91"/>
        <v>66.894409904113928</v>
      </c>
      <c r="BG100" s="20">
        <f t="shared" si="61"/>
        <v>603.57614857633223</v>
      </c>
      <c r="BH100" s="59">
        <f t="shared" si="62"/>
        <v>880.12157485571504</v>
      </c>
      <c r="BI100" s="59">
        <f ca="1">AVERAGE(OFFSET($BH$3,0,0,'Données projet'!$E$11+1,1))-AVERAGE(OFFSET($H$3,0,0,'Données projet'!$E$11+1,1))</f>
        <v>627.65081154031589</v>
      </c>
      <c r="BJ100" s="59">
        <f t="shared" si="92"/>
        <v>288.78083487077618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48.393834580540698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48.393834580540698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294.12147960000027</v>
      </c>
      <c r="CA100" s="13">
        <f t="shared" si="93"/>
        <v>69.942684019322471</v>
      </c>
      <c r="CB100" s="20">
        <f t="shared" si="64"/>
        <v>634.07841830365373</v>
      </c>
      <c r="CC100" s="59">
        <f t="shared" si="65"/>
        <v>910.62384458303654</v>
      </c>
      <c r="CD100" s="59">
        <f ca="1">AVERAGE(OFFSET($CC$3,0,0,'Données projet'!$E$12+1,1))-AVERAGE(OFFSET($H$3,0,0,'Données projet'!$E$12+1,1))</f>
        <v>655.36321433908199</v>
      </c>
      <c r="CE100" s="59">
        <f t="shared" si="94"/>
        <v>300.52980782068698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50.896963955396274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50.896963955396274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276.83665893463507</v>
      </c>
      <c r="S101" s="59">
        <f ca="1">AVERAGE(OFFSET($R$3,0,0,'Données projet'!$E$9+1,1))-AVERAGE(OFFSET($H$3,0,0,'Données projet'!$E$9+1,1))</f>
        <v>297.34058997955685</v>
      </c>
      <c r="T101" s="59">
        <f t="shared" si="88"/>
        <v>440.06633724144069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21.618290889873091</v>
      </c>
      <c r="AA101" s="21">
        <f>EXP(-LN(2)/25)*AA100+(1-EXP(-LN(2)/25))/(LN(2)/25)*Calculateur!V101*Calculateur!X101*VLOOKUP('Données projet'!$B$9,Paramètres!$A$1:$I$89,3,0)*0.475*44/12</f>
        <v>28.632603594473064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50.250894484346155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-6.8212102632969618E-13</v>
      </c>
      <c r="AJ101" s="13">
        <f>AI101*VLOOKUP('Données projet'!$B$10,Paramètres!$A$1:$I$89,3,0)*VLOOKUP('Données projet'!$B$10,Paramètres!$A$1:$I$89,5,0)</f>
        <v>-4.0790837374515837E-13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302.29526572690196</v>
      </c>
      <c r="AO101" s="59">
        <f t="shared" si="90"/>
        <v>234.86746802631617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94.07514558830475</v>
      </c>
      <c r="AV101" s="21">
        <f>EXP(-LN(2)/25)*AV100+(1-EXP(-LN(2)/25))/(LN(2)/25)*Calculateur!AQ101*Calculateur!AS101*VLOOKUP('Données projet'!$B$10,Paramètres!$A$1:$I$89,3,0)*0.475*44/12</f>
        <v>40.179608296516605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134.25475388482135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286.93741440000031</v>
      </c>
      <c r="BF101" s="13">
        <f t="shared" si="91"/>
        <v>68.430989143985158</v>
      </c>
      <c r="BG101" s="20">
        <f t="shared" si="61"/>
        <v>618.93330283910791</v>
      </c>
      <c r="BH101" s="59">
        <f t="shared" si="62"/>
        <v>895.76996177373928</v>
      </c>
      <c r="BI101" s="59">
        <f ca="1">AVERAGE(OFFSET($BH$3,0,0,'Données projet'!$E$11+1,1))-AVERAGE(OFFSET($H$3,0,0,'Données projet'!$E$11+1,1))</f>
        <v>627.65081154031589</v>
      </c>
      <c r="BJ101" s="59">
        <f t="shared" si="92"/>
        <v>288.78083487077618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47.444861001740797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47.444861001740797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301.77900480000034</v>
      </c>
      <c r="CA101" s="13">
        <f t="shared" si="93"/>
        <v>71.549282782941361</v>
      </c>
      <c r="CB101" s="20">
        <f t="shared" si="64"/>
        <v>650.21343420695678</v>
      </c>
      <c r="CC101" s="59">
        <f t="shared" si="65"/>
        <v>927.05009314158815</v>
      </c>
      <c r="CD101" s="59">
        <f ca="1">AVERAGE(OFFSET($CC$3,0,0,'Données projet'!$E$12+1,1))-AVERAGE(OFFSET($H$3,0,0,'Données projet'!$E$12+1,1))</f>
        <v>655.36321433908199</v>
      </c>
      <c r="CE101" s="59">
        <f t="shared" si="94"/>
        <v>300.52980782068698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49.89890553631362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49.89890553631362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277.12283935441383</v>
      </c>
      <c r="S102" s="59">
        <f ca="1">AVERAGE(OFFSET($R$3,0,0,'Données projet'!$E$9+1,1))-AVERAGE(OFFSET($H$3,0,0,'Données projet'!$E$9+1,1))</f>
        <v>297.34058997955685</v>
      </c>
      <c r="T102" s="59">
        <f t="shared" si="88"/>
        <v>440.06633724144069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21.194369391378128</v>
      </c>
      <c r="AA102" s="21">
        <f>EXP(-LN(2)/25)*AA101+(1-EXP(-LN(2)/25))/(LN(2)/25)*Calculateur!V102*Calculateur!X102*VLOOKUP('Données projet'!$B$9,Paramètres!$A$1:$I$89,3,0)*0.475*44/12</f>
        <v>27.849643543459017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49.044012934837141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-6.8212102632969618E-13</v>
      </c>
      <c r="AJ102" s="13">
        <f>AI102*VLOOKUP('Données projet'!$B$10,Paramètres!$A$1:$I$89,3,0)*VLOOKUP('Données projet'!$B$10,Paramètres!$A$1:$I$89,5,0)</f>
        <v>-4.0790837374515837E-13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302.29526572690196</v>
      </c>
      <c r="AO102" s="59">
        <f t="shared" si="90"/>
        <v>234.86746802631617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92.230389363491085</v>
      </c>
      <c r="AV102" s="21">
        <f>EXP(-LN(2)/25)*AV101+(1-EXP(-LN(2)/25))/(LN(2)/25)*Calculateur!AQ102*Calculateur!AS102*VLOOKUP('Données projet'!$B$10,Paramètres!$A$1:$I$89,3,0)*0.475*44/12</f>
        <v>39.080894794694586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131.31128415818569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294.2183400000003</v>
      </c>
      <c r="BF102" s="13">
        <f t="shared" si="91"/>
        <v>69.963036117759913</v>
      </c>
      <c r="BG102" s="20">
        <f t="shared" si="61"/>
        <v>634.28256340509904</v>
      </c>
      <c r="BH102" s="59">
        <f t="shared" si="62"/>
        <v>911.40540275950912</v>
      </c>
      <c r="BI102" s="59">
        <f ca="1">AVERAGE(OFFSET($BH$3,0,0,'Données projet'!$E$11+1,1))-AVERAGE(OFFSET($H$3,0,0,'Données projet'!$E$11+1,1))</f>
        <v>627.65081154031589</v>
      </c>
      <c r="BJ102" s="59">
        <f t="shared" si="92"/>
        <v>288.78083487077618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46.514496216004432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46.514496216004432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309.43653000000035</v>
      </c>
      <c r="CA102" s="13">
        <f t="shared" si="93"/>
        <v>73.151142752153717</v>
      </c>
      <c r="CB102" s="20">
        <f t="shared" si="64"/>
        <v>666.34019671000158</v>
      </c>
      <c r="CC102" s="59">
        <f t="shared" si="65"/>
        <v>943.46303606441165</v>
      </c>
      <c r="CD102" s="59">
        <f ca="1">AVERAGE(OFFSET($CC$3,0,0,'Données projet'!$E$12+1,1))-AVERAGE(OFFSET($H$3,0,0,'Données projet'!$E$12+1,1))</f>
        <v>655.36321433908199</v>
      </c>
      <c r="CE102" s="59">
        <f t="shared" si="94"/>
        <v>300.52980782068698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48.920418434073646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48.920418434073646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277.4040551837129</v>
      </c>
      <c r="S103" s="59">
        <f ca="1">AVERAGE(OFFSET($R$3,0,0,'Données projet'!$E$9+1,1))-AVERAGE(OFFSET($H$3,0,0,'Données projet'!$E$9+1,1))</f>
        <v>297.34058997955685</v>
      </c>
      <c r="T103" s="59">
        <f t="shared" si="88"/>
        <v>440.06633724144069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20.778760734902068</v>
      </c>
      <c r="AA103" s="21">
        <f>EXP(-LN(2)/25)*AA102+(1-EXP(-LN(2)/25))/(LN(2)/25)*Calculateur!V103*Calculateur!X103*VLOOKUP('Données projet'!$B$9,Paramètres!$A$1:$I$89,3,0)*0.475*44/12</f>
        <v>27.088093576214028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47.8668543111161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-6.8212102632969618E-13</v>
      </c>
      <c r="AJ103" s="13">
        <f>AI103*VLOOKUP('Données projet'!$B$10,Paramètres!$A$1:$I$89,3,0)*VLOOKUP('Données projet'!$B$10,Paramètres!$A$1:$I$89,5,0)</f>
        <v>-4.0790837374515837E-13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302.29526572690196</v>
      </c>
      <c r="AO103" s="59">
        <f t="shared" si="90"/>
        <v>234.86746802631617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90.421807683055818</v>
      </c>
      <c r="AV103" s="21">
        <f>EXP(-LN(2)/25)*AV102+(1-EXP(-LN(2)/25))/(LN(2)/25)*Calculateur!AQ103*Calculateur!AS103*VLOOKUP('Données projet'!$B$10,Paramètres!$A$1:$I$89,3,0)*0.475*44/12</f>
        <v>38.012225671358728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128.43403335441454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301.49926560000034</v>
      </c>
      <c r="BF103" s="13">
        <f t="shared" si="91"/>
        <v>71.490675884857296</v>
      </c>
      <c r="BG103" s="20">
        <f t="shared" si="61"/>
        <v>649.62414808612709</v>
      </c>
      <c r="BH103" s="59">
        <f t="shared" si="62"/>
        <v>927.02820326983624</v>
      </c>
      <c r="BI103" s="59">
        <f ca="1">AVERAGE(OFFSET($BH$3,0,0,'Données projet'!$E$11+1,1))-AVERAGE(OFFSET($H$3,0,0,'Données projet'!$E$11+1,1))</f>
        <v>627.65081154031589</v>
      </c>
      <c r="BJ103" s="59">
        <f t="shared" si="92"/>
        <v>288.78083487077618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45.602375316249869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45.602375316249869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317.09405520000035</v>
      </c>
      <c r="CA103" s="13">
        <f t="shared" si="93"/>
        <v>74.748394685141804</v>
      </c>
      <c r="CB103" s="20">
        <f t="shared" si="64"/>
        <v>682.45893354995599</v>
      </c>
      <c r="CC103" s="59">
        <f t="shared" si="65"/>
        <v>959.86298873366513</v>
      </c>
      <c r="CD103" s="59">
        <f ca="1">AVERAGE(OFFSET($CC$3,0,0,'Données projet'!$E$12+1,1))-AVERAGE(OFFSET($H$3,0,0,'Données projet'!$E$12+1,1))</f>
        <v>655.36321433908199</v>
      </c>
      <c r="CE103" s="59">
        <f t="shared" si="94"/>
        <v>300.52980782068698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47.961118867090399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47.961118867090399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277.6803925470781</v>
      </c>
      <c r="S104" s="59">
        <f ca="1">AVERAGE(OFFSET($R$3,0,0,'Données projet'!$E$9+1,1))-AVERAGE(OFFSET($H$3,0,0,'Données projet'!$E$9+1,1))</f>
        <v>297.34058997955685</v>
      </c>
      <c r="T104" s="59">
        <f t="shared" si="88"/>
        <v>440.06633724144069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20.371301910683254</v>
      </c>
      <c r="AA104" s="21">
        <f>EXP(-LN(2)/25)*AA103+(1-EXP(-LN(2)/25))/(LN(2)/25)*Calculateur!V104*Calculateur!X104*VLOOKUP('Données projet'!$B$9,Paramètres!$A$1:$I$89,3,0)*0.475*44/12</f>
        <v>26.347368232871524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46.718670143554775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-6.8212102632969618E-13</v>
      </c>
      <c r="AJ104" s="13">
        <f>AI104*VLOOKUP('Données projet'!$B$10,Paramètres!$A$1:$I$89,3,0)*VLOOKUP('Données projet'!$B$10,Paramètres!$A$1:$I$89,5,0)</f>
        <v>-4.0790837374515837E-13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302.29526572690196</v>
      </c>
      <c r="AO104" s="59">
        <f t="shared" si="90"/>
        <v>234.86746802631617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88.648691186247987</v>
      </c>
      <c r="AV104" s="21">
        <f>EXP(-LN(2)/25)*AV103+(1-EXP(-LN(2)/25))/(LN(2)/25)*Calculateur!AQ104*Calculateur!AS104*VLOOKUP('Données projet'!$B$10,Paramètres!$A$1:$I$89,3,0)*0.475*44/12</f>
        <v>36.972779361399354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125.62147054764733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308.78019120000033</v>
      </c>
      <c r="BF104" s="13">
        <f t="shared" si="91"/>
        <v>73.014027120130123</v>
      </c>
      <c r="BG104" s="20">
        <f t="shared" si="61"/>
        <v>664.95826357422709</v>
      </c>
      <c r="BH104" s="59">
        <f t="shared" si="62"/>
        <v>942.63865612130144</v>
      </c>
      <c r="BI104" s="59">
        <f ca="1">AVERAGE(OFFSET($BH$3,0,0,'Données projet'!$E$11+1,1))-AVERAGE(OFFSET($H$3,0,0,'Données projet'!$E$11+1,1))</f>
        <v>627.65081154031589</v>
      </c>
      <c r="BJ104" s="59">
        <f t="shared" si="92"/>
        <v>288.78083487077618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44.708140551000682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44.708140551000682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324.75158040000036</v>
      </c>
      <c r="CA104" s="13">
        <f t="shared" si="93"/>
        <v>76.341162664586662</v>
      </c>
      <c r="CB104" s="20">
        <f t="shared" si="64"/>
        <v>698.56986083748905</v>
      </c>
      <c r="CC104" s="59">
        <f t="shared" si="65"/>
        <v>976.25025338456339</v>
      </c>
      <c r="CD104" s="59">
        <f ca="1">AVERAGE(OFFSET($CC$3,0,0,'Données projet'!$E$12+1,1))-AVERAGE(OFFSET($H$3,0,0,'Données projet'!$E$12+1,1))</f>
        <v>655.36321433908199</v>
      </c>
      <c r="CE104" s="59">
        <f t="shared" si="94"/>
        <v>300.52980782068698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47.020630579500732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47.020630579500732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277.95193607498663</v>
      </c>
      <c r="S105" s="59">
        <f ca="1">AVERAGE(OFFSET($R$3,0,0,'Données projet'!$E$9+1,1))-AVERAGE(OFFSET($H$3,0,0,'Données projet'!$E$9+1,1))</f>
        <v>297.34058997955685</v>
      </c>
      <c r="T105" s="59">
        <f t="shared" si="88"/>
        <v>440.06633724144069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19.971833105482027</v>
      </c>
      <c r="AA105" s="21">
        <f>EXP(-LN(2)/25)*AA104+(1-EXP(-LN(2)/25))/(LN(2)/25)*Calculateur!V105*Calculateur!X105*VLOOKUP('Données projet'!$B$9,Paramètres!$A$1:$I$89,3,0)*0.475*44/12</f>
        <v>25.626898062995775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45.598731168477798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-6.8212102632969618E-13</v>
      </c>
      <c r="AJ105" s="13">
        <f>AI105*VLOOKUP('Données projet'!$B$10,Paramètres!$A$1:$I$89,3,0)*VLOOKUP('Données projet'!$B$10,Paramètres!$A$1:$I$89,5,0)</f>
        <v>-4.0790837374515837E-13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302.29526572690196</v>
      </c>
      <c r="AO105" s="59">
        <f t="shared" si="90"/>
        <v>234.86746802631617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86.91034442244829</v>
      </c>
      <c r="AV105" s="21">
        <f>EXP(-LN(2)/25)*AV104+(1-EXP(-LN(2)/25))/(LN(2)/25)*Calculateur!AQ105*Calculateur!AS105*VLOOKUP('Données projet'!$B$10,Paramètres!$A$1:$I$89,3,0)*0.475*44/12</f>
        <v>35.961756765447923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122.87210118789622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316.06111680000038</v>
      </c>
      <c r="BF105" s="13">
        <f t="shared" si="91"/>
        <v>74.533202582557081</v>
      </c>
      <c r="BG105" s="20">
        <f t="shared" si="61"/>
        <v>680.28510625795423</v>
      </c>
      <c r="BH105" s="59">
        <f t="shared" si="62"/>
        <v>958.23704233293711</v>
      </c>
      <c r="BI105" s="59">
        <f ca="1">AVERAGE(OFFSET($BH$3,0,0,'Données projet'!$E$11+1,1))-AVERAGE(OFFSET($H$3,0,0,'Données projet'!$E$11+1,1))</f>
        <v>627.65081154031589</v>
      </c>
      <c r="BJ105" s="59">
        <f t="shared" si="92"/>
        <v>288.78083487077618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43.83144118406868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43.83144118406868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332.40910560000043</v>
      </c>
      <c r="CA105" s="13">
        <f t="shared" si="93"/>
        <v>77.92956458771809</v>
      </c>
      <c r="CB105" s="20">
        <f t="shared" si="64"/>
        <v>714.67318391027641</v>
      </c>
      <c r="CC105" s="59">
        <f t="shared" si="65"/>
        <v>992.62511998525929</v>
      </c>
      <c r="CD105" s="59">
        <f ca="1">AVERAGE(OFFSET($CC$3,0,0,'Données projet'!$E$12+1,1))-AVERAGE(OFFSET($H$3,0,0,'Données projet'!$E$12+1,1))</f>
        <v>655.36321433908199</v>
      </c>
      <c r="CE105" s="59">
        <f t="shared" si="94"/>
        <v>300.52980782068698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46.098584693589487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46.098584693589487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278.21876892976638</v>
      </c>
      <c r="S106" s="59">
        <f ca="1">AVERAGE(OFFSET($R$3,0,0,'Données projet'!$E$9+1,1))-AVERAGE(OFFSET($H$3,0,0,'Données projet'!$E$9+1,1))</f>
        <v>297.34058997955685</v>
      </c>
      <c r="T106" s="59">
        <f t="shared" si="88"/>
        <v>440.06633724144069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19.580197639898884</v>
      </c>
      <c r="AA106" s="21">
        <f>EXP(-LN(2)/25)*AA105+(1-EXP(-LN(2)/25))/(LN(2)/25)*Calculateur!V106*Calculateur!X106*VLOOKUP('Données projet'!$B$9,Paramètres!$A$1:$I$89,3,0)*0.475*44/12</f>
        <v>24.926129187803156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44.50632682770204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-6.8212102632969618E-13</v>
      </c>
      <c r="AJ106" s="13">
        <f>AI106*VLOOKUP('Données projet'!$B$10,Paramètres!$A$1:$I$89,3,0)*VLOOKUP('Données projet'!$B$10,Paramètres!$A$1:$I$89,5,0)</f>
        <v>-4.0790837374515837E-13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302.29526572690196</v>
      </c>
      <c r="AO106" s="59">
        <f t="shared" si="90"/>
        <v>234.86746802631617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85.206085578399865</v>
      </c>
      <c r="AV106" s="21">
        <f>EXP(-LN(2)/25)*AV105+(1-EXP(-LN(2)/25))/(LN(2)/25)*Calculateur!AQ106*Calculateur!AS106*VLOOKUP('Données projet'!$B$10,Paramètres!$A$1:$I$89,3,0)*0.475*44/12</f>
        <v>34.978380635550153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120.18446621395002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323.34204240000037</v>
      </c>
      <c r="BF106" s="13">
        <f t="shared" si="91"/>
        <v>76.048309539529996</v>
      </c>
      <c r="BG106" s="20">
        <f t="shared" si="61"/>
        <v>695.60486296134877</v>
      </c>
      <c r="BH106" s="59">
        <f t="shared" si="62"/>
        <v>973.82363189111152</v>
      </c>
      <c r="BI106" s="59">
        <f ca="1">AVERAGE(OFFSET($BH$3,0,0,'Données projet'!$E$11+1,1))-AVERAGE(OFFSET($H$3,0,0,'Données projet'!$E$11+1,1))</f>
        <v>627.65081154031589</v>
      </c>
      <c r="BJ106" s="59">
        <f t="shared" si="92"/>
        <v>288.78083487077618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42.971933356988401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42.971933356988401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340.06663080000044</v>
      </c>
      <c r="CA106" s="13">
        <f t="shared" si="93"/>
        <v>79.513712609935965</v>
      </c>
      <c r="CB106" s="20">
        <f t="shared" si="64"/>
        <v>730.76909810563927</v>
      </c>
      <c r="CC106" s="59">
        <f t="shared" si="65"/>
        <v>1008.9878670354019</v>
      </c>
      <c r="CD106" s="59">
        <f ca="1">AVERAGE(OFFSET($CC$3,0,0,'Données projet'!$E$12+1,1))-AVERAGE(OFFSET($H$3,0,0,'Données projet'!$E$12+1,1))</f>
        <v>655.36321433908199</v>
      </c>
      <c r="CE106" s="59">
        <f t="shared" si="94"/>
        <v>300.52980782068698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45.194619565108503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45.194619565108503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278.48097283106461</v>
      </c>
      <c r="S107" s="59">
        <f ca="1">AVERAGE(OFFSET($R$3,0,0,'Données projet'!$E$9+1,1))-AVERAGE(OFFSET($H$3,0,0,'Données projet'!$E$9+1,1))</f>
        <v>297.34058997955685</v>
      </c>
      <c r="T107" s="59">
        <f t="shared" si="88"/>
        <v>440.06633724144069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19.196241906921781</v>
      </c>
      <c r="AA107" s="21">
        <f>EXP(-LN(2)/25)*AA106+(1-EXP(-LN(2)/25))/(LN(2)/25)*Calculateur!V107*Calculateur!X107*VLOOKUP('Données projet'!$B$9,Paramètres!$A$1:$I$89,3,0)*0.475*44/12</f>
        <v>24.244522874354512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43.440764781276293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-6.8212102632969618E-13</v>
      </c>
      <c r="AJ107" s="13">
        <f>AI107*VLOOKUP('Données projet'!$B$10,Paramètres!$A$1:$I$89,3,0)*VLOOKUP('Données projet'!$B$10,Paramètres!$A$1:$I$89,5,0)</f>
        <v>-4.0790837374515837E-13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302.29526572690196</v>
      </c>
      <c r="AO107" s="59">
        <f t="shared" si="90"/>
        <v>234.86746802631617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83.535246210787975</v>
      </c>
      <c r="AV107" s="21">
        <f>EXP(-LN(2)/25)*AV106+(1-EXP(-LN(2)/25))/(LN(2)/25)*Calculateur!AQ107*Calculateur!AS107*VLOOKUP('Données projet'!$B$10,Paramètres!$A$1:$I$89,3,0)*0.475*44/12</f>
        <v>34.021894977637942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117.55714118842592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330.62296800000041</v>
      </c>
      <c r="BF107" s="13">
        <f t="shared" si="91"/>
        <v>77.559450151847827</v>
      </c>
      <c r="BG107" s="20">
        <f t="shared" si="61"/>
        <v>710.91771161446911</v>
      </c>
      <c r="BH107" s="59">
        <f t="shared" si="62"/>
        <v>989.39868444553008</v>
      </c>
      <c r="BI107" s="59">
        <f ca="1">AVERAGE(OFFSET($BH$3,0,0,'Données projet'!$E$11+1,1))-AVERAGE(OFFSET($H$3,0,0,'Données projet'!$E$11+1,1))</f>
        <v>627.65081154031589</v>
      </c>
      <c r="BJ107" s="59">
        <f t="shared" si="92"/>
        <v>288.78083487077618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57.661865407845688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57.661865407845688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347.72415600000045</v>
      </c>
      <c r="CA107" s="13">
        <f t="shared" si="93"/>
        <v>81.093713547347789</v>
      </c>
      <c r="CB107" s="20">
        <f t="shared" si="64"/>
        <v>746.85778946163146</v>
      </c>
      <c r="CC107" s="59">
        <f t="shared" si="65"/>
        <v>1025.3387622926923</v>
      </c>
      <c r="CD107" s="59">
        <f ca="1">AVERAGE(OFFSET($CC$3,0,0,'Données projet'!$E$12+1,1))-AVERAGE(OFFSET($H$3,0,0,'Données projet'!$E$12+1,1))</f>
        <v>655.36321433908199</v>
      </c>
      <c r="CE107" s="59">
        <f t="shared" si="94"/>
        <v>300.52980782068698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60.644375687561855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60.644375687561855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278.73862808087546</v>
      </c>
      <c r="S108" s="59">
        <f ca="1">AVERAGE(OFFSET($R$3,0,0,'Données projet'!$E$9+1,1))-AVERAGE(OFFSET($H$3,0,0,'Données projet'!$E$9+1,1))</f>
        <v>297.34058997955685</v>
      </c>
      <c r="T108" s="59">
        <f t="shared" si="88"/>
        <v>440.06633724144069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18.819815311678486</v>
      </c>
      <c r="AA108" s="21">
        <f>EXP(-LN(2)/25)*AA107+(1-EXP(-LN(2)/25))/(LN(2)/25)*Calculateur!V108*Calculateur!X108*VLOOKUP('Données projet'!$B$9,Paramètres!$A$1:$I$89,3,0)*0.475*44/12</f>
        <v>23.58155512139124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42.401370433069729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-6.8212102632969618E-13</v>
      </c>
      <c r="AJ108" s="13">
        <f>AI108*VLOOKUP('Données projet'!$B$10,Paramètres!$A$1:$I$89,3,0)*VLOOKUP('Données projet'!$B$10,Paramètres!$A$1:$I$89,5,0)</f>
        <v>-4.0790837374515837E-13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302.29526572690196</v>
      </c>
      <c r="AO108" s="59">
        <f t="shared" si="90"/>
        <v>234.86746802631617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81.897170984063578</v>
      </c>
      <c r="AV108" s="21">
        <f>EXP(-LN(2)/25)*AV107+(1-EXP(-LN(2)/25))/(LN(2)/25)*Calculateur!AQ108*Calculateur!AS108*VLOOKUP('Données projet'!$B$10,Paramètres!$A$1:$I$89,3,0)*0.475*44/12</f>
        <v>33.091564470340735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114.98873545440432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283.34264400000046</v>
      </c>
      <c r="BF108" s="13">
        <f t="shared" si="91"/>
        <v>67.672917015543916</v>
      </c>
      <c r="BG108" s="20">
        <f t="shared" si="61"/>
        <v>611.3521021020731</v>
      </c>
      <c r="BH108" s="59">
        <f t="shared" si="62"/>
        <v>890.09073018294487</v>
      </c>
      <c r="BI108" s="59">
        <f ca="1">AVERAGE(OFFSET($BH$3,0,0,'Données projet'!$E$11+1,1))-AVERAGE(OFFSET($H$3,0,0,'Données projet'!$E$11+1,1))</f>
        <v>627.65081154031589</v>
      </c>
      <c r="BJ108" s="59">
        <f t="shared" si="92"/>
        <v>288.78083487077618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56.531151397462956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56.531151397462956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297.99829800000049</v>
      </c>
      <c r="CA108" s="13">
        <f t="shared" si="93"/>
        <v>70.756666487806527</v>
      </c>
      <c r="CB108" s="20">
        <f t="shared" si="64"/>
        <v>642.24822981626392</v>
      </c>
      <c r="CC108" s="59">
        <f t="shared" si="65"/>
        <v>920.98685789713568</v>
      </c>
      <c r="CD108" s="59">
        <f ca="1">AVERAGE(OFFSET($CC$3,0,0,'Données projet'!$E$12+1,1))-AVERAGE(OFFSET($H$3,0,0,'Données projet'!$E$12+1,1))</f>
        <v>655.36321433908199</v>
      </c>
      <c r="CE108" s="59">
        <f t="shared" si="94"/>
        <v>300.52980782068698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59.455176469745531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59.455176469745531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278.9918135881328</v>
      </c>
      <c r="S109" s="59">
        <f ca="1">AVERAGE(OFFSET($R$3,0,0,'Données projet'!$E$9+1,1))-AVERAGE(OFFSET($H$3,0,0,'Données projet'!$E$9+1,1))</f>
        <v>297.34058997955685</v>
      </c>
      <c r="T109" s="59">
        <f t="shared" si="88"/>
        <v>440.06633724144069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18.450770212370358</v>
      </c>
      <c r="AA109" s="21">
        <f>EXP(-LN(2)/25)*AA108+(1-EXP(-LN(2)/25))/(LN(2)/25)*Calculateur!V109*Calculateur!X109*VLOOKUP('Données projet'!$B$9,Paramètres!$A$1:$I$89,3,0)*0.475*44/12</f>
        <v>22.936716256496709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41.387486468867067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-6.8212102632969618E-13</v>
      </c>
      <c r="AJ109" s="13">
        <f>AI109*VLOOKUP('Données projet'!$B$10,Paramètres!$A$1:$I$89,3,0)*VLOOKUP('Données projet'!$B$10,Paramètres!$A$1:$I$89,5,0)</f>
        <v>-4.0790837374515837E-13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302.29526572690196</v>
      </c>
      <c r="AO109" s="59">
        <f t="shared" si="90"/>
        <v>234.86746802631617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80.291217413408006</v>
      </c>
      <c r="AV109" s="21">
        <f>EXP(-LN(2)/25)*AV108+(1-EXP(-LN(2)/25))/(LN(2)/25)*Calculateur!AQ109*Calculateur!AS109*VLOOKUP('Données projet'!$B$10,Paramètres!$A$1:$I$89,3,0)*0.475*44/12</f>
        <v>32.186673899689524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112.47789131309753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290.52223200000043</v>
      </c>
      <c r="BF109" s="13">
        <f t="shared" si="91"/>
        <v>69.185862279978352</v>
      </c>
      <c r="BG109" s="20">
        <f t="shared" si="61"/>
        <v>626.49159753762979</v>
      </c>
      <c r="BH109" s="59">
        <f t="shared" si="62"/>
        <v>905.48341112575895</v>
      </c>
      <c r="BI109" s="59">
        <f ca="1">AVERAGE(OFFSET($BH$3,0,0,'Données projet'!$E$11+1,1))-AVERAGE(OFFSET($H$3,0,0,'Données projet'!$E$11+1,1))</f>
        <v>627.65081154031589</v>
      </c>
      <c r="BJ109" s="59">
        <f t="shared" si="92"/>
        <v>288.78083487077618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55.422609999156386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55.422609999156386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305.54924400000044</v>
      </c>
      <c r="CA109" s="13">
        <f t="shared" si="93"/>
        <v>72.338554312522433</v>
      </c>
      <c r="CB109" s="20">
        <f t="shared" si="64"/>
        <v>658.1545820609773</v>
      </c>
      <c r="CC109" s="59">
        <f t="shared" si="65"/>
        <v>937.14639564910635</v>
      </c>
      <c r="CD109" s="59">
        <f ca="1">AVERAGE(OFFSET($CC$3,0,0,'Données projet'!$E$12+1,1))-AVERAGE(OFFSET($H$3,0,0,'Données projet'!$E$12+1,1))</f>
        <v>655.36321433908199</v>
      </c>
      <c r="CE109" s="59">
        <f t="shared" si="94"/>
        <v>300.52980782068698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58.289296723250686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58.289296723250686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279.24060689287734</v>
      </c>
      <c r="S110" s="59">
        <f ca="1">AVERAGE(OFFSET($R$3,0,0,'Données projet'!$E$9+1,1))-AVERAGE(OFFSET($H$3,0,0,'Données projet'!$E$9+1,1))</f>
        <v>297.34058997955685</v>
      </c>
      <c r="T110" s="59">
        <f t="shared" si="88"/>
        <v>440.06633724144069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18.088961862364378</v>
      </c>
      <c r="AA110" s="21">
        <f>EXP(-LN(2)/25)*AA109+(1-EXP(-LN(2)/25))/(LN(2)/25)*Calculateur!V110*Calculateur!X110*VLOOKUP('Données projet'!$B$9,Paramètres!$A$1:$I$89,3,0)*0.475*44/12</f>
        <v>22.309510544273319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40.398472406637694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-6.8212102632969618E-13</v>
      </c>
      <c r="AJ110" s="13">
        <f>AI110*VLOOKUP('Données projet'!$B$10,Paramètres!$A$1:$I$89,3,0)*VLOOKUP('Données projet'!$B$10,Paramètres!$A$1:$I$89,5,0)</f>
        <v>-4.0790837374515837E-13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302.29526572690196</v>
      </c>
      <c r="AO110" s="59">
        <f t="shared" si="90"/>
        <v>234.86746802631617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78.716755612738041</v>
      </c>
      <c r="AV110" s="21">
        <f>EXP(-LN(2)/25)*AV109+(1-EXP(-LN(2)/25))/(LN(2)/25)*Calculateur!AQ110*Calculateur!AS110*VLOOKUP('Données projet'!$B$10,Paramètres!$A$1:$I$89,3,0)*0.475*44/12</f>
        <v>31.306527609278898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110.02328322201694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297.70182000000045</v>
      </c>
      <c r="BF110" s="13">
        <f t="shared" si="91"/>
        <v>70.69446125561177</v>
      </c>
      <c r="BG110" s="20">
        <f t="shared" si="61"/>
        <v>641.62352318685794</v>
      </c>
      <c r="BH110" s="59">
        <f t="shared" si="62"/>
        <v>920.86413007973158</v>
      </c>
      <c r="BI110" s="59">
        <f ca="1">AVERAGE(OFFSET($BH$3,0,0,'Données projet'!$E$11+1,1))-AVERAGE(OFFSET($H$3,0,0,'Données projet'!$E$11+1,1))</f>
        <v>627.65081154031589</v>
      </c>
      <c r="BJ110" s="59">
        <f t="shared" si="92"/>
        <v>288.78083487077618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54.335806421527117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54.335806421527117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313.10019000000045</v>
      </c>
      <c r="CA110" s="13">
        <f t="shared" si="93"/>
        <v>73.915897794823138</v>
      </c>
      <c r="CB110" s="20">
        <f t="shared" si="64"/>
        <v>674.05301957598442</v>
      </c>
      <c r="CC110" s="59">
        <f t="shared" si="65"/>
        <v>953.29362646885806</v>
      </c>
      <c r="CD110" s="59">
        <f ca="1">AVERAGE(OFFSET($CC$3,0,0,'Données projet'!$E$12+1,1))-AVERAGE(OFFSET($H$3,0,0,'Données projet'!$E$12+1,1))</f>
        <v>655.36321433908199</v>
      </c>
      <c r="CE110" s="59">
        <f t="shared" si="94"/>
        <v>300.52980782068698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57.14627916746818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57.14627916746818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279.48508419000302</v>
      </c>
      <c r="S111" s="59">
        <f ca="1">AVERAGE(OFFSET($R$3,0,0,'Données projet'!$E$9+1,1))-AVERAGE(OFFSET($H$3,0,0,'Données projet'!$E$9+1,1))</f>
        <v>297.34058997955685</v>
      </c>
      <c r="T111" s="59">
        <f t="shared" si="88"/>
        <v>440.06633724144069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17.734248353420714</v>
      </c>
      <c r="AA111" s="21">
        <f>EXP(-LN(2)/25)*AA110+(1-EXP(-LN(2)/25))/(LN(2)/25)*Calculateur!V111*Calculateur!X111*VLOOKUP('Données projet'!$B$9,Paramètres!$A$1:$I$89,3,0)*0.475*44/12</f>
        <v>21.699455805233995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39.433704158654706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-6.8212102632969618E-13</v>
      </c>
      <c r="AJ111" s="13">
        <f>AI111*VLOOKUP('Données projet'!$B$10,Paramètres!$A$1:$I$89,3,0)*VLOOKUP('Données projet'!$B$10,Paramètres!$A$1:$I$89,5,0)</f>
        <v>-4.0790837374515837E-13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302.29526572690196</v>
      </c>
      <c r="AO111" s="59">
        <f t="shared" si="90"/>
        <v>234.86746802631617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77.173168047652339</v>
      </c>
      <c r="AV111" s="21">
        <f>EXP(-LN(2)/25)*AV110+(1-EXP(-LN(2)/25))/(LN(2)/25)*Calculateur!AQ111*Calculateur!AS111*VLOOKUP('Données projet'!$B$10,Paramètres!$A$1:$I$89,3,0)*0.475*44/12</f>
        <v>30.450448965464432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107.62361701311677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304.88140800000042</v>
      </c>
      <c r="BF111" s="13">
        <f t="shared" si="91"/>
        <v>72.198830820277394</v>
      </c>
      <c r="BG111" s="20">
        <f t="shared" si="61"/>
        <v>656.74808261198393</v>
      </c>
      <c r="BH111" s="59">
        <f t="shared" si="62"/>
        <v>936.23316680198332</v>
      </c>
      <c r="BI111" s="59">
        <f ca="1">AVERAGE(OFFSET($BH$3,0,0,'Données projet'!$E$11+1,1))-AVERAGE(OFFSET($H$3,0,0,'Données projet'!$E$11+1,1))</f>
        <v>627.65081154031589</v>
      </c>
      <c r="BJ111" s="59">
        <f t="shared" si="92"/>
        <v>288.78083487077618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53.270314399170431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53.270314399170431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320.65113600000046</v>
      </c>
      <c r="CA111" s="13">
        <f t="shared" si="93"/>
        <v>75.48881913848264</v>
      </c>
      <c r="CB111" s="20">
        <f t="shared" si="64"/>
        <v>689.94375519952473</v>
      </c>
      <c r="CC111" s="59">
        <f t="shared" si="65"/>
        <v>969.428839389524</v>
      </c>
      <c r="CD111" s="59">
        <f ca="1">AVERAGE(OFFSET($CC$3,0,0,'Données projet'!$E$12+1,1))-AVERAGE(OFFSET($H$3,0,0,'Données projet'!$E$12+1,1))</f>
        <v>655.36321433908199</v>
      </c>
      <c r="CE111" s="59">
        <f t="shared" si="94"/>
        <v>300.52980782068698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56.025675488782696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56.025675488782696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279.72532035259297</v>
      </c>
      <c r="S112" s="59">
        <f ca="1">AVERAGE(OFFSET($R$3,0,0,'Données projet'!$E$9+1,1))-AVERAGE(OFFSET($H$3,0,0,'Données projet'!$E$9+1,1))</f>
        <v>297.34058997955685</v>
      </c>
      <c r="T112" s="59">
        <f t="shared" si="88"/>
        <v>440.06633724144069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17.386490560033558</v>
      </c>
      <c r="AA112" s="21">
        <f>EXP(-LN(2)/25)*AA111+(1-EXP(-LN(2)/25))/(LN(2)/25)*Calculateur!V112*Calculateur!X112*VLOOKUP('Données projet'!$B$9,Paramètres!$A$1:$I$89,3,0)*0.475*44/12</f>
        <v>21.106083045115085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38.492573605148642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-6.8212102632969618E-13</v>
      </c>
      <c r="AJ112" s="13">
        <f>AI112*VLOOKUP('Données projet'!$B$10,Paramètres!$A$1:$I$89,3,0)*VLOOKUP('Données projet'!$B$10,Paramètres!$A$1:$I$89,5,0)</f>
        <v>-4.0790837374515837E-13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302.29526572690196</v>
      </c>
      <c r="AO112" s="59">
        <f t="shared" si="90"/>
        <v>234.86746802631617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75.659849293222507</v>
      </c>
      <c r="AV112" s="21">
        <f>EXP(-LN(2)/25)*AV111+(1-EXP(-LN(2)/25))/(LN(2)/25)*Calculateur!AQ112*Calculateur!AS112*VLOOKUP('Données projet'!$B$10,Paramètres!$A$1:$I$89,3,0)*0.475*44/12</f>
        <v>29.61777983718429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105.27762913040679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312.06099600000044</v>
      </c>
      <c r="BF112" s="13">
        <f t="shared" si="91"/>
        <v>73.699082033131035</v>
      </c>
      <c r="BG112" s="20">
        <f t="shared" si="61"/>
        <v>671.86546924103743</v>
      </c>
      <c r="BH112" s="59">
        <f t="shared" si="62"/>
        <v>951.59078959362671</v>
      </c>
      <c r="BI112" s="59">
        <f ca="1">AVERAGE(OFFSET($BH$3,0,0,'Données projet'!$E$11+1,1))-AVERAGE(OFFSET($H$3,0,0,'Données projet'!$E$11+1,1))</f>
        <v>627.65081154031589</v>
      </c>
      <c r="BJ112" s="59">
        <f t="shared" si="92"/>
        <v>288.78083487077618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52.225716025486193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52.225716025486193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328.20208200000047</v>
      </c>
      <c r="CA112" s="13">
        <f t="shared" si="93"/>
        <v>77.057434463449852</v>
      </c>
      <c r="CB112" s="20">
        <f t="shared" si="64"/>
        <v>705.82699117384254</v>
      </c>
      <c r="CC112" s="59">
        <f t="shared" si="65"/>
        <v>985.55231152643182</v>
      </c>
      <c r="CD112" s="59">
        <f ca="1">AVERAGE(OFFSET($CC$3,0,0,'Données projet'!$E$12+1,1))-AVERAGE(OFFSET($H$3,0,0,'Données projet'!$E$12+1,1))</f>
        <v>655.36321433908199</v>
      </c>
      <c r="CE112" s="59">
        <f t="shared" si="94"/>
        <v>300.52980782068698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54.927046164735479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54.927046164735479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279.96138895484955</v>
      </c>
      <c r="S113" s="59">
        <f ca="1">AVERAGE(OFFSET($R$3,0,0,'Données projet'!$E$9+1,1))-AVERAGE(OFFSET($H$3,0,0,'Données projet'!$E$9+1,1))</f>
        <v>297.34058997955685</v>
      </c>
      <c r="T113" s="59">
        <f t="shared" si="88"/>
        <v>440.06633724144069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17.045552084863413</v>
      </c>
      <c r="AA113" s="21">
        <f>EXP(-LN(2)/25)*AA112+(1-EXP(-LN(2)/25))/(LN(2)/25)*Calculateur!V113*Calculateur!X113*VLOOKUP('Données projet'!$B$9,Paramètres!$A$1:$I$89,3,0)*0.475*44/12</f>
        <v>20.528936094325744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37.57448817918916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-6.8212102632969618E-13</v>
      </c>
      <c r="AJ113" s="13">
        <f>AI113*VLOOKUP('Données projet'!$B$10,Paramètres!$A$1:$I$89,3,0)*VLOOKUP('Données projet'!$B$10,Paramètres!$A$1:$I$89,5,0)</f>
        <v>-4.0790837374515837E-13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302.29526572690196</v>
      </c>
      <c r="AO113" s="59">
        <f t="shared" si="90"/>
        <v>234.86746802631617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74.17620579653375</v>
      </c>
      <c r="AV113" s="21">
        <f>EXP(-LN(2)/25)*AV112+(1-EXP(-LN(2)/25))/(LN(2)/25)*Calculateur!AQ113*Calculateur!AS113*VLOOKUP('Données projet'!$B$10,Paramètres!$A$1:$I$89,3,0)*0.475*44/12</f>
        <v>28.807880090005138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102.98408588653889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319.24058400000041</v>
      </c>
      <c r="BF113" s="13">
        <f t="shared" si="91"/>
        <v>75.195320551435159</v>
      </c>
      <c r="BG113" s="20">
        <f t="shared" si="61"/>
        <v>686.97586709375025</v>
      </c>
      <c r="BH113" s="59">
        <f t="shared" si="62"/>
        <v>966.93725604859605</v>
      </c>
      <c r="BI113" s="59">
        <f ca="1">AVERAGE(OFFSET($BH$3,0,0,'Données projet'!$E$11+1,1))-AVERAGE(OFFSET($H$3,0,0,'Données projet'!$E$11+1,1))</f>
        <v>627.65081154031589</v>
      </c>
      <c r="BJ113" s="59">
        <f t="shared" si="92"/>
        <v>288.78083487077618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51.201601588767808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51.201601588767808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335.75302800000048</v>
      </c>
      <c r="CA113" s="13">
        <f t="shared" si="93"/>
        <v>78.62185424162395</v>
      </c>
      <c r="CB113" s="20">
        <f t="shared" si="64"/>
        <v>721.70291990416251</v>
      </c>
      <c r="CC113" s="59">
        <f t="shared" si="65"/>
        <v>1001.6643088590083</v>
      </c>
      <c r="CD113" s="59">
        <f ca="1">AVERAGE(OFFSET($CC$3,0,0,'Données projet'!$E$12+1,1))-AVERAGE(OFFSET($H$3,0,0,'Données projet'!$E$12+1,1))</f>
        <v>655.36321433908199</v>
      </c>
      <c r="CE113" s="59">
        <f t="shared" si="94"/>
        <v>300.52980782068698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53.849960291635114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53.849960291635114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280.19336229462726</v>
      </c>
      <c r="S114" s="59">
        <f ca="1">AVERAGE(OFFSET($R$3,0,0,'Données projet'!$E$9+1,1))-AVERAGE(OFFSET($H$3,0,0,'Données projet'!$E$9+1,1))</f>
        <v>297.34058997955685</v>
      </c>
      <c r="T114" s="59">
        <f t="shared" si="88"/>
        <v>440.06633724144069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16.711299205239417</v>
      </c>
      <c r="AA114" s="21">
        <f>EXP(-LN(2)/25)*AA113+(1-EXP(-LN(2)/25))/(LN(2)/25)*Calculateur!V114*Calculateur!X114*VLOOKUP('Données projet'!$B$9,Paramètres!$A$1:$I$89,3,0)*0.475*44/12</f>
        <v>19.967571257256576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36.678870462495993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-6.8212102632969618E-13</v>
      </c>
      <c r="AJ114" s="13">
        <f>AI114*VLOOKUP('Données projet'!$B$10,Paramètres!$A$1:$I$89,3,0)*VLOOKUP('Données projet'!$B$10,Paramètres!$A$1:$I$89,5,0)</f>
        <v>-4.0790837374515837E-13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302.29526572690196</v>
      </c>
      <c r="AO114" s="59">
        <f t="shared" si="90"/>
        <v>234.86746802631617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72.721655643881888</v>
      </c>
      <c r="AV114" s="21">
        <f>EXP(-LN(2)/25)*AV113+(1-EXP(-LN(2)/25))/(LN(2)/25)*Calculateur!AQ114*Calculateur!AS114*VLOOKUP('Données projet'!$B$10,Paramètres!$A$1:$I$89,3,0)*0.475*44/12</f>
        <v>28.020127094003374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100.74178273788526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326.42017200000043</v>
      </c>
      <c r="BF114" s="13">
        <f t="shared" si="91"/>
        <v>76.687647008791089</v>
      </c>
      <c r="BG114" s="20">
        <f t="shared" si="61"/>
        <v>702.07945144031191</v>
      </c>
      <c r="BH114" s="59">
        <f t="shared" si="62"/>
        <v>982.27281373493543</v>
      </c>
      <c r="BI114" s="59">
        <f ca="1">AVERAGE(OFFSET($BH$3,0,0,'Données projet'!$E$11+1,1))-AVERAGE(OFFSET($H$3,0,0,'Données projet'!$E$11+1,1))</f>
        <v>627.65081154031589</v>
      </c>
      <c r="BJ114" s="59">
        <f t="shared" si="92"/>
        <v>288.78083487077618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50.197569411505341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50.197569411505341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343.30397400000049</v>
      </c>
      <c r="CA114" s="13">
        <f t="shared" si="93"/>
        <v>80.182183692322951</v>
      </c>
      <c r="CB114" s="20">
        <f t="shared" si="64"/>
        <v>737.57172464746327</v>
      </c>
      <c r="CC114" s="59">
        <f t="shared" si="65"/>
        <v>1017.7650869420868</v>
      </c>
      <c r="CD114" s="59">
        <f ca="1">AVERAGE(OFFSET($CC$3,0,0,'Données projet'!$E$12+1,1))-AVERAGE(OFFSET($H$3,0,0,'Données projet'!$E$12+1,1))</f>
        <v>655.36321433908199</v>
      </c>
      <c r="CE114" s="59">
        <f t="shared" si="94"/>
        <v>300.52980782068698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52.793995415548729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52.793995415548729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280.42131141557456</v>
      </c>
      <c r="S115" s="59">
        <f ca="1">AVERAGE(OFFSET($R$3,0,0,'Données projet'!$E$9+1,1))-AVERAGE(OFFSET($H$3,0,0,'Données projet'!$E$9+1,1))</f>
        <v>297.34058997955685</v>
      </c>
      <c r="T115" s="59">
        <f t="shared" si="88"/>
        <v>440.06633724144069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16.383600820710722</v>
      </c>
      <c r="AA115" s="21">
        <f>EXP(-LN(2)/25)*AA114+(1-EXP(-LN(2)/25))/(LN(2)/25)*Calculateur!V115*Calculateur!X115*VLOOKUP('Données projet'!$B$9,Paramètres!$A$1:$I$89,3,0)*0.475*44/12</f>
        <v>19.42155697117796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35.805157791888682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-6.8212102632969618E-13</v>
      </c>
      <c r="AJ115" s="13">
        <f>AI115*VLOOKUP('Données projet'!$B$10,Paramètres!$A$1:$I$89,3,0)*VLOOKUP('Données projet'!$B$10,Paramètres!$A$1:$I$89,5,0)</f>
        <v>-4.0790837374515837E-13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302.29526572690196</v>
      </c>
      <c r="AO115" s="59">
        <f t="shared" si="90"/>
        <v>234.86746802631617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71.295628332535529</v>
      </c>
      <c r="AV115" s="21">
        <f>EXP(-LN(2)/25)*AV114+(1-EXP(-LN(2)/25))/(LN(2)/25)*Calculateur!AQ115*Calculateur!AS115*VLOOKUP('Données projet'!$B$10,Paramètres!$A$1:$I$89,3,0)*0.475*44/12</f>
        <v>27.253915245103411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98.549543577638943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333.59976000000046</v>
      </c>
      <c r="BF115" s="13">
        <f t="shared" si="91"/>
        <v>78.17615735915706</v>
      </c>
      <c r="BG115" s="20">
        <f t="shared" si="61"/>
        <v>717.17638940053257</v>
      </c>
      <c r="BH115" s="59">
        <f t="shared" si="62"/>
        <v>997.5977008161035</v>
      </c>
      <c r="BI115" s="59">
        <f ca="1">AVERAGE(OFFSET($BH$3,0,0,'Données projet'!$E$11+1,1))-AVERAGE(OFFSET($H$3,0,0,'Données projet'!$E$11+1,1))</f>
        <v>627.65081154031589</v>
      </c>
      <c r="BJ115" s="59">
        <f t="shared" si="92"/>
        <v>288.78083487077618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49.213225692839835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49.213225692839835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350.85492000000045</v>
      </c>
      <c r="CA115" s="13">
        <f t="shared" si="93"/>
        <v>81.738523141977637</v>
      </c>
      <c r="CB115" s="20">
        <f t="shared" si="64"/>
        <v>753.4335801389451</v>
      </c>
      <c r="CC115" s="59">
        <f t="shared" si="65"/>
        <v>1033.8548915545159</v>
      </c>
      <c r="CD115" s="59">
        <f ca="1">AVERAGE(OFFSET($CC$3,0,0,'Données projet'!$E$12+1,1))-AVERAGE(OFFSET($H$3,0,0,'Données projet'!$E$12+1,1))</f>
        <v>655.36321433908199</v>
      </c>
      <c r="CE115" s="59">
        <f t="shared" si="94"/>
        <v>300.52980782068698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51.75873736660742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51.75873736660742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280.64530612889132</v>
      </c>
      <c r="S116" s="59">
        <f ca="1">AVERAGE(OFFSET($R$3,0,0,'Données projet'!$E$9+1,1))-AVERAGE(OFFSET($H$3,0,0,'Données projet'!$E$9+1,1))</f>
        <v>297.34058997955685</v>
      </c>
      <c r="T116" s="59">
        <f t="shared" si="88"/>
        <v>440.06633724144069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16.062328401626356</v>
      </c>
      <c r="AA116" s="21">
        <f>EXP(-LN(2)/25)*AA115+(1-EXP(-LN(2)/25))/(LN(2)/25)*Calculateur!V116*Calculateur!X116*VLOOKUP('Données projet'!$B$9,Paramètres!$A$1:$I$89,3,0)*0.475*44/12</f>
        <v>18.890473474465807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34.952801876092167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-6.8212102632969618E-13</v>
      </c>
      <c r="AJ116" s="13">
        <f>AI116*VLOOKUP('Données projet'!$B$10,Paramètres!$A$1:$I$89,3,0)*VLOOKUP('Données projet'!$B$10,Paramètres!$A$1:$I$89,5,0)</f>
        <v>-4.0790837374515837E-13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302.29526572690196</v>
      </c>
      <c r="AO116" s="59">
        <f t="shared" si="90"/>
        <v>234.86746802631617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69.897564546973896</v>
      </c>
      <c r="AV116" s="21">
        <f>EXP(-LN(2)/25)*AV115+(1-EXP(-LN(2)/25))/(LN(2)/25)*Calculateur!AQ116*Calculateur!AS116*VLOOKUP('Données projet'!$B$10,Paramètres!$A$1:$I$89,3,0)*0.475*44/12</f>
        <v>26.508655499504943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96.406220046478836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340.77934800000043</v>
      </c>
      <c r="BF116" s="13">
        <f t="shared" si="91"/>
        <v>79.660943190415296</v>
      </c>
      <c r="BG116" s="20">
        <f t="shared" si="61"/>
        <v>732.26684048997402</v>
      </c>
      <c r="BH116" s="59">
        <f t="shared" si="62"/>
        <v>1012.9121466188617</v>
      </c>
      <c r="BI116" s="59">
        <f ca="1">AVERAGE(OFFSET($BH$3,0,0,'Données projet'!$E$11+1,1))-AVERAGE(OFFSET($H$3,0,0,'Données projet'!$E$11+1,1))</f>
        <v>627.65081154031589</v>
      </c>
      <c r="BJ116" s="59">
        <f t="shared" si="92"/>
        <v>288.78083487077618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48.248184354106975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48.248184354106975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358.40586600000046</v>
      </c>
      <c r="CA116" s="13">
        <f t="shared" si="93"/>
        <v>83.290968351987175</v>
      </c>
      <c r="CB116" s="20">
        <f t="shared" si="64"/>
        <v>769.28865316304507</v>
      </c>
      <c r="CC116" s="59">
        <f t="shared" si="65"/>
        <v>1049.9339592919328</v>
      </c>
      <c r="CD116" s="59">
        <f ca="1">AVERAGE(OFFSET($CC$3,0,0,'Données projet'!$E$12+1,1))-AVERAGE(OFFSET($H$3,0,0,'Données projet'!$E$12+1,1))</f>
        <v>655.36321433908199</v>
      </c>
      <c r="CE116" s="59">
        <f t="shared" si="94"/>
        <v>300.52980782068698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50.743780096560791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50.743780096560791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280.86541503470914</v>
      </c>
      <c r="S117" s="59">
        <f ca="1">AVERAGE(OFFSET($R$3,0,0,'Données projet'!$E$9+1,1))-AVERAGE(OFFSET($H$3,0,0,'Données projet'!$E$9+1,1))</f>
        <v>297.34058997955685</v>
      </c>
      <c r="T117" s="59">
        <f t="shared" si="88"/>
        <v>440.06633724144069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15.747355938723409</v>
      </c>
      <c r="AA117" s="21">
        <f>EXP(-LN(2)/25)*AA116+(1-EXP(-LN(2)/25))/(LN(2)/25)*Calculateur!V117*Calculateur!X117*VLOOKUP('Données projet'!$B$9,Paramètres!$A$1:$I$89,3,0)*0.475*44/12</f>
        <v>18.373912483899716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34.121268422623125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-6.8212102632969618E-13</v>
      </c>
      <c r="AJ117" s="13">
        <f>AI117*VLOOKUP('Données projet'!$B$10,Paramètres!$A$1:$I$89,3,0)*VLOOKUP('Données projet'!$B$10,Paramètres!$A$1:$I$89,5,0)</f>
        <v>-4.0790837374515837E-13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302.29526572690196</v>
      </c>
      <c r="AO117" s="59">
        <f t="shared" si="90"/>
        <v>234.86746802631617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68.526915939512421</v>
      </c>
      <c r="AV117" s="21">
        <f>EXP(-LN(2)/25)*AV116+(1-EXP(-LN(2)/25))/(LN(2)/25)*Calculateur!AQ117*Calculateur!AS117*VLOOKUP('Données projet'!$B$10,Paramètres!$A$1:$I$89,3,0)*0.475*44/12</f>
        <v>25.783774920841374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94.310690860353787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347.95893600000045</v>
      </c>
      <c r="BF117" s="13">
        <f t="shared" si="91"/>
        <v>81.142092010767954</v>
      </c>
      <c r="BG117" s="20">
        <f t="shared" si="61"/>
        <v>747.35095711875499</v>
      </c>
      <c r="BH117" s="59">
        <f t="shared" si="62"/>
        <v>1028.2163721534605</v>
      </c>
      <c r="BI117" s="59">
        <f ca="1">AVERAGE(OFFSET($BH$3,0,0,'Données projet'!$E$11+1,1))-AVERAGE(OFFSET($H$3,0,0,'Données projet'!$E$11+1,1))</f>
        <v>627.65081154031589</v>
      </c>
      <c r="BJ117" s="59">
        <f t="shared" si="92"/>
        <v>288.78083487077618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61.771448286126386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61.771448286126386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365.95681200000047</v>
      </c>
      <c r="CA117" s="13">
        <f t="shared" si="93"/>
        <v>84.839610818166577</v>
      </c>
      <c r="CB117" s="20">
        <f t="shared" si="64"/>
        <v>785.13710307497422</v>
      </c>
      <c r="CC117" s="59">
        <f t="shared" si="65"/>
        <v>1066.0025181096796</v>
      </c>
      <c r="CD117" s="59">
        <f ca="1">AVERAGE(OFFSET($CC$3,0,0,'Données projet'!$E$12+1,1))-AVERAGE(OFFSET($H$3,0,0,'Données projet'!$E$12+1,1))</f>
        <v>655.36321433908199</v>
      </c>
      <c r="CE117" s="59">
        <f t="shared" si="94"/>
        <v>300.52980782068698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64.966523197477756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64.966523197477756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281.08170554310095</v>
      </c>
      <c r="S118" s="59">
        <f ca="1">AVERAGE(OFFSET($R$3,0,0,'Données projet'!$E$9+1,1))-AVERAGE(OFFSET($H$3,0,0,'Données projet'!$E$9+1,1))</f>
        <v>297.34058997955685</v>
      </c>
      <c r="T118" s="59">
        <f t="shared" si="88"/>
        <v>440.06633724144069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15.438559893703756</v>
      </c>
      <c r="AA118" s="21">
        <f>EXP(-LN(2)/25)*AA117+(1-EXP(-LN(2)/25))/(LN(2)/25)*Calculateur!V118*Calculateur!X118*VLOOKUP('Données projet'!$B$9,Paramètres!$A$1:$I$89,3,0)*0.475*44/12</f>
        <v>17.871476880785416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33.31003677448917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-6.8212102632969618E-13</v>
      </c>
      <c r="AJ118" s="13">
        <f>AI118*VLOOKUP('Données projet'!$B$10,Paramètres!$A$1:$I$89,3,0)*VLOOKUP('Données projet'!$B$10,Paramètres!$A$1:$I$89,5,0)</f>
        <v>-4.0790837374515837E-13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302.29526572690196</v>
      </c>
      <c r="AO118" s="59">
        <f t="shared" si="90"/>
        <v>234.86746802631617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67.183144915230159</v>
      </c>
      <c r="AV118" s="21">
        <f>EXP(-LN(2)/25)*AV117+(1-EXP(-LN(2)/25))/(LN(2)/25)*Calculateur!AQ118*Calculateur!AS118*VLOOKUP('Données projet'!$B$10,Paramètres!$A$1:$I$89,3,0)*0.475*44/12</f>
        <v>25.078716239721174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92.261861154951333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304.45796160000049</v>
      </c>
      <c r="BF118" s="13">
        <f t="shared" si="91"/>
        <v>72.11021964481435</v>
      </c>
      <c r="BG118" s="20">
        <f t="shared" si="61"/>
        <v>655.85624900138566</v>
      </c>
      <c r="BH118" s="59">
        <f t="shared" si="62"/>
        <v>936.93795454448286</v>
      </c>
      <c r="BI118" s="59">
        <f ca="1">AVERAGE(OFFSET($BH$3,0,0,'Données projet'!$E$11+1,1))-AVERAGE(OFFSET($H$3,0,0,'Données projet'!$E$11+1,1))</f>
        <v>627.65081154031589</v>
      </c>
      <c r="BJ118" s="59">
        <f t="shared" si="92"/>
        <v>288.78083487077618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60.560147862098624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60.560147862098624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320.20578720000049</v>
      </c>
      <c r="CA118" s="13">
        <f t="shared" si="93"/>
        <v>75.396170089707468</v>
      </c>
      <c r="CB118" s="20">
        <f t="shared" si="64"/>
        <v>689.00674227957461</v>
      </c>
      <c r="CC118" s="59">
        <f t="shared" si="65"/>
        <v>970.08844782267192</v>
      </c>
      <c r="CD118" s="59">
        <f ca="1">AVERAGE(OFFSET($CC$3,0,0,'Données projet'!$E$12+1,1))-AVERAGE(OFFSET($H$3,0,0,'Données projet'!$E$12+1,1))</f>
        <v>655.36321433908199</v>
      </c>
      <c r="CE118" s="59">
        <f t="shared" si="94"/>
        <v>300.52980782068698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63.692569303241655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63.692569303241655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281.29424389472518</v>
      </c>
      <c r="S119" s="59">
        <f ca="1">AVERAGE(OFFSET($R$3,0,0,'Données projet'!$E$9+1,1))-AVERAGE(OFFSET($H$3,0,0,'Données projet'!$E$9+1,1))</f>
        <v>297.34058997955685</v>
      </c>
      <c r="T119" s="59">
        <f t="shared" si="88"/>
        <v>440.06633724144069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15.13581915077995</v>
      </c>
      <c r="AA119" s="21">
        <f>EXP(-LN(2)/25)*AA118+(1-EXP(-LN(2)/25))/(LN(2)/25)*Calculateur!V119*Calculateur!X119*VLOOKUP('Données projet'!$B$9,Paramètres!$A$1:$I$89,3,0)*0.475*44/12</f>
        <v>17.382780405660213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32.518599556440165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-6.8212102632969618E-13</v>
      </c>
      <c r="AJ119" s="13">
        <f>AI119*VLOOKUP('Données projet'!$B$10,Paramètres!$A$1:$I$89,3,0)*VLOOKUP('Données projet'!$B$10,Paramètres!$A$1:$I$89,5,0)</f>
        <v>-4.0790837374515837E-13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302.29526572690196</v>
      </c>
      <c r="AO119" s="59">
        <f t="shared" si="90"/>
        <v>234.86746802631617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65.865724421114678</v>
      </c>
      <c r="AV119" s="21">
        <f>EXP(-LN(2)/25)*AV118+(1-EXP(-LN(2)/25))/(LN(2)/25)*Calculateur!AQ119*Calculateur!AS119*VLOOKUP('Données projet'!$B$10,Paramètres!$A$1:$I$89,3,0)*0.475*44/12</f>
        <v>24.39293742531363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90.258661846428311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311.68912320000049</v>
      </c>
      <c r="BF119" s="13">
        <f t="shared" si="91"/>
        <v>73.621474685301479</v>
      </c>
      <c r="BG119" s="20">
        <f t="shared" si="61"/>
        <v>671.08262465023415</v>
      </c>
      <c r="BH119" s="59">
        <f t="shared" si="62"/>
        <v>952.37686854495564</v>
      </c>
      <c r="BI119" s="59">
        <f ca="1">AVERAGE(OFFSET($BH$3,0,0,'Données projet'!$E$11+1,1))-AVERAGE(OFFSET($H$3,0,0,'Données projet'!$E$11+1,1))</f>
        <v>627.65081154031589</v>
      </c>
      <c r="BJ119" s="59">
        <f t="shared" si="92"/>
        <v>288.78083487077618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59.372600300565736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59.372600300565736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327.81097440000053</v>
      </c>
      <c r="CA119" s="13">
        <f t="shared" si="93"/>
        <v>76.976290669602136</v>
      </c>
      <c r="CB119" s="20">
        <f t="shared" si="64"/>
        <v>705.00448666289128</v>
      </c>
      <c r="CC119" s="59">
        <f t="shared" si="65"/>
        <v>986.29873055761277</v>
      </c>
      <c r="CD119" s="59">
        <f ca="1">AVERAGE(OFFSET($CC$3,0,0,'Données projet'!$E$12+1,1))-AVERAGE(OFFSET($H$3,0,0,'Données projet'!$E$12+1,1))</f>
        <v>655.36321433908199</v>
      </c>
      <c r="CE119" s="59">
        <f t="shared" si="94"/>
        <v>300.52980782068698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62.443596867836376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62.443596867836376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281.50309518111334</v>
      </c>
      <c r="S120" s="59">
        <f ca="1">AVERAGE(OFFSET($R$3,0,0,'Données projet'!$E$9+1,1))-AVERAGE(OFFSET($H$3,0,0,'Données projet'!$E$9+1,1))</f>
        <v>297.34058997955685</v>
      </c>
      <c r="T120" s="59">
        <f t="shared" si="88"/>
        <v>440.06633724144069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14.839014969171259</v>
      </c>
      <c r="AA120" s="21">
        <f>EXP(-LN(2)/25)*AA119+(1-EXP(-LN(2)/25))/(LN(2)/25)*Calculateur!V120*Calculateur!X120*VLOOKUP('Données projet'!$B$9,Paramètres!$A$1:$I$89,3,0)*0.475*44/12</f>
        <v>16.90744736134674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31.746462330518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-6.8212102632969618E-13</v>
      </c>
      <c r="AJ120" s="13">
        <f>AI120*VLOOKUP('Données projet'!$B$10,Paramètres!$A$1:$I$89,3,0)*VLOOKUP('Données projet'!$B$10,Paramètres!$A$1:$I$89,5,0)</f>
        <v>-4.0790837374515837E-13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302.29526572690196</v>
      </c>
      <c r="AO120" s="59">
        <f t="shared" si="90"/>
        <v>234.86746802631617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64.574137739341651</v>
      </c>
      <c r="AV120" s="21">
        <f>EXP(-LN(2)/25)*AV119+(1-EXP(-LN(2)/25))/(LN(2)/25)*Calculateur!AQ120*Calculateur!AS120*VLOOKUP('Données projet'!$B$10,Paramètres!$A$1:$I$89,3,0)*0.475*44/12</f>
        <v>23.7259112686496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88.300049007991248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318.9202848000005</v>
      </c>
      <c r="BF120" s="13">
        <f t="shared" si="91"/>
        <v>75.128653745521831</v>
      </c>
      <c r="BG120" s="20">
        <f t="shared" si="61"/>
        <v>686.30190130011806</v>
      </c>
      <c r="BH120" s="59">
        <f t="shared" si="62"/>
        <v>967.8049964812277</v>
      </c>
      <c r="BI120" s="59">
        <f ca="1">AVERAGE(OFFSET($BH$3,0,0,'Données projet'!$E$11+1,1))-AVERAGE(OFFSET($H$3,0,0,'Données projet'!$E$11+1,1))</f>
        <v>627.65081154031589</v>
      </c>
      <c r="BJ120" s="59">
        <f t="shared" si="92"/>
        <v>288.78083487077618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58.208339822382015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58.208339822382015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335.41616160000052</v>
      </c>
      <c r="CA120" s="13">
        <f t="shared" si="93"/>
        <v>78.552149533154918</v>
      </c>
      <c r="CB120" s="20">
        <f t="shared" si="64"/>
        <v>720.99480855691252</v>
      </c>
      <c r="CC120" s="59">
        <f t="shared" si="65"/>
        <v>1002.4979037380222</v>
      </c>
      <c r="CD120" s="59">
        <f ca="1">AVERAGE(OFFSET($CC$3,0,0,'Données projet'!$E$12+1,1))-AVERAGE(OFFSET($H$3,0,0,'Données projet'!$E$12+1,1))</f>
        <v>655.36321433908199</v>
      </c>
      <c r="CE120" s="59">
        <f t="shared" si="94"/>
        <v>300.52980782068698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61.219116020091434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61.219116020091434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281.7083233646041</v>
      </c>
      <c r="S121" s="59">
        <f ca="1">AVERAGE(OFFSET($R$3,0,0,'Données projet'!$E$9+1,1))-AVERAGE(OFFSET($H$3,0,0,'Données projet'!$E$9+1,1))</f>
        <v>297.34058997955685</v>
      </c>
      <c r="T121" s="59">
        <f t="shared" si="88"/>
        <v>440.06633724144069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14.548030936531239</v>
      </c>
      <c r="AA121" s="21">
        <f>EXP(-LN(2)/25)*AA120+(1-EXP(-LN(2)/25))/(LN(2)/25)*Calculateur!V121*Calculateur!X121*VLOOKUP('Données projet'!$B$9,Paramètres!$A$1:$I$89,3,0)*0.475*44/12</f>
        <v>16.445112324126701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30.993143260657938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-6.8212102632969618E-13</v>
      </c>
      <c r="AJ121" s="13">
        <f>AI121*VLOOKUP('Données projet'!$B$10,Paramètres!$A$1:$I$89,3,0)*VLOOKUP('Données projet'!$B$10,Paramètres!$A$1:$I$89,5,0)</f>
        <v>-4.0790837374515837E-13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302.29526572690196</v>
      </c>
      <c r="AO121" s="59">
        <f t="shared" si="90"/>
        <v>234.86746802631617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63.307878284608108</v>
      </c>
      <c r="AV121" s="21">
        <f>EXP(-LN(2)/25)*AV120+(1-EXP(-LN(2)/25))/(LN(2)/25)*Calculateur!AQ121*Calculateur!AS121*VLOOKUP('Données projet'!$B$10,Paramètres!$A$1:$I$89,3,0)*0.475*44/12</f>
        <v>23.077124977316931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86.385003261925036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326.15144640000051</v>
      </c>
      <c r="BF121" s="13">
        <f t="shared" si="91"/>
        <v>76.631859883081802</v>
      </c>
      <c r="BG121" s="20">
        <f t="shared" si="61"/>
        <v>701.51425844303503</v>
      </c>
      <c r="BH121" s="59">
        <f t="shared" si="62"/>
        <v>983.22258180763538</v>
      </c>
      <c r="BI121" s="59">
        <f ca="1">AVERAGE(OFFSET($BH$3,0,0,'Données projet'!$E$11+1,1))-AVERAGE(OFFSET($H$3,0,0,'Données projet'!$E$11+1,1))</f>
        <v>627.65081154031589</v>
      </c>
      <c r="BJ121" s="59">
        <f t="shared" si="92"/>
        <v>288.78083487077618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57.066909782046707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57.066909782046707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343.02134880000057</v>
      </c>
      <c r="CA121" s="13">
        <f t="shared" si="93"/>
        <v>80.123854434146992</v>
      </c>
      <c r="CB121" s="20">
        <f t="shared" si="64"/>
        <v>736.97789563280696</v>
      </c>
      <c r="CC121" s="59">
        <f t="shared" si="65"/>
        <v>1018.6862189974074</v>
      </c>
      <c r="CD121" s="59">
        <f ca="1">AVERAGE(OFFSET($CC$3,0,0,'Données projet'!$E$12+1,1))-AVERAGE(OFFSET($H$3,0,0,'Données projet'!$E$12+1,1))</f>
        <v>655.36321433908199</v>
      </c>
      <c r="CE121" s="59">
        <f t="shared" si="94"/>
        <v>300.52980782068698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60.018646494911195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60.018646494911195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281.90999129793283</v>
      </c>
      <c r="S122" s="59">
        <f ca="1">AVERAGE(OFFSET($R$3,0,0,'Données projet'!$E$9+1,1))-AVERAGE(OFFSET($H$3,0,0,'Données projet'!$E$9+1,1))</f>
        <v>297.34058997955685</v>
      </c>
      <c r="T122" s="59">
        <f t="shared" si="88"/>
        <v>440.06633724144069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14.262752923288556</v>
      </c>
      <c r="AA122" s="21">
        <f>EXP(-LN(2)/25)*AA121+(1-EXP(-LN(2)/25))/(LN(2)/25)*Calculateur!V122*Calculateur!X122*VLOOKUP('Données projet'!$B$9,Paramètres!$A$1:$I$89,3,0)*0.475*44/12</f>
        <v>15.995419862812584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30.258172786101142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-6.8212102632969618E-13</v>
      </c>
      <c r="AJ122" s="13">
        <f>AI122*VLOOKUP('Données projet'!$B$10,Paramètres!$A$1:$I$89,3,0)*VLOOKUP('Données projet'!$B$10,Paramètres!$A$1:$I$89,5,0)</f>
        <v>-4.0790837374515837E-13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302.29526572690196</v>
      </c>
      <c r="AO122" s="59">
        <f t="shared" si="90"/>
        <v>234.86746802631617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62.066449405439883</v>
      </c>
      <c r="AV122" s="21">
        <f>EXP(-LN(2)/25)*AV121+(1-EXP(-LN(2)/25))/(LN(2)/25)*Calculateur!AQ122*Calculateur!AS122*VLOOKUP('Données projet'!$B$10,Paramètres!$A$1:$I$89,3,0)*0.475*44/12</f>
        <v>22.446079781238939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84.512529186678819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333.38260800000052</v>
      </c>
      <c r="BF122" s="13">
        <f t="shared" si="91"/>
        <v>78.13119132485231</v>
      </c>
      <c r="BG122" s="20">
        <f t="shared" si="61"/>
        <v>716.71986715745197</v>
      </c>
      <c r="BH122" s="59">
        <f t="shared" si="62"/>
        <v>998.62985845538105</v>
      </c>
      <c r="BI122" s="59">
        <f ca="1">AVERAGE(OFFSET($BH$3,0,0,'Données projet'!$E$11+1,1))-AVERAGE(OFFSET($H$3,0,0,'Données projet'!$E$11+1,1))</f>
        <v>627.65081154031589</v>
      </c>
      <c r="BJ122" s="59">
        <f t="shared" si="92"/>
        <v>288.78083487077618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55.947862488598794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55.947862488598794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350.62653600000056</v>
      </c>
      <c r="CA122" s="13">
        <f t="shared" si="93"/>
        <v>81.691508075494681</v>
      </c>
      <c r="CB122" s="20">
        <f t="shared" si="64"/>
        <v>752.95392676482072</v>
      </c>
      <c r="CC122" s="59">
        <f t="shared" si="65"/>
        <v>1034.8639180627499</v>
      </c>
      <c r="CD122" s="59">
        <f ca="1">AVERAGE(OFFSET($CC$3,0,0,'Données projet'!$E$12+1,1))-AVERAGE(OFFSET($H$3,0,0,'Données projet'!$E$12+1,1))</f>
        <v>655.36321433908199</v>
      </c>
      <c r="CE122" s="59">
        <f t="shared" si="94"/>
        <v>300.52980782068698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58.841717444905633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58.841717444905633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282.10816074348031</v>
      </c>
      <c r="S123" s="59">
        <f ca="1">AVERAGE(OFFSET($R$3,0,0,'Données projet'!$E$9+1,1))-AVERAGE(OFFSET($H$3,0,0,'Données projet'!$E$9+1,1))</f>
        <v>297.34058997955685</v>
      </c>
      <c r="T123" s="59">
        <f t="shared" si="88"/>
        <v>440.06633724144069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13.983069037883155</v>
      </c>
      <c r="AA123" s="21">
        <f>EXP(-LN(2)/25)*AA122+(1-EXP(-LN(2)/25))/(LN(2)/25)*Calculateur!V123*Calculateur!X123*VLOOKUP('Données projet'!$B$9,Paramètres!$A$1:$I$89,3,0)*0.475*44/12</f>
        <v>15.558024265501402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29.541093303384557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-6.8212102632969618E-13</v>
      </c>
      <c r="AJ123" s="13">
        <f>AI123*VLOOKUP('Données projet'!$B$10,Paramètres!$A$1:$I$89,3,0)*VLOOKUP('Données projet'!$B$10,Paramètres!$A$1:$I$89,5,0)</f>
        <v>-4.0790837374515837E-13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302.29526572690196</v>
      </c>
      <c r="AO123" s="59">
        <f t="shared" si="90"/>
        <v>234.86746802631617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60.849364189395295</v>
      </c>
      <c r="AV123" s="21">
        <f>EXP(-LN(2)/25)*AV122+(1-EXP(-LN(2)/25))/(LN(2)/25)*Calculateur!AQ123*Calculateur!AS123*VLOOKUP('Données projet'!$B$10,Paramètres!$A$1:$I$89,3,0)*0.475*44/12</f>
        <v>21.832290549232926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82.681654738628225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340.61376960000058</v>
      </c>
      <c r="BF123" s="13">
        <f t="shared" si="91"/>
        <v>79.626741793195919</v>
      </c>
      <c r="BG123" s="20">
        <f t="shared" si="61"/>
        <v>731.9188906764839</v>
      </c>
      <c r="BH123" s="59">
        <f t="shared" si="62"/>
        <v>1014.0270514199606</v>
      </c>
      <c r="BI123" s="59">
        <f ca="1">AVERAGE(OFFSET($BH$3,0,0,'Données projet'!$E$11+1,1))-AVERAGE(OFFSET($H$3,0,0,'Données projet'!$E$11+1,1))</f>
        <v>627.65081154031589</v>
      </c>
      <c r="BJ123" s="59">
        <f t="shared" si="92"/>
        <v>288.78083487077618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54.850759030023944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54.850759030023944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358.2317232000006</v>
      </c>
      <c r="CA123" s="13">
        <f t="shared" si="93"/>
        <v>83.255208450342735</v>
      </c>
      <c r="CB123" s="20">
        <f t="shared" si="64"/>
        <v>768.92307262434781</v>
      </c>
      <c r="CC123" s="59">
        <f t="shared" si="65"/>
        <v>1051.0312333678244</v>
      </c>
      <c r="CD123" s="59">
        <f ca="1">AVERAGE(OFFSET($CC$3,0,0,'Données projet'!$E$12+1,1))-AVERAGE(OFFSET($H$3,0,0,'Données projet'!$E$12+1,1))</f>
        <v>655.36321433908199</v>
      </c>
      <c r="CE123" s="59">
        <f t="shared" si="94"/>
        <v>300.52980782068698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57.687867255714842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57.687867255714842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282.30289239218808</v>
      </c>
      <c r="S124" s="59">
        <f ca="1">AVERAGE(OFFSET($R$3,0,0,'Données projet'!$E$9+1,1))-AVERAGE(OFFSET($H$3,0,0,'Données projet'!$E$9+1,1))</f>
        <v>297.34058997955685</v>
      </c>
      <c r="T124" s="59">
        <f t="shared" si="88"/>
        <v>440.06633724144069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13.708869582880228</v>
      </c>
      <c r="AA124" s="21">
        <f>EXP(-LN(2)/25)*AA123+(1-EXP(-LN(2)/25))/(LN(2)/25)*Calculateur!V124*Calculateur!X124*VLOOKUP('Données projet'!$B$9,Paramètres!$A$1:$I$89,3,0)*0.475*44/12</f>
        <v>15.132589273800328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28.841458856680553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-6.8212102632969618E-13</v>
      </c>
      <c r="AJ124" s="13">
        <f>AI124*VLOOKUP('Données projet'!$B$10,Paramètres!$A$1:$I$89,3,0)*VLOOKUP('Données projet'!$B$10,Paramètres!$A$1:$I$89,5,0)</f>
        <v>-4.0790837374515837E-13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302.29526572690196</v>
      </c>
      <c r="AO124" s="59">
        <f t="shared" si="90"/>
        <v>234.86746802631617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59.656145272088665</v>
      </c>
      <c r="AV124" s="21">
        <f>EXP(-LN(2)/25)*AV123+(1-EXP(-LN(2)/25))/(LN(2)/25)*Calculateur!AQ124*Calculateur!AS124*VLOOKUP('Données projet'!$B$10,Paramètres!$A$1:$I$89,3,0)*0.475*44/12</f>
        <v>21.235285416053891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80.891430688142549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347.84493120000059</v>
      </c>
      <c r="BF124" s="13">
        <f t="shared" si="91"/>
        <v>81.11860080370937</v>
      </c>
      <c r="BG124" s="20">
        <f t="shared" si="61"/>
        <v>747.11148490646144</v>
      </c>
      <c r="BH124" s="59">
        <f t="shared" si="62"/>
        <v>1029.4143772986458</v>
      </c>
      <c r="BI124" s="59">
        <f ca="1">AVERAGE(OFFSET($BH$3,0,0,'Données projet'!$E$11+1,1))-AVERAGE(OFFSET($H$3,0,0,'Données projet'!$E$11+1,1))</f>
        <v>627.65081154031589</v>
      </c>
      <c r="BJ124" s="59">
        <f t="shared" si="92"/>
        <v>288.78083487077618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53.775169101104709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53.775169101104709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365.83691040000065</v>
      </c>
      <c r="CA124" s="13">
        <f t="shared" si="93"/>
        <v>84.815049153374403</v>
      </c>
      <c r="CB124" s="20">
        <f t="shared" si="64"/>
        <v>784.88549622212815</v>
      </c>
      <c r="CC124" s="59">
        <f t="shared" si="65"/>
        <v>1067.1883886143125</v>
      </c>
      <c r="CD124" s="59">
        <f ca="1">AVERAGE(OFFSET($CC$3,0,0,'Données projet'!$E$12+1,1))-AVERAGE(OFFSET($H$3,0,0,'Données projet'!$E$12+1,1))</f>
        <v>655.36321433908199</v>
      </c>
      <c r="CE124" s="59">
        <f t="shared" si="94"/>
        <v>300.52980782068698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56.556643364954958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56.556643364954958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282.49424588214549</v>
      </c>
      <c r="S125" s="59">
        <f ca="1">AVERAGE(OFFSET($R$3,0,0,'Données projet'!$E$9+1,1))-AVERAGE(OFFSET($H$3,0,0,'Données projet'!$E$9+1,1))</f>
        <v>297.34058997955685</v>
      </c>
      <c r="T125" s="59">
        <f t="shared" si="88"/>
        <v>440.06633724144069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13.440047011944754</v>
      </c>
      <c r="AA125" s="21">
        <f>EXP(-LN(2)/25)*AA124+(1-EXP(-LN(2)/25))/(LN(2)/25)*Calculateur!V125*Calculateur!X125*VLOOKUP('Données projet'!$B$9,Paramètres!$A$1:$I$89,3,0)*0.475*44/12</f>
        <v>14.718787824319973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28.158834836264727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-6.8212102632969618E-13</v>
      </c>
      <c r="AJ125" s="13">
        <f>AI125*VLOOKUP('Données projet'!$B$10,Paramètres!$A$1:$I$89,3,0)*VLOOKUP('Données projet'!$B$10,Paramètres!$A$1:$I$89,5,0)</f>
        <v>-4.0790837374515837E-13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302.29526572690196</v>
      </c>
      <c r="AO125" s="59">
        <f t="shared" si="90"/>
        <v>234.86746802631617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58.486324649958739</v>
      </c>
      <c r="AV125" s="21">
        <f>EXP(-LN(2)/25)*AV124+(1-EXP(-LN(2)/25))/(LN(2)/25)*Calculateur!AQ125*Calculateur!AS125*VLOOKUP('Données projet'!$B$10,Paramètres!$A$1:$I$89,3,0)*0.475*44/12</f>
        <v>20.65460541963677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79.140930069595512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355.07609280000059</v>
      </c>
      <c r="BF125" s="13">
        <f t="shared" si="91"/>
        <v>82.606853937508674</v>
      </c>
      <c r="BG125" s="20">
        <f t="shared" si="61"/>
        <v>762.29779890116197</v>
      </c>
      <c r="BH125" s="59">
        <f t="shared" si="62"/>
        <v>1044.7920447833037</v>
      </c>
      <c r="BI125" s="59">
        <f ca="1">AVERAGE(OFFSET($BH$3,0,0,'Données projet'!$E$11+1,1))-AVERAGE(OFFSET($H$3,0,0,'Données projet'!$E$11+1,1))</f>
        <v>627.65081154031589</v>
      </c>
      <c r="BJ125" s="59">
        <f t="shared" si="92"/>
        <v>288.78083487077618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52.720670834646505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52.720670834646505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373.44209760000064</v>
      </c>
      <c r="CA125" s="13">
        <f t="shared" si="93"/>
        <v>86.371119665503912</v>
      </c>
      <c r="CB125" s="20">
        <f t="shared" si="64"/>
        <v>800.84135340408704</v>
      </c>
      <c r="CC125" s="59">
        <f t="shared" si="65"/>
        <v>1083.3355992862289</v>
      </c>
      <c r="CD125" s="59">
        <f ca="1">AVERAGE(OFFSET($CC$3,0,0,'Données projet'!$E$12+1,1))-AVERAGE(OFFSET($H$3,0,0,'Données projet'!$E$12+1,1))</f>
        <v>655.36321433908199</v>
      </c>
      <c r="CE125" s="59">
        <f t="shared" si="94"/>
        <v>300.52980782068698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55.447602084714433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55.447602084714433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282.68227981685436</v>
      </c>
      <c r="S126" s="59">
        <f ca="1">AVERAGE(OFFSET($R$3,0,0,'Données projet'!$E$9+1,1))-AVERAGE(OFFSET($H$3,0,0,'Données projet'!$E$9+1,1))</f>
        <v>297.34058997955685</v>
      </c>
      <c r="T126" s="59">
        <f t="shared" si="88"/>
        <v>440.06633724144069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13.176495887659748</v>
      </c>
      <c r="AA126" s="21">
        <f>EXP(-LN(2)/25)*AA125+(1-EXP(-LN(2)/25))/(LN(2)/25)*Calculateur!V126*Calculateur!X126*VLOOKUP('Données projet'!$B$9,Paramètres!$A$1:$I$89,3,0)*0.475*44/12</f>
        <v>14.316301797236532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27.492797684896281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-6.8212102632969618E-13</v>
      </c>
      <c r="AJ126" s="13">
        <f>AI126*VLOOKUP('Données projet'!$B$10,Paramètres!$A$1:$I$89,3,0)*VLOOKUP('Données projet'!$B$10,Paramètres!$A$1:$I$89,5,0)</f>
        <v>-4.0790837374515837E-13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302.29526572690196</v>
      </c>
      <c r="AO126" s="59">
        <f t="shared" si="90"/>
        <v>234.86746802631617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57.339443496708654</v>
      </c>
      <c r="AV126" s="21">
        <f>EXP(-LN(2)/25)*AV125+(1-EXP(-LN(2)/25))/(LN(2)/25)*Calculateur!AQ126*Calculateur!AS126*VLOOKUP('Données projet'!$B$10,Paramètres!$A$1:$I$89,3,0)*0.475*44/12</f>
        <v>20.08980414825831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77.429247644966964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362.3072544000006</v>
      </c>
      <c r="BF126" s="13">
        <f t="shared" si="91"/>
        <v>84.09158309070763</v>
      </c>
      <c r="BG126" s="20">
        <f t="shared" si="61"/>
        <v>777.4779752963168</v>
      </c>
      <c r="BH126" s="59">
        <f t="shared" si="62"/>
        <v>1060.1602551131675</v>
      </c>
      <c r="BI126" s="59">
        <f ca="1">AVERAGE(OFFSET($BH$3,0,0,'Données projet'!$E$11+1,1))-AVERAGE(OFFSET($H$3,0,0,'Données projet'!$E$11+1,1))</f>
        <v>627.65081154031589</v>
      </c>
      <c r="BJ126" s="59">
        <f t="shared" si="92"/>
        <v>288.78083487077618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51.686850636013112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51.686850636013112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381.04728480000068</v>
      </c>
      <c r="CA126" s="13">
        <f t="shared" si="93"/>
        <v>87.923505614723254</v>
      </c>
      <c r="CB126" s="20">
        <f t="shared" si="64"/>
        <v>816.79079330564412</v>
      </c>
      <c r="CC126" s="59">
        <f t="shared" si="65"/>
        <v>1099.4730731224947</v>
      </c>
      <c r="CD126" s="59">
        <f ca="1">AVERAGE(OFFSET($CC$3,0,0,'Données projet'!$E$12+1,1))-AVERAGE(OFFSET($H$3,0,0,'Données projet'!$E$12+1,1))</f>
        <v>655.36321433908199</v>
      </c>
      <c r="CE126" s="59">
        <f t="shared" si="94"/>
        <v>300.52980782068698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54.360308427531038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54.360308427531038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282.86705178317703</v>
      </c>
      <c r="S127" s="59">
        <f ca="1">AVERAGE(OFFSET($R$3,0,0,'Données projet'!$E$9+1,1))-AVERAGE(OFFSET($H$3,0,0,'Données projet'!$E$9+1,1))</f>
        <v>297.34058997955685</v>
      </c>
      <c r="T127" s="59">
        <f t="shared" si="88"/>
        <v>440.06633724144069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12.918112840171656</v>
      </c>
      <c r="AA127" s="21">
        <f>EXP(-LN(2)/25)*AA126+(1-EXP(-LN(2)/25))/(LN(2)/25)*Calculateur!V127*Calculateur!X127*VLOOKUP('Données projet'!$B$9,Paramètres!$A$1:$I$89,3,0)*0.475*44/12</f>
        <v>13.924821771729508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26.842934611901164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-6.8212102632969618E-13</v>
      </c>
      <c r="AJ127" s="13">
        <f>AI127*VLOOKUP('Données projet'!$B$10,Paramètres!$A$1:$I$89,3,0)*VLOOKUP('Données projet'!$B$10,Paramètres!$A$1:$I$89,5,0)</f>
        <v>-4.0790837374515837E-13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302.29526572690196</v>
      </c>
      <c r="AO127" s="59">
        <f t="shared" si="90"/>
        <v>234.86746802631617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56.215051983345376</v>
      </c>
      <c r="AV127" s="21">
        <f>EXP(-LN(2)/25)*AV126+(1-EXP(-LN(2)/25))/(LN(2)/25)*Calculateur!AQ127*Calculateur!AS127*VLOOKUP('Données projet'!$B$10,Paramètres!$A$1:$I$89,3,0)*0.475*44/12</f>
        <v>19.5404473973473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75.755499380692669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369.53841600000061</v>
      </c>
      <c r="BF127" s="13">
        <f t="shared" si="91"/>
        <v>85.572866703416025</v>
      </c>
      <c r="BG127" s="20">
        <f t="shared" si="61"/>
        <v>792.65215070845068</v>
      </c>
      <c r="BH127" s="59">
        <f t="shared" si="62"/>
        <v>1075.5192024916241</v>
      </c>
      <c r="BI127" s="59">
        <f ca="1">AVERAGE(OFFSET($BH$3,0,0,'Données projet'!$E$11+1,1))-AVERAGE(OFFSET($H$3,0,0,'Données projet'!$E$11+1,1))</f>
        <v>627.65081154031589</v>
      </c>
      <c r="BJ127" s="59">
        <f t="shared" si="92"/>
        <v>288.78083487077618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64.229154721898368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64.229154721898368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388.65247200000067</v>
      </c>
      <c r="CA127" s="13">
        <f t="shared" si="93"/>
        <v>89.472289015536205</v>
      </c>
      <c r="CB127" s="20">
        <f t="shared" si="64"/>
        <v>832.73395876872667</v>
      </c>
      <c r="CC127" s="59">
        <f t="shared" si="65"/>
        <v>1115.6010105518999</v>
      </c>
      <c r="CD127" s="59">
        <f ca="1">AVERAGE(OFFSET($CC$3,0,0,'Données projet'!$E$12+1,1))-AVERAGE(OFFSET($H$3,0,0,'Données projet'!$E$12+1,1))</f>
        <v>655.36321433908199</v>
      </c>
      <c r="CE127" s="59">
        <f t="shared" si="94"/>
        <v>300.52980782068698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67.551352379927607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67.551352379927607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283.0486183689722</v>
      </c>
      <c r="S128" s="59">
        <f ca="1">AVERAGE(OFFSET($R$3,0,0,'Données projet'!$E$9+1,1))-AVERAGE(OFFSET($H$3,0,0,'Données projet'!$E$9+1,1))</f>
        <v>297.34058997955685</v>
      </c>
      <c r="T128" s="59">
        <f t="shared" si="88"/>
        <v>440.06633724144069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12.664796526646709</v>
      </c>
      <c r="AA128" s="21">
        <f>EXP(-LN(2)/25)*AA127+(1-EXP(-LN(2)/25))/(LN(2)/25)*Calculateur!V128*Calculateur!X128*VLOOKUP('Données projet'!$B$9,Paramètres!$A$1:$I$89,3,0)*0.475*44/12</f>
        <v>13.544046788107014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26.208843314753722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-6.8212102632969618E-13</v>
      </c>
      <c r="AJ128" s="13">
        <f>AI128*VLOOKUP('Données projet'!$B$10,Paramètres!$A$1:$I$89,3,0)*VLOOKUP('Données projet'!$B$10,Paramètres!$A$1:$I$89,5,0)</f>
        <v>-4.0790837374515837E-13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302.29526572690196</v>
      </c>
      <c r="AO128" s="59">
        <f t="shared" si="90"/>
        <v>234.86746802631617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55.112709101748045</v>
      </c>
      <c r="AV128" s="21">
        <f>EXP(-LN(2)/25)*AV127+(1-EXP(-LN(2)/25))/(LN(2)/25)*Calculateur!AQ128*Calculateur!AS128*VLOOKUP('Données projet'!$B$10,Paramètres!$A$1:$I$89,3,0)*0.475*44/12</f>
        <v>19.006112835679371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74.118821937427413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329.31100800000064</v>
      </c>
      <c r="BF128" s="13">
        <f t="shared" si="91"/>
        <v>77.287444180583748</v>
      </c>
      <c r="BG128" s="20">
        <f t="shared" si="61"/>
        <v>708.15897088118447</v>
      </c>
      <c r="BH128" s="59">
        <f t="shared" si="62"/>
        <v>991.20758925015298</v>
      </c>
      <c r="BI128" s="59">
        <f ca="1">AVERAGE(OFFSET($BH$3,0,0,'Données projet'!$E$11+1,1))-AVERAGE(OFFSET($H$3,0,0,'Données projet'!$E$11+1,1))</f>
        <v>627.65081154031589</v>
      </c>
      <c r="BJ128" s="59">
        <f t="shared" si="92"/>
        <v>288.78083487077618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62.969660173718019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62.969660173718019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346.34433600000068</v>
      </c>
      <c r="CA128" s="13">
        <f t="shared" si="93"/>
        <v>80.809312687443921</v>
      </c>
      <c r="CB128" s="20">
        <f t="shared" si="64"/>
        <v>743.95927146396605</v>
      </c>
      <c r="CC128" s="59">
        <f t="shared" si="65"/>
        <v>1027.0078898329346</v>
      </c>
      <c r="CD128" s="59">
        <f ca="1">AVERAGE(OFFSET($CC$3,0,0,'Données projet'!$E$12+1,1))-AVERAGE(OFFSET($H$3,0,0,'Données projet'!$E$12+1,1))</f>
        <v>655.36321433908199</v>
      </c>
      <c r="CE128" s="59">
        <f t="shared" si="94"/>
        <v>300.52980782068698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66.22671156201379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66.22671156201379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283.2270351804259</v>
      </c>
      <c r="S129" s="59">
        <f ca="1">AVERAGE(OFFSET($R$3,0,0,'Données projet'!$E$9+1,1))-AVERAGE(OFFSET($H$3,0,0,'Données projet'!$E$9+1,1))</f>
        <v>297.34058997955685</v>
      </c>
      <c r="T129" s="59">
        <f t="shared" si="88"/>
        <v>440.06633724144069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12.416447591522292</v>
      </c>
      <c r="AA129" s="21">
        <f>EXP(-LN(2)/25)*AA128+(1-EXP(-LN(2)/25))/(LN(2)/25)*Calculateur!V129*Calculateur!X129*VLOOKUP('Données projet'!$B$9,Paramètres!$A$1:$I$89,3,0)*0.475*44/12</f>
        <v>13.173684116435762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25.590131707958054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-6.8212102632969618E-13</v>
      </c>
      <c r="AJ129" s="13">
        <f>AI129*VLOOKUP('Données projet'!$B$10,Paramètres!$A$1:$I$89,3,0)*VLOOKUP('Données projet'!$B$10,Paramètres!$A$1:$I$89,5,0)</f>
        <v>-4.0790837374515837E-13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302.29526572690196</v>
      </c>
      <c r="AO129" s="59">
        <f t="shared" si="90"/>
        <v>234.86746802631617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54.03198249169607</v>
      </c>
      <c r="AV129" s="21">
        <f>EXP(-LN(2)/25)*AV128+(1-EXP(-LN(2)/25))/(LN(2)/25)*Calculateur!AQ129*Calculateur!AS129*VLOOKUP('Données projet'!$B$10,Paramètres!$A$1:$I$89,3,0)*0.475*44/12</f>
        <v>18.486389680699684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72.518372172395758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336.61274400000065</v>
      </c>
      <c r="BF129" s="13">
        <f t="shared" si="91"/>
        <v>78.799710600410648</v>
      </c>
      <c r="BG129" s="20">
        <f t="shared" si="61"/>
        <v>723.51002509571629</v>
      </c>
      <c r="BH129" s="59">
        <f t="shared" si="62"/>
        <v>1006.7370602761384</v>
      </c>
      <c r="BI129" s="59">
        <f ca="1">AVERAGE(OFFSET($BH$3,0,0,'Données projet'!$E$11+1,1))-AVERAGE(OFFSET($H$3,0,0,'Données projet'!$E$11+1,1))</f>
        <v>627.65081154031589</v>
      </c>
      <c r="BJ129" s="59">
        <f t="shared" si="92"/>
        <v>288.78083487077618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61.73486354541167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61.73486354541167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354.02374800000069</v>
      </c>
      <c r="CA129" s="13">
        <f t="shared" si="93"/>
        <v>82.390490733660229</v>
      </c>
      <c r="CB129" s="20">
        <f t="shared" si="64"/>
        <v>760.08813246112607</v>
      </c>
      <c r="CC129" s="59">
        <f t="shared" si="65"/>
        <v>1043.3151676415482</v>
      </c>
      <c r="CD129" s="59">
        <f ca="1">AVERAGE(OFFSET($CC$3,0,0,'Données projet'!$E$12+1,1))-AVERAGE(OFFSET($H$3,0,0,'Données projet'!$E$12+1,1))</f>
        <v>655.36321433908199</v>
      </c>
      <c r="CE129" s="59">
        <f t="shared" si="94"/>
        <v>300.52980782068698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64.928046142588144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64.928046142588144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283.40235685908112</v>
      </c>
      <c r="S130" s="59">
        <f ca="1">AVERAGE(OFFSET($R$3,0,0,'Données projet'!$E$9+1,1))-AVERAGE(OFFSET($H$3,0,0,'Données projet'!$E$9+1,1))</f>
        <v>297.34058997955685</v>
      </c>
      <c r="T130" s="59">
        <f t="shared" si="88"/>
        <v>440.06633724144069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12.172968627537772</v>
      </c>
      <c r="AA130" s="21">
        <f>EXP(-LN(2)/25)*AA129+(1-EXP(-LN(2)/25))/(LN(2)/25)*Calculateur!V130*Calculateur!X130*VLOOKUP('Données projet'!$B$9,Paramètres!$A$1:$I$89,3,0)*0.475*44/12</f>
        <v>12.813449031497887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24.986417659035659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-6.8212102632969618E-13</v>
      </c>
      <c r="AJ130" s="13">
        <f>AI130*VLOOKUP('Données projet'!$B$10,Paramètres!$A$1:$I$89,3,0)*VLOOKUP('Données projet'!$B$10,Paramètres!$A$1:$I$89,5,0)</f>
        <v>-4.0790837374515837E-13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302.29526572690196</v>
      </c>
      <c r="AO130" s="59">
        <f t="shared" si="90"/>
        <v>234.86746802631617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52.972448271289068</v>
      </c>
      <c r="AV130" s="21">
        <f>EXP(-LN(2)/25)*AV129+(1-EXP(-LN(2)/25))/(LN(2)/25)*Calculateur!AQ130*Calculateur!AS130*VLOOKUP('Données projet'!$B$10,Paramètres!$A$1:$I$89,3,0)*0.475*44/12</f>
        <v>17.980878382723969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70.95332665401304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343.91448000000065</v>
      </c>
      <c r="BF130" s="13">
        <f t="shared" si="91"/>
        <v>80.308163160675235</v>
      </c>
      <c r="BG130" s="20">
        <f t="shared" si="61"/>
        <v>738.85443683817709</v>
      </c>
      <c r="BH130" s="59">
        <f t="shared" si="62"/>
        <v>1022.2567936972546</v>
      </c>
      <c r="BI130" s="59">
        <f ca="1">AVERAGE(OFFSET($BH$3,0,0,'Données projet'!$E$11+1,1))-AVERAGE(OFFSET($H$3,0,0,'Données projet'!$E$11+1,1))</f>
        <v>627.65081154031589</v>
      </c>
      <c r="BJ130" s="59">
        <f t="shared" si="92"/>
        <v>288.78083487077618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60.524280525834833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60.524280525834833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361.70316000000065</v>
      </c>
      <c r="CA130" s="13">
        <f t="shared" si="93"/>
        <v>83.967681128671643</v>
      </c>
      <c r="CB130" s="20">
        <f t="shared" si="64"/>
        <v>776.21004829910419</v>
      </c>
      <c r="CC130" s="59">
        <f t="shared" si="65"/>
        <v>1059.6124051581817</v>
      </c>
      <c r="CD130" s="59">
        <f ca="1">AVERAGE(OFFSET($CC$3,0,0,'Données projet'!$E$12+1,1))-AVERAGE(OFFSET($H$3,0,0,'Données projet'!$E$12+1,1))</f>
        <v>655.36321433908199</v>
      </c>
      <c r="CE130" s="59">
        <f t="shared" si="94"/>
        <v>300.52980782068698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63.654846759929747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63.654846759929747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283.57463709857223</v>
      </c>
      <c r="S131" s="59">
        <f ca="1">AVERAGE(OFFSET($R$3,0,0,'Données projet'!$E$9+1,1))-AVERAGE(OFFSET($H$3,0,0,'Données projet'!$E$9+1,1))</f>
        <v>297.34058997955685</v>
      </c>
      <c r="T131" s="59">
        <f t="shared" si="88"/>
        <v>440.06633724144069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11.934264137529484</v>
      </c>
      <c r="AA131" s="21">
        <f>EXP(-LN(2)/25)*AA130+(1-EXP(-LN(2)/25))/(LN(2)/25)*Calculateur!V131*Calculateur!X131*VLOOKUP('Données projet'!$B$9,Paramètres!$A$1:$I$89,3,0)*0.475*44/12</f>
        <v>12.463064593901578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24.39732873143106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-6.8212102632969618E-13</v>
      </c>
      <c r="AJ131" s="13">
        <f>AI131*VLOOKUP('Données projet'!$B$10,Paramètres!$A$1:$I$89,3,0)*VLOOKUP('Données projet'!$B$10,Paramètres!$A$1:$I$89,5,0)</f>
        <v>-4.0790837374515837E-13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302.29526572690196</v>
      </c>
      <c r="AO131" s="59">
        <f t="shared" si="90"/>
        <v>234.86746802631617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51.933690870692189</v>
      </c>
      <c r="AV131" s="21">
        <f>EXP(-LN(2)/25)*AV130+(1-EXP(-LN(2)/25))/(LN(2)/25)*Calculateur!AQ131*Calculateur!AS131*VLOOKUP('Données projet'!$B$10,Paramètres!$A$1:$I$89,3,0)*0.475*44/12</f>
        <v>17.489190317775083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69.422881188467272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351.2162160000006</v>
      </c>
      <c r="BF131" s="13">
        <f t="shared" si="91"/>
        <v>81.812892161752615</v>
      </c>
      <c r="BG131" s="20">
        <f t="shared" si="61"/>
        <v>754.19236338172016</v>
      </c>
      <c r="BH131" s="59">
        <f t="shared" si="62"/>
        <v>1037.7670004802887</v>
      </c>
      <c r="BI131" s="59">
        <f ca="1">AVERAGE(OFFSET($BH$3,0,0,'Données projet'!$E$11+1,1))-AVERAGE(OFFSET($H$3,0,0,'Données projet'!$E$11+1,1))</f>
        <v>627.65081154031589</v>
      </c>
      <c r="BJ131" s="59">
        <f t="shared" si="92"/>
        <v>288.78083487077618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59.337436300889166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59.337436300889166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369.38257200000066</v>
      </c>
      <c r="CA131" s="13">
        <f t="shared" si="93"/>
        <v>85.540978287700739</v>
      </c>
      <c r="CB131" s="20">
        <f t="shared" si="64"/>
        <v>792.32518341774664</v>
      </c>
      <c r="CC131" s="59">
        <f t="shared" si="65"/>
        <v>1075.8998205163152</v>
      </c>
      <c r="CD131" s="59">
        <f ca="1">AVERAGE(OFFSET($CC$3,0,0,'Données projet'!$E$12+1,1))-AVERAGE(OFFSET($H$3,0,0,'Données projet'!$E$12+1,1))</f>
        <v>655.36321433908199</v>
      </c>
      <c r="CE131" s="59">
        <f t="shared" si="94"/>
        <v>300.52980782068698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62.406614040590334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62.406614040590334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283.74392866106905</v>
      </c>
      <c r="S132" s="59">
        <f ca="1">AVERAGE(OFFSET($R$3,0,0,'Données projet'!$E$9+1,1))-AVERAGE(OFFSET($H$3,0,0,'Données projet'!$E$9+1,1))</f>
        <v>297.34058997955685</v>
      </c>
      <c r="T132" s="59">
        <f t="shared" si="88"/>
        <v>440.06633724144069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11.700240496974894</v>
      </c>
      <c r="AA132" s="21">
        <f>EXP(-LN(2)/25)*AA131+(1-EXP(-LN(2)/25))/(LN(2)/25)*Calculateur!V132*Calculateur!X132*VLOOKUP('Données projet'!$B$9,Paramètres!$A$1:$I$89,3,0)*0.475*44/12</f>
        <v>12.122261437177256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23.82250193415215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-6.8212102632969618E-13</v>
      </c>
      <c r="AJ132" s="13">
        <f>AI132*VLOOKUP('Données projet'!$B$10,Paramètres!$A$1:$I$89,3,0)*VLOOKUP('Données projet'!$B$10,Paramètres!$A$1:$I$89,5,0)</f>
        <v>-4.0790837374515837E-13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302.29526572690196</v>
      </c>
      <c r="AO132" s="59">
        <f t="shared" si="90"/>
        <v>234.86746802631617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50.915302869141556</v>
      </c>
      <c r="AV132" s="21">
        <f>EXP(-LN(2)/25)*AV131+(1-EXP(-LN(2)/25))/(LN(2)/25)*Calculateur!AQ132*Calculateur!AS132*VLOOKUP('Données projet'!$B$10,Paramètres!$A$1:$I$89,3,0)*0.475*44/12</f>
        <v>17.010947488818978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67.926250357960527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358.51795200000061</v>
      </c>
      <c r="BF132" s="13">
        <f t="shared" si="91"/>
        <v>83.313983934777241</v>
      </c>
      <c r="BG132" s="20">
        <f t="shared" ref="BG132:BG153" si="115">(BE132+BF132)*0.475*44/12</f>
        <v>769.52395508640473</v>
      </c>
      <c r="BH132" s="59">
        <f t="shared" ref="BH132:BH195" si="116">BG132+(AY132+AZ132)*44/12</f>
        <v>1053.26788374747</v>
      </c>
      <c r="BI132" s="59">
        <f ca="1">AVERAGE(OFFSET($BH$3,0,0,'Données projet'!$E$11+1,1))-AVERAGE(OFFSET($H$3,0,0,'Données projet'!$E$11+1,1))</f>
        <v>627.65081154031589</v>
      </c>
      <c r="BJ132" s="59">
        <f t="shared" si="92"/>
        <v>288.78083487077618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58.173865367291185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58.173865367291185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377.06198400000068</v>
      </c>
      <c r="CA132" s="13">
        <f t="shared" si="93"/>
        <v>87.11047247585725</v>
      </c>
      <c r="CB132" s="20">
        <f t="shared" ref="CB132:CB153" si="118">(BZ132+CA132)*0.475*44/12</f>
        <v>808.43369502878579</v>
      </c>
      <c r="CC132" s="59">
        <f t="shared" ref="CC132:CC195" si="119">CB132+(BT132+BU132)*44/12</f>
        <v>1092.1776236898511</v>
      </c>
      <c r="CD132" s="59">
        <f ca="1">AVERAGE(OFFSET($CC$3,0,0,'Données projet'!$E$12+1,1))-AVERAGE(OFFSET($H$3,0,0,'Données projet'!$E$12+1,1))</f>
        <v>655.36321433908199</v>
      </c>
      <c r="CE132" s="59">
        <f t="shared" si="94"/>
        <v>300.52980782068698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61.182858403530389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61.182858403530389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283.9102833934358</v>
      </c>
      <c r="S133" s="59">
        <f ca="1">AVERAGE(OFFSET($R$3,0,0,'Données projet'!$E$9+1,1))-AVERAGE(OFFSET($H$3,0,0,'Données projet'!$E$9+1,1))</f>
        <v>297.34058997955685</v>
      </c>
      <c r="T133" s="59">
        <f t="shared" ref="T133:T196" si="142">$T$3</f>
        <v>440.06633724144069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11.470805917271255</v>
      </c>
      <c r="AA133" s="21">
        <f>EXP(-LN(2)/25)*AA132+(1-EXP(-LN(2)/25))/(LN(2)/25)*Calculateur!V133*Calculateur!X133*VLOOKUP('Données projet'!$B$9,Paramètres!$A$1:$I$89,3,0)*0.475*44/12</f>
        <v>11.79077756069562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23.261583477966873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-6.8212102632969618E-13</v>
      </c>
      <c r="AJ133" s="13">
        <f>AI133*VLOOKUP('Données projet'!$B$10,Paramètres!$A$1:$I$89,3,0)*VLOOKUP('Données projet'!$B$10,Paramètres!$A$1:$I$89,5,0)</f>
        <v>-4.0790837374515837E-13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302.29526572690196</v>
      </c>
      <c r="AO133" s="59">
        <f t="shared" ref="AO133:AO196" si="144">$AO$3</f>
        <v>234.86746802631617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49.916884835145986</v>
      </c>
      <c r="AV133" s="21">
        <f>EXP(-LN(2)/25)*AV132+(1-EXP(-LN(2)/25))/(LN(2)/25)*Calculateur!AQ133*Calculateur!AS133*VLOOKUP('Données projet'!$B$10,Paramètres!$A$1:$I$89,3,0)*0.475*44/12</f>
        <v>16.545782235170375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66.462667070316357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365.81968800000061</v>
      </c>
      <c r="BF133" s="13">
        <f t="shared" ref="BF133:BF153" si="145">EXP(-1.0587+0.8836*LN(BE133)+0.284)</f>
        <v>84.811521093342051</v>
      </c>
      <c r="BG133" s="20">
        <f t="shared" si="115"/>
        <v>784.84935583757169</v>
      </c>
      <c r="BH133" s="59">
        <f t="shared" si="116"/>
        <v>1068.7596392310038</v>
      </c>
      <c r="BI133" s="59">
        <f ca="1">AVERAGE(OFFSET($BH$3,0,0,'Données projet'!$E$11+1,1))-AVERAGE(OFFSET($H$3,0,0,'Données projet'!$E$11+1,1))</f>
        <v>627.65081154031589</v>
      </c>
      <c r="BJ133" s="59">
        <f t="shared" ref="BJ133:BJ196" si="146">$BJ$3</f>
        <v>288.78083487077618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57.033111349992865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57.033111349992865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384.74139600000069</v>
      </c>
      <c r="CA133" s="13">
        <f t="shared" ref="CA133:CA153" si="147">EXP(-1.0587+0.8836*LN(BZ133)+0.284)</f>
        <v>88.676250071306981</v>
      </c>
      <c r="CB133" s="20">
        <f t="shared" si="118"/>
        <v>824.53573357419418</v>
      </c>
      <c r="CC133" s="59">
        <f t="shared" si="119"/>
        <v>1108.4460169676263</v>
      </c>
      <c r="CD133" s="59">
        <f ca="1">AVERAGE(OFFSET($CC$3,0,0,'Données projet'!$E$12+1,1))-AVERAGE(OFFSET($H$3,0,0,'Données projet'!$E$12+1,1))</f>
        <v>655.36321433908199</v>
      </c>
      <c r="CE133" s="59">
        <f t="shared" ref="CE133:CE196" si="148">$CE$3</f>
        <v>300.52980782068698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59.983099868095955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59.983099868095955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284.07375224310942</v>
      </c>
      <c r="S134" s="59">
        <f ca="1">AVERAGE(OFFSET($R$3,0,0,'Données projet'!$E$9+1,1))-AVERAGE(OFFSET($H$3,0,0,'Données projet'!$E$9+1,1))</f>
        <v>297.34058997955685</v>
      </c>
      <c r="T134" s="59">
        <f t="shared" si="142"/>
        <v>440.06633724144069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11.245870409734328</v>
      </c>
      <c r="AA134" s="21">
        <f>EXP(-LN(2)/25)*AA133+(1-EXP(-LN(2)/25))/(LN(2)/25)*Calculateur!V134*Calculateur!X134*VLOOKUP('Données projet'!$B$9,Paramètres!$A$1:$I$89,3,0)*0.475*44/12</f>
        <v>11.468358128248354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22.714228537982684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-6.8212102632969618E-13</v>
      </c>
      <c r="AJ134" s="13">
        <f>AI134*VLOOKUP('Données projet'!$B$10,Paramètres!$A$1:$I$89,3,0)*VLOOKUP('Données projet'!$B$10,Paramètres!$A$1:$I$89,5,0)</f>
        <v>-4.0790837374515837E-13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302.29526572690196</v>
      </c>
      <c r="AO134" s="59">
        <f t="shared" si="144"/>
        <v>234.86746802631617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48.938045169822203</v>
      </c>
      <c r="AV134" s="21">
        <f>EXP(-LN(2)/25)*AV133+(1-EXP(-LN(2)/25))/(LN(2)/25)*Calculateur!AQ134*Calculateur!AS134*VLOOKUP('Données projet'!$B$10,Paramètres!$A$1:$I$89,3,0)*0.475*44/12</f>
        <v>16.093336949844769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65.031382119666972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373.12142400000062</v>
      </c>
      <c r="BF134" s="13">
        <f t="shared" si="145"/>
        <v>86.305582764533938</v>
      </c>
      <c r="BG134" s="20">
        <f t="shared" si="115"/>
        <v>800.16870344823099</v>
      </c>
      <c r="BH134" s="59">
        <f t="shared" si="116"/>
        <v>1084.2424556913368</v>
      </c>
      <c r="BI134" s="59">
        <f ca="1">AVERAGE(OFFSET($BH$3,0,0,'Données projet'!$E$11+1,1))-AVERAGE(OFFSET($H$3,0,0,'Données projet'!$E$11+1,1))</f>
        <v>627.65081154031589</v>
      </c>
      <c r="BJ134" s="59">
        <f t="shared" si="146"/>
        <v>288.78083487077618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55.914726823182519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55.914726823182519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392.42080800000065</v>
      </c>
      <c r="CA134" s="13">
        <f t="shared" si="147"/>
        <v>90.238393806835077</v>
      </c>
      <c r="CB134" s="20">
        <f t="shared" si="118"/>
        <v>840.63144314690555</v>
      </c>
      <c r="CC134" s="59">
        <f t="shared" si="119"/>
        <v>1124.7051953900113</v>
      </c>
      <c r="CD134" s="59">
        <f ca="1">AVERAGE(OFFSET($CC$3,0,0,'Données projet'!$E$12+1,1))-AVERAGE(OFFSET($H$3,0,0,'Données projet'!$E$12+1,1))</f>
        <v>655.36321433908199</v>
      </c>
      <c r="CE134" s="59">
        <f t="shared" si="148"/>
        <v>300.52980782068698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58.806867865760935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58.806867865760935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284.23438527370286</v>
      </c>
      <c r="S135" s="59">
        <f ca="1">AVERAGE(OFFSET($R$3,0,0,'Données projet'!$E$9+1,1))-AVERAGE(OFFSET($H$3,0,0,'Données projet'!$E$9+1,1))</f>
        <v>297.34058997955685</v>
      </c>
      <c r="T135" s="59">
        <f t="shared" si="142"/>
        <v>440.06633724144069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11.025345750303089</v>
      </c>
      <c r="AA135" s="21">
        <f>EXP(-LN(2)/25)*AA134+(1-EXP(-LN(2)/25))/(LN(2)/25)*Calculateur!V135*Calculateur!X135*VLOOKUP('Données projet'!$B$9,Paramètres!$A$1:$I$89,3,0)*0.475*44/12</f>
        <v>11.15475527213666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22.18010102243975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-6.8212102632969618E-13</v>
      </c>
      <c r="AJ135" s="13">
        <f>AI135*VLOOKUP('Données projet'!$B$10,Paramètres!$A$1:$I$89,3,0)*VLOOKUP('Données projet'!$B$10,Paramètres!$A$1:$I$89,5,0)</f>
        <v>-4.0790837374515837E-13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302.29526572690196</v>
      </c>
      <c r="AO135" s="59">
        <f t="shared" si="144"/>
        <v>234.86746802631617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47.978399953302173</v>
      </c>
      <c r="AV135" s="21">
        <f>EXP(-LN(2)/25)*AV134+(1-EXP(-LN(2)/25))/(LN(2)/25)*Calculateur!AQ135*Calculateur!AS135*VLOOKUP('Données projet'!$B$10,Paramètres!$A$1:$I$89,3,0)*0.475*44/12</f>
        <v>15.653263804639455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63.631663757941624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380.42316000000056</v>
      </c>
      <c r="BF135" s="13">
        <f t="shared" si="145"/>
        <v>87.79624480137376</v>
      </c>
      <c r="BG135" s="20">
        <f t="shared" si="115"/>
        <v>815.48213002906016</v>
      </c>
      <c r="BH135" s="59">
        <f t="shared" si="116"/>
        <v>1099.7165153027593</v>
      </c>
      <c r="BI135" s="59">
        <f ca="1">AVERAGE(OFFSET($BH$3,0,0,'Données projet'!$E$11+1,1))-AVERAGE(OFFSET($H$3,0,0,'Données projet'!$E$11+1,1))</f>
        <v>627.65081154031589</v>
      </c>
      <c r="BJ135" s="59">
        <f t="shared" si="146"/>
        <v>288.78083487077618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54.818273134795724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54.818273134795724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400.1002200000006</v>
      </c>
      <c r="CA135" s="13">
        <f t="shared" si="147"/>
        <v>91.796982991966303</v>
      </c>
      <c r="CB135" s="20">
        <f t="shared" si="118"/>
        <v>856.72096187767556</v>
      </c>
      <c r="CC135" s="59">
        <f t="shared" si="119"/>
        <v>1140.9553471513748</v>
      </c>
      <c r="CD135" s="59">
        <f ca="1">AVERAGE(OFFSET($CC$3,0,0,'Données projet'!$E$12+1,1))-AVERAGE(OFFSET($H$3,0,0,'Données projet'!$E$12+1,1))</f>
        <v>655.36321433908199</v>
      </c>
      <c r="CE135" s="59">
        <f t="shared" si="148"/>
        <v>300.52980782068698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57.653701055561029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57.653701055561029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284.39223168033709</v>
      </c>
      <c r="S136" s="59">
        <f ca="1">AVERAGE(OFFSET($R$3,0,0,'Données projet'!$E$9+1,1))-AVERAGE(OFFSET($H$3,0,0,'Données projet'!$E$9+1,1))</f>
        <v>297.34058997955685</v>
      </c>
      <c r="T136" s="59">
        <f t="shared" si="142"/>
        <v>440.06633724144069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10.809145444936535</v>
      </c>
      <c r="AA136" s="21">
        <f>EXP(-LN(2)/25)*AA135+(1-EXP(-LN(2)/25))/(LN(2)/25)*Calculateur!V136*Calculateur!X136*VLOOKUP('Données projet'!$B$9,Paramètres!$A$1:$I$89,3,0)*0.475*44/12</f>
        <v>10.849727902616998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21.658873347553531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-6.8212102632969618E-13</v>
      </c>
      <c r="AJ136" s="13">
        <f>AI136*VLOOKUP('Données projet'!$B$10,Paramètres!$A$1:$I$89,3,0)*VLOOKUP('Données projet'!$B$10,Paramètres!$A$1:$I$89,5,0)</f>
        <v>-4.0790837374515837E-13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302.29526572690196</v>
      </c>
      <c r="AO136" s="59">
        <f t="shared" si="144"/>
        <v>234.86746802631617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47.037572794152318</v>
      </c>
      <c r="AV136" s="21">
        <f>EXP(-LN(2)/25)*AV135+(1-EXP(-LN(2)/25))/(LN(2)/25)*Calculateur!AQ136*Calculateur!AS136*VLOOKUP('Données projet'!$B$10,Paramètres!$A$1:$I$89,3,0)*0.475*44/12</f>
        <v>15.225224482732221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62.262797276884541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387.72489600000057</v>
      </c>
      <c r="BF136" s="13">
        <f t="shared" si="145"/>
        <v>89.283579978484866</v>
      </c>
      <c r="BG136" s="20">
        <f t="shared" si="115"/>
        <v>830.78976232919547</v>
      </c>
      <c r="BH136" s="59">
        <f t="shared" si="116"/>
        <v>1115.1819940095288</v>
      </c>
      <c r="BI136" s="59">
        <f ca="1">AVERAGE(OFFSET($BH$3,0,0,'Données projet'!$E$11+1,1))-AVERAGE(OFFSET($H$3,0,0,'Données projet'!$E$11+1,1))</f>
        <v>627.65081154031589</v>
      </c>
      <c r="BJ136" s="59">
        <f t="shared" si="146"/>
        <v>288.78083487077618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53.743320234467475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53.743320234467475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407.77963200000062</v>
      </c>
      <c r="CA136" s="13">
        <f t="shared" si="147"/>
        <v>93.352093717550304</v>
      </c>
      <c r="CB136" s="20">
        <f t="shared" si="118"/>
        <v>872.80442229140101</v>
      </c>
      <c r="CC136" s="59">
        <f t="shared" si="119"/>
        <v>1157.1966539717343</v>
      </c>
      <c r="CD136" s="59">
        <f ca="1">AVERAGE(OFFSET($CC$3,0,0,'Données projet'!$E$12+1,1))-AVERAGE(OFFSET($H$3,0,0,'Données projet'!$E$12+1,1))</f>
        <v>655.36321433908199</v>
      </c>
      <c r="CE136" s="59">
        <f t="shared" si="148"/>
        <v>300.52980782068698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56.523147143146836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56.523147143146836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284.54733980470797</v>
      </c>
      <c r="S137" s="59">
        <f ca="1">AVERAGE(OFFSET($R$3,0,0,'Données projet'!$E$9+1,1))-AVERAGE(OFFSET($H$3,0,0,'Données projet'!$E$9+1,1))</f>
        <v>297.34058997955685</v>
      </c>
      <c r="T137" s="59">
        <f t="shared" si="142"/>
        <v>440.06633724144069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10.597184695689053</v>
      </c>
      <c r="AA137" s="21">
        <f>EXP(-LN(2)/25)*AA136+(1-EXP(-LN(2)/25))/(LN(2)/25)*Calculateur!V137*Calculateur!X137*VLOOKUP('Données projet'!$B$9,Paramètres!$A$1:$I$89,3,0)*0.475*44/12</f>
        <v>10.553041522557542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21.150226218246594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-6.8212102632969618E-13</v>
      </c>
      <c r="AJ137" s="13">
        <f>AI137*VLOOKUP('Données projet'!$B$10,Paramètres!$A$1:$I$89,3,0)*VLOOKUP('Données projet'!$B$10,Paramètres!$A$1:$I$89,5,0)</f>
        <v>-4.0790837374515837E-13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302.29526572690196</v>
      </c>
      <c r="AO137" s="59">
        <f t="shared" si="144"/>
        <v>234.86746802631617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46.115194681745486</v>
      </c>
      <c r="AV137" s="21">
        <f>EXP(-LN(2)/25)*AV136+(1-EXP(-LN(2)/25))/(LN(2)/25)*Calculateur!AQ137*Calculateur!AS137*VLOOKUP('Données projet'!$B$10,Paramètres!$A$1:$I$89,3,0)*0.475*44/12</f>
        <v>14.808889918592151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60.924084600337636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395.02663200000057</v>
      </c>
      <c r="BF137" s="13">
        <f t="shared" si="145"/>
        <v>90.767658172605465</v>
      </c>
      <c r="BG137" s="20">
        <f t="shared" si="115"/>
        <v>846.09172205062214</v>
      </c>
      <c r="BH137" s="59">
        <f t="shared" si="116"/>
        <v>1130.6390618553264</v>
      </c>
      <c r="BI137" s="59">
        <f ca="1">AVERAGE(OFFSET($BH$3,0,0,'Données projet'!$E$11+1,1))-AVERAGE(OFFSET($H$3,0,0,'Données projet'!$E$11+1,1))</f>
        <v>627.65081154031589</v>
      </c>
      <c r="BJ137" s="59">
        <f t="shared" si="146"/>
        <v>288.78083487077618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66.869801558531918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66.869801558531918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415.45904400000069</v>
      </c>
      <c r="CA137" s="13">
        <f t="shared" si="147"/>
        <v>94.903799044499678</v>
      </c>
      <c r="CB137" s="20">
        <f t="shared" si="118"/>
        <v>888.88195163583805</v>
      </c>
      <c r="CC137" s="59">
        <f t="shared" si="119"/>
        <v>1173.4292914405423</v>
      </c>
      <c r="CD137" s="59">
        <f ca="1">AVERAGE(OFFSET($CC$3,0,0,'Données projet'!$E$12+1,1))-AVERAGE(OFFSET($H$3,0,0,'Données projet'!$E$12+1,1))</f>
        <v>655.36321433908199</v>
      </c>
      <c r="CE137" s="59">
        <f t="shared" si="148"/>
        <v>300.52980782068698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70.328584397766335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70.328584397766335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284.69975714989084</v>
      </c>
      <c r="S138" s="59">
        <f ca="1">AVERAGE(OFFSET($R$3,0,0,'Données projet'!$E$9+1,1))-AVERAGE(OFFSET($H$3,0,0,'Données projet'!$E$9+1,1))</f>
        <v>297.34058997955685</v>
      </c>
      <c r="T138" s="59">
        <f t="shared" si="142"/>
        <v>440.06633724144069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10.389380367451023</v>
      </c>
      <c r="AA138" s="21">
        <f>EXP(-LN(2)/25)*AA137+(1-EXP(-LN(2)/25))/(LN(2)/25)*Calculateur!V138*Calculateur!X138*VLOOKUP('Données projet'!$B$9,Paramètres!$A$1:$I$89,3,0)*0.475*44/12</f>
        <v>10.264468047162872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20.653848414613897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-6.8212102632969618E-13</v>
      </c>
      <c r="AJ138" s="13">
        <f>AI138*VLOOKUP('Données projet'!$B$10,Paramètres!$A$1:$I$89,3,0)*VLOOKUP('Données projet'!$B$10,Paramètres!$A$1:$I$89,5,0)</f>
        <v>-4.0790837374515837E-13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302.29526572690196</v>
      </c>
      <c r="AO138" s="59">
        <f t="shared" si="144"/>
        <v>234.86746802631617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45.210903841527852</v>
      </c>
      <c r="AV138" s="21">
        <f>EXP(-LN(2)/25)*AV137+(1-EXP(-LN(2)/25))/(LN(2)/25)*Calculateur!AQ138*Calculateur!AS138*VLOOKUP('Données projet'!$B$10,Paramètres!$A$1:$I$89,3,0)*0.475*44/12</f>
        <v>14.403940045002573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59.614843886530423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352.69013520000055</v>
      </c>
      <c r="BF138" s="13">
        <f t="shared" si="145"/>
        <v>82.116190931394016</v>
      </c>
      <c r="BG138" s="20">
        <f t="shared" si="115"/>
        <v>757.28768467884549</v>
      </c>
      <c r="BH138" s="59">
        <f t="shared" si="116"/>
        <v>1041.9874418287327</v>
      </c>
      <c r="BI138" s="59">
        <f ca="1">AVERAGE(OFFSET($BH$3,0,0,'Données projet'!$E$11+1,1))-AVERAGE(OFFSET($H$3,0,0,'Données projet'!$E$11+1,1))</f>
        <v>627.65081154031589</v>
      </c>
      <c r="BJ138" s="59">
        <f t="shared" si="146"/>
        <v>288.78083487077618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65.558525536520719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65.558525536520719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370.93272840000066</v>
      </c>
      <c r="CA138" s="13">
        <f t="shared" si="147"/>
        <v>85.858097910086002</v>
      </c>
      <c r="CB138" s="20">
        <f t="shared" si="118"/>
        <v>795.57735582340092</v>
      </c>
      <c r="CC138" s="59">
        <f t="shared" si="119"/>
        <v>1080.277112973288</v>
      </c>
      <c r="CD138" s="59">
        <f ca="1">AVERAGE(OFFSET($CC$3,0,0,'Données projet'!$E$12+1,1))-AVERAGE(OFFSET($H$3,0,0,'Données projet'!$E$12+1,1))</f>
        <v>655.36321433908199</v>
      </c>
      <c r="CE138" s="59">
        <f t="shared" si="148"/>
        <v>300.52980782068698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68.94948375392697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68.94948375392697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284.84953039488892</v>
      </c>
      <c r="S139" s="59">
        <f ca="1">AVERAGE(OFFSET($R$3,0,0,'Données projet'!$E$9+1,1))-AVERAGE(OFFSET($H$3,0,0,'Données projet'!$E$9+1,1))</f>
        <v>297.34058997955685</v>
      </c>
      <c r="T139" s="59">
        <f t="shared" si="142"/>
        <v>440.06633724144069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10.185650955341616</v>
      </c>
      <c r="AA139" s="21">
        <f>EXP(-LN(2)/25)*AA138+(1-EXP(-LN(2)/25))/(LN(2)/25)*Calculateur!V139*Calculateur!X139*VLOOKUP('Données projet'!$B$9,Paramètres!$A$1:$I$89,3,0)*0.475*44/12</f>
        <v>9.9837856286282882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20.169436583969905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-6.8212102632969618E-13</v>
      </c>
      <c r="AJ139" s="13">
        <f>AI139*VLOOKUP('Données projet'!$B$10,Paramètres!$A$1:$I$89,3,0)*VLOOKUP('Données projet'!$B$10,Paramètres!$A$1:$I$89,5,0)</f>
        <v>-4.0790837374515837E-13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302.29526572690196</v>
      </c>
      <c r="AO139" s="59">
        <f t="shared" si="144"/>
        <v>234.86746802631617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44.324345593123937</v>
      </c>
      <c r="AV139" s="21">
        <f>EXP(-LN(2)/25)*AV138+(1-EXP(-LN(2)/25))/(LN(2)/25)*Calculateur!AQ139*Calculateur!AS139*VLOOKUP('Données projet'!$B$10,Paramètres!$A$1:$I$89,3,0)*0.475*44/12</f>
        <v>14.010063547001691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58.334409140125629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360.07239840000057</v>
      </c>
      <c r="BF139" s="13">
        <f t="shared" si="145"/>
        <v>83.633085567444908</v>
      </c>
      <c r="BG139" s="20">
        <f t="shared" si="115"/>
        <v>772.78705124330099</v>
      </c>
      <c r="BH139" s="59">
        <f t="shared" si="116"/>
        <v>1057.6365816381863</v>
      </c>
      <c r="BI139" s="59">
        <f ca="1">AVERAGE(OFFSET($BH$3,0,0,'Données projet'!$E$11+1,1))-AVERAGE(OFFSET($H$3,0,0,'Données projet'!$E$11+1,1))</f>
        <v>627.65081154031589</v>
      </c>
      <c r="BJ139" s="59">
        <f t="shared" si="146"/>
        <v>288.78083487077618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64.272962837501765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64.272962837501765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378.69683280000061</v>
      </c>
      <c r="CA139" s="13">
        <f t="shared" si="147"/>
        <v>87.444115073134299</v>
      </c>
      <c r="CB139" s="20">
        <f t="shared" si="118"/>
        <v>811.86215087904327</v>
      </c>
      <c r="CC139" s="59">
        <f t="shared" si="119"/>
        <v>1096.7116812739284</v>
      </c>
      <c r="CD139" s="59">
        <f ca="1">AVERAGE(OFFSET($CC$3,0,0,'Données projet'!$E$12+1,1))-AVERAGE(OFFSET($H$3,0,0,'Données projet'!$E$12+1,1))</f>
        <v>655.36321433908199</v>
      </c>
      <c r="CE139" s="59">
        <f t="shared" si="148"/>
        <v>300.52980782068698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67.597426432544964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67.597426432544964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284.99670540892907</v>
      </c>
      <c r="S140" s="59">
        <f ca="1">AVERAGE(OFFSET($R$3,0,0,'Données projet'!$E$9+1,1))-AVERAGE(OFFSET($H$3,0,0,'Données projet'!$E$9+1,1))</f>
        <v>297.34058997955685</v>
      </c>
      <c r="T140" s="59">
        <f t="shared" si="142"/>
        <v>440.06633724144069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9.9859165527410028</v>
      </c>
      <c r="AA140" s="21">
        <f>EXP(-LN(2)/25)*AA139+(1-EXP(-LN(2)/25))/(LN(2)/25)*Calculateur!V140*Calculateur!X140*VLOOKUP('Données projet'!$B$9,Paramètres!$A$1:$I$89,3,0)*0.475*44/12</f>
        <v>9.71077848558898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19.696695038329985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-6.8212102632969618E-13</v>
      </c>
      <c r="AJ140" s="13">
        <f>AI140*VLOOKUP('Données projet'!$B$10,Paramètres!$A$1:$I$89,3,0)*VLOOKUP('Données projet'!$B$10,Paramètres!$A$1:$I$89,5,0)</f>
        <v>-4.0790837374515837E-13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302.29526572690196</v>
      </c>
      <c r="AO140" s="59">
        <f t="shared" si="144"/>
        <v>234.86746802631617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43.455172211224088</v>
      </c>
      <c r="AV140" s="21">
        <f>EXP(-LN(2)/25)*AV139+(1-EXP(-LN(2)/25))/(LN(2)/25)*Calculateur!AQ140*Calculateur!AS140*VLOOKUP('Données projet'!$B$10,Paramètres!$A$1:$I$89,3,0)*0.475*44/12</f>
        <v>13.626957622551709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57.082129833775795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367.45466160000058</v>
      </c>
      <c r="BF140" s="13">
        <f t="shared" si="145"/>
        <v>85.146364255773364</v>
      </c>
      <c r="BG140" s="20">
        <f t="shared" si="115"/>
        <v>788.28012003213962</v>
      </c>
      <c r="BH140" s="59">
        <f t="shared" si="116"/>
        <v>1073.2768254410651</v>
      </c>
      <c r="BI140" s="59">
        <f ca="1">AVERAGE(OFFSET($BH$3,0,0,'Données projet'!$E$11+1,1))-AVERAGE(OFFSET($H$3,0,0,'Données projet'!$E$11+1,1))</f>
        <v>627.65081154031589</v>
      </c>
      <c r="BJ140" s="59">
        <f t="shared" si="146"/>
        <v>288.78083487077618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63.012609238894747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63.012609238894747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386.46093720000061</v>
      </c>
      <c r="CA140" s="13">
        <f t="shared" si="147"/>
        <v>89.02635151535199</v>
      </c>
      <c r="CB140" s="20">
        <f t="shared" si="118"/>
        <v>828.14036117923899</v>
      </c>
      <c r="CC140" s="59">
        <f t="shared" si="119"/>
        <v>1113.1370665881643</v>
      </c>
      <c r="CD140" s="59">
        <f ca="1">AVERAGE(OFFSET($CC$3,0,0,'Données projet'!$E$12+1,1))-AVERAGE(OFFSET($H$3,0,0,'Données projet'!$E$12+1,1))</f>
        <v>655.36321433908199</v>
      </c>
      <c r="CE140" s="59">
        <f t="shared" si="148"/>
        <v>300.52980782068698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66.271882130561721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66.271882130561721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285.14132726550963</v>
      </c>
      <c r="S141" s="59">
        <f ca="1">AVERAGE(OFFSET($R$3,0,0,'Données projet'!$E$9+1,1))-AVERAGE(OFFSET($H$3,0,0,'Données projet'!$E$9+1,1))</f>
        <v>297.34058997955685</v>
      </c>
      <c r="T141" s="59">
        <f t="shared" si="142"/>
        <v>440.06633724144069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9.7900988199494314</v>
      </c>
      <c r="AA141" s="21">
        <f>EXP(-LN(2)/25)*AA140+(1-EXP(-LN(2)/25))/(LN(2)/25)*Calculateur!V141*Calculateur!X141*VLOOKUP('Données projet'!$B$9,Paramètres!$A$1:$I$89,3,0)*0.475*44/12</f>
        <v>9.4452367372329036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19.235335557182335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-6.8212102632969618E-13</v>
      </c>
      <c r="AJ141" s="13">
        <f>AI141*VLOOKUP('Données projet'!$B$10,Paramètres!$A$1:$I$89,3,0)*VLOOKUP('Données projet'!$B$10,Paramètres!$A$1:$I$89,5,0)</f>
        <v>-4.0790837374515837E-13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302.29526572690196</v>
      </c>
      <c r="AO141" s="59">
        <f t="shared" si="144"/>
        <v>234.86746802631617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42.603042789199876</v>
      </c>
      <c r="AV141" s="21">
        <f>EXP(-LN(2)/25)*AV140+(1-EXP(-LN(2)/25))/(LN(2)/25)*Calculateur!AQ141*Calculateur!AS141*VLOOKUP('Données projet'!$B$10,Paramètres!$A$1:$I$89,3,0)*0.475*44/12</f>
        <v>13.254327749752475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55.857370538952352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374.83692480000053</v>
      </c>
      <c r="BF141" s="13">
        <f t="shared" si="145"/>
        <v>86.656108013910185</v>
      </c>
      <c r="BG141" s="20">
        <f t="shared" si="115"/>
        <v>803.76703215089447</v>
      </c>
      <c r="BH141" s="59">
        <f t="shared" si="116"/>
        <v>1088.9083594164003</v>
      </c>
      <c r="BI141" s="59">
        <f ca="1">AVERAGE(OFFSET($BH$3,0,0,'Données projet'!$E$11+1,1))-AVERAGE(OFFSET($H$3,0,0,'Données projet'!$E$11+1,1))</f>
        <v>627.65081154031589</v>
      </c>
      <c r="BJ141" s="59">
        <f t="shared" si="146"/>
        <v>288.78083487077618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61.776970405616623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61.776970405616623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394.22504160000057</v>
      </c>
      <c r="CA141" s="13">
        <f t="shared" si="147"/>
        <v>90.604891946112389</v>
      </c>
      <c r="CB141" s="20">
        <f t="shared" si="118"/>
        <v>844.41213425948001</v>
      </c>
      <c r="CC141" s="59">
        <f t="shared" si="119"/>
        <v>1129.553461524986</v>
      </c>
      <c r="CD141" s="59">
        <f ca="1">AVERAGE(OFFSET($CC$3,0,0,'Données projet'!$E$12+1,1))-AVERAGE(OFFSET($H$3,0,0,'Données projet'!$E$12+1,1))</f>
        <v>655.36321433908199</v>
      </c>
      <c r="CE141" s="59">
        <f t="shared" si="148"/>
        <v>300.52980782068698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64.972330943838173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64.972330943838173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285.28344025620459</v>
      </c>
      <c r="S142" s="59">
        <f ca="1">AVERAGE(OFFSET($R$3,0,0,'Données projet'!$E$9+1,1))-AVERAGE(OFFSET($H$3,0,0,'Données projet'!$E$9+1,1))</f>
        <v>297.34058997955685</v>
      </c>
      <c r="T142" s="59">
        <f t="shared" si="142"/>
        <v>440.06633724144069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9.5981209534608798</v>
      </c>
      <c r="AA142" s="21">
        <f>EXP(-LN(2)/25)*AA141+(1-EXP(-LN(2)/25))/(LN(2)/25)*Calculateur!V142*Calculateur!X142*VLOOKUP('Données projet'!$B$9,Paramètres!$A$1:$I$89,3,0)*0.475*44/12</f>
        <v>9.1869562419498578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18.785077195410736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-6.8212102632969618E-13</v>
      </c>
      <c r="AJ142" s="13">
        <f>AI142*VLOOKUP('Données projet'!$B$10,Paramètres!$A$1:$I$89,3,0)*VLOOKUP('Données projet'!$B$10,Paramètres!$A$1:$I$89,5,0)</f>
        <v>-4.0790837374515837E-13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302.29526572690196</v>
      </c>
      <c r="AO142" s="59">
        <f t="shared" si="144"/>
        <v>234.86746802631617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41.76762310539393</v>
      </c>
      <c r="AV142" s="21">
        <f>EXP(-LN(2)/25)*AV141+(1-EXP(-LN(2)/25))/(LN(2)/25)*Calculateur!AQ142*Calculateur!AS142*VLOOKUP('Données projet'!$B$10,Paramètres!$A$1:$I$89,3,0)*0.475*44/12</f>
        <v>12.891887460420691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54.659510565814621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382.21918800000054</v>
      </c>
      <c r="BF142" s="13">
        <f t="shared" si="145"/>
        <v>88.162394485655341</v>
      </c>
      <c r="BG142" s="20">
        <f t="shared" si="115"/>
        <v>819.24792282918395</v>
      </c>
      <c r="BH142" s="59">
        <f t="shared" si="116"/>
        <v>1104.5313630853848</v>
      </c>
      <c r="BI142" s="59">
        <f ca="1">AVERAGE(OFFSET($BH$3,0,0,'Données projet'!$E$11+1,1))-AVERAGE(OFFSET($H$3,0,0,'Données projet'!$E$11+1,1))</f>
        <v>627.65081154031589</v>
      </c>
      <c r="BJ142" s="59">
        <f t="shared" si="146"/>
        <v>288.78083487077618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60.565561696193818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60.565561696193818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401.98914600000057</v>
      </c>
      <c r="CA142" s="13">
        <f t="shared" si="147"/>
        <v>92.17981754732287</v>
      </c>
      <c r="CB142" s="20">
        <f t="shared" si="118"/>
        <v>860.67761151158822</v>
      </c>
      <c r="CC142" s="59">
        <f t="shared" si="119"/>
        <v>1145.9610517677891</v>
      </c>
      <c r="CD142" s="59">
        <f ca="1">AVERAGE(OFFSET($CC$3,0,0,'Données projet'!$E$12+1,1))-AVERAGE(OFFSET($H$3,0,0,'Données projet'!$E$12+1,1))</f>
        <v>655.36321433908199</v>
      </c>
      <c r="CE142" s="59">
        <f t="shared" si="148"/>
        <v>300.52980782068698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63.698263163238323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63.698263163238323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285.42308790422805</v>
      </c>
      <c r="S143" s="59">
        <f ca="1">AVERAGE(OFFSET($R$3,0,0,'Données projet'!$E$9+1,1))-AVERAGE(OFFSET($H$3,0,0,'Données projet'!$E$9+1,1))</f>
        <v>297.34058997955685</v>
      </c>
      <c r="T143" s="59">
        <f t="shared" si="142"/>
        <v>440.06633724144069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9.4099076558392323</v>
      </c>
      <c r="AA143" s="21">
        <f>EXP(-LN(2)/25)*AA142+(1-EXP(-LN(2)/25))/(LN(2)/25)*Calculateur!V143*Calculateur!X143*VLOOKUP('Données projet'!$B$9,Paramètres!$A$1:$I$89,3,0)*0.475*44/12</f>
        <v>8.9357384403927078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18.345646096231938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-6.8212102632969618E-13</v>
      </c>
      <c r="AJ143" s="13">
        <f>AI143*VLOOKUP('Données projet'!$B$10,Paramètres!$A$1:$I$89,3,0)*VLOOKUP('Données projet'!$B$10,Paramètres!$A$1:$I$89,5,0)</f>
        <v>-4.0790837374515837E-13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302.29526572690196</v>
      </c>
      <c r="AO143" s="59">
        <f t="shared" si="144"/>
        <v>234.86746802631617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40.948585492031732</v>
      </c>
      <c r="AV143" s="21">
        <f>EXP(-LN(2)/25)*AV142+(1-EXP(-LN(2)/25))/(LN(2)/25)*Calculateur!AQ143*Calculateur!AS143*VLOOKUP('Données projet'!$B$10,Paramètres!$A$1:$I$89,3,0)*0.475*44/12</f>
        <v>12.539358119860591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53.487943611892319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389.60145120000055</v>
      </c>
      <c r="BF143" s="13">
        <f t="shared" si="145"/>
        <v>89.665298143968485</v>
      </c>
      <c r="BG143" s="20">
        <f t="shared" si="115"/>
        <v>834.72292177407928</v>
      </c>
      <c r="BH143" s="59">
        <f t="shared" si="116"/>
        <v>1120.1460096783037</v>
      </c>
      <c r="BI143" s="59">
        <f ca="1">AVERAGE(OFFSET($BH$3,0,0,'Données projet'!$E$11+1,1))-AVERAGE(OFFSET($H$3,0,0,'Données projet'!$E$11+1,1))</f>
        <v>627.65081154031589</v>
      </c>
      <c r="BJ143" s="59">
        <f t="shared" si="146"/>
        <v>288.78083487077618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59.377907972676439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59.377907972676439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409.75325040000058</v>
      </c>
      <c r="CA143" s="13">
        <f t="shared" si="147"/>
        <v>93.751206185559496</v>
      </c>
      <c r="CB143" s="20">
        <f t="shared" si="118"/>
        <v>876.93692855318386</v>
      </c>
      <c r="CC143" s="59">
        <f t="shared" si="119"/>
        <v>1162.3600164574082</v>
      </c>
      <c r="CD143" s="59">
        <f ca="1">AVERAGE(OFFSET($CC$3,0,0,'Données projet'!$E$12+1,1))-AVERAGE(OFFSET($H$3,0,0,'Données projet'!$E$12+1,1))</f>
        <v>655.36321433908199</v>
      </c>
      <c r="CE143" s="59">
        <f t="shared" si="148"/>
        <v>300.52980782068698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62.449179074711424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62.449179074711424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285.56031297776372</v>
      </c>
      <c r="S144" s="59">
        <f ca="1">AVERAGE(OFFSET($R$3,0,0,'Données projet'!$E$9+1,1))-AVERAGE(OFFSET($H$3,0,0,'Données projet'!$E$9+1,1))</f>
        <v>297.34058997955685</v>
      </c>
      <c r="T144" s="59">
        <f t="shared" si="142"/>
        <v>440.06633724144069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9.2253851061851684</v>
      </c>
      <c r="AA144" s="21">
        <f>EXP(-LN(2)/25)*AA143+(1-EXP(-LN(2)/25))/(LN(2)/25)*Calculateur!V144*Calculateur!X144*VLOOKUP('Données projet'!$B$9,Paramètres!$A$1:$I$89,3,0)*0.475*44/12</f>
        <v>8.6913902028301067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17.916775309015275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-6.8212102632969618E-13</v>
      </c>
      <c r="AJ144" s="13">
        <f>AI144*VLOOKUP('Données projet'!$B$10,Paramètres!$A$1:$I$89,3,0)*VLOOKUP('Données projet'!$B$10,Paramètres!$A$1:$I$89,5,0)</f>
        <v>-4.0790837374515837E-13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302.29526572690196</v>
      </c>
      <c r="AO144" s="59">
        <f t="shared" si="144"/>
        <v>234.86746802631617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40.145608706703946</v>
      </c>
      <c r="AV144" s="21">
        <f>EXP(-LN(2)/25)*AV143+(1-EXP(-LN(2)/25))/(LN(2)/25)*Calculateur!AQ144*Calculateur!AS144*VLOOKUP('Données projet'!$B$10,Paramètres!$A$1:$I$89,3,0)*0.475*44/12</f>
        <v>12.196468712656818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52.342077419360763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396.98371440000057</v>
      </c>
      <c r="BF144" s="13">
        <f t="shared" si="145"/>
        <v>91.164890478045521</v>
      </c>
      <c r="BG144" s="20">
        <f t="shared" si="115"/>
        <v>850.19215349593026</v>
      </c>
      <c r="BH144" s="59">
        <f t="shared" si="116"/>
        <v>1135.7524664736902</v>
      </c>
      <c r="BI144" s="59">
        <f ca="1">AVERAGE(OFFSET($BH$3,0,0,'Données projet'!$E$11+1,1))-AVERAGE(OFFSET($H$3,0,0,'Données projet'!$E$11+1,1))</f>
        <v>627.65081154031589</v>
      </c>
      <c r="BJ144" s="59">
        <f t="shared" si="146"/>
        <v>288.78083487077618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58.213543414279989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58.213543414279989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417.51735480000059</v>
      </c>
      <c r="CA144" s="13">
        <f t="shared" si="147"/>
        <v>95.319132607670056</v>
      </c>
      <c r="CB144" s="20">
        <f t="shared" si="118"/>
        <v>893.19021556835969</v>
      </c>
      <c r="CC144" s="59">
        <f t="shared" si="119"/>
        <v>1178.7505285461198</v>
      </c>
      <c r="CD144" s="59">
        <f ca="1">AVERAGE(OFFSET($CC$3,0,0,'Données projet'!$E$12+1,1))-AVERAGE(OFFSET($H$3,0,0,'Données projet'!$E$12+1,1))</f>
        <v>655.36321433908199</v>
      </c>
      <c r="CE144" s="59">
        <f t="shared" si="148"/>
        <v>300.52980782068698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61.22458876329447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61.22458876329447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285.69515750306277</v>
      </c>
      <c r="S145" s="59">
        <f ca="1">AVERAGE(OFFSET($R$3,0,0,'Données projet'!$E$9+1,1))-AVERAGE(OFFSET($H$3,0,0,'Données projet'!$E$9+1,1))</f>
        <v>297.34058997955685</v>
      </c>
      <c r="T145" s="59">
        <f t="shared" si="142"/>
        <v>440.06633724144069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9.0444809311821786</v>
      </c>
      <c r="AA145" s="21">
        <f>EXP(-LN(2)/25)*AA144+(1-EXP(-LN(2)/25))/(LN(2)/25)*Calculateur!V145*Calculateur!X145*VLOOKUP('Données projet'!$B$9,Paramètres!$A$1:$I$89,3,0)*0.475*44/12</f>
        <v>8.4537236806733702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17.498204611855549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-6.8212102632969618E-13</v>
      </c>
      <c r="AJ145" s="13">
        <f>AI145*VLOOKUP('Données projet'!$B$10,Paramètres!$A$1:$I$89,3,0)*VLOOKUP('Données projet'!$B$10,Paramètres!$A$1:$I$89,5,0)</f>
        <v>-4.0790837374515837E-13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302.29526572690196</v>
      </c>
      <c r="AO145" s="59">
        <f t="shared" si="144"/>
        <v>234.86746802631617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39.358377806368964</v>
      </c>
      <c r="AV145" s="21">
        <f>EXP(-LN(2)/25)*AV144+(1-EXP(-LN(2)/25))/(LN(2)/25)*Calculateur!AQ145*Calculateur!AS145*VLOOKUP('Données projet'!$B$10,Paramètres!$A$1:$I$89,3,0)*0.475*44/12</f>
        <v>11.862955634324804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51.221333440693769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404.36597760000052</v>
      </c>
      <c r="BF145" s="13">
        <f t="shared" si="145"/>
        <v>92.66124016608812</v>
      </c>
      <c r="BG145" s="20">
        <f t="shared" si="115"/>
        <v>865.655737609271</v>
      </c>
      <c r="BH145" s="59">
        <f t="shared" si="116"/>
        <v>1151.3508951123301</v>
      </c>
      <c r="BI145" s="59">
        <f ca="1">AVERAGE(OFFSET($BH$3,0,0,'Données projet'!$E$11+1,1))-AVERAGE(OFFSET($H$3,0,0,'Données projet'!$E$11+1,1))</f>
        <v>627.65081154031589</v>
      </c>
      <c r="BJ145" s="59">
        <f t="shared" si="146"/>
        <v>288.78083487077618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57.072011334681441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57.072011334681441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425.2814592000006</v>
      </c>
      <c r="CA145" s="13">
        <f t="shared" si="147"/>
        <v>96.8836686214146</v>
      </c>
      <c r="CB145" s="20">
        <f t="shared" si="118"/>
        <v>909.4375976222982</v>
      </c>
      <c r="CC145" s="59">
        <f t="shared" si="119"/>
        <v>1195.1327551253573</v>
      </c>
      <c r="CD145" s="59">
        <f ca="1">AVERAGE(OFFSET($CC$3,0,0,'Données projet'!$E$12+1,1))-AVERAGE(OFFSET($H$3,0,0,'Données projet'!$E$12+1,1))</f>
        <v>655.36321433908199</v>
      </c>
      <c r="CE145" s="59">
        <f t="shared" si="148"/>
        <v>300.52980782068698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60.024011920958067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60.024011920958067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285.82766277731514</v>
      </c>
      <c r="S146" s="59">
        <f ca="1">AVERAGE(OFFSET($R$3,0,0,'Données projet'!$E$9+1,1))-AVERAGE(OFFSET($H$3,0,0,'Données projet'!$E$9+1,1))</f>
        <v>297.34058997955685</v>
      </c>
      <c r="T146" s="59">
        <f t="shared" si="142"/>
        <v>440.06633724144069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8.8671241767103464</v>
      </c>
      <c r="AA146" s="21">
        <f>EXP(-LN(2)/25)*AA145+(1-EXP(-LN(2)/25))/(LN(2)/25)*Calculateur!V146*Calculateur!X146*VLOOKUP('Données projet'!$B$9,Paramètres!$A$1:$I$89,3,0)*0.475*44/12</f>
        <v>8.2225561620633503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17.089680338773697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-6.8212102632969618E-13</v>
      </c>
      <c r="AJ146" s="13">
        <f>AI146*VLOOKUP('Données projet'!$B$10,Paramètres!$A$1:$I$89,3,0)*VLOOKUP('Données projet'!$B$10,Paramètres!$A$1:$I$89,5,0)</f>
        <v>-4.0790837374515837E-13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302.29526572690196</v>
      </c>
      <c r="AO146" s="59">
        <f t="shared" si="144"/>
        <v>234.86746802631617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38.586584023826113</v>
      </c>
      <c r="AV146" s="21">
        <f>EXP(-LN(2)/25)*AV145+(1-EXP(-LN(2)/25))/(LN(2)/25)*Calculateur!AQ146*Calculateur!AS146*VLOOKUP('Données projet'!$B$10,Paramètres!$A$1:$I$89,3,0)*0.475*44/12</f>
        <v>11.538562488658469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50.125146512484584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411.74824080000053</v>
      </c>
      <c r="BF146" s="13">
        <f t="shared" si="145"/>
        <v>94.15441323509782</v>
      </c>
      <c r="BG146" s="20">
        <f t="shared" si="115"/>
        <v>881.11378911112968</v>
      </c>
      <c r="BH146" s="59">
        <f t="shared" si="116"/>
        <v>1166.9414518884412</v>
      </c>
      <c r="BI146" s="59">
        <f ca="1">AVERAGE(OFFSET($BH$3,0,0,'Données projet'!$E$11+1,1))-AVERAGE(OFFSET($H$3,0,0,'Données projet'!$E$11+1,1))</f>
        <v>627.65081154031589</v>
      </c>
      <c r="BJ146" s="59">
        <f t="shared" si="146"/>
        <v>288.78083487077618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55.952864002898004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55.952864002898004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433.04556360000061</v>
      </c>
      <c r="CA146" s="13">
        <f t="shared" si="147"/>
        <v>98.444883262542476</v>
      </c>
      <c r="CB146" s="20">
        <f t="shared" si="118"/>
        <v>925.67919495226249</v>
      </c>
      <c r="CC146" s="59">
        <f t="shared" si="119"/>
        <v>1211.506857729574</v>
      </c>
      <c r="CD146" s="59">
        <f ca="1">AVERAGE(OFFSET($CC$3,0,0,'Données projet'!$E$12+1,1))-AVERAGE(OFFSET($H$3,0,0,'Données projet'!$E$12+1,1))</f>
        <v>655.36321433908199</v>
      </c>
      <c r="CE146" s="59">
        <f t="shared" si="148"/>
        <v>300.52980782068698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58.846977658220311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58.846977658220311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285.95786938129658</v>
      </c>
      <c r="S147" s="59">
        <f ca="1">AVERAGE(OFFSET($R$3,0,0,'Données projet'!$E$9+1,1))-AVERAGE(OFFSET($H$3,0,0,'Données projet'!$E$9+1,1))</f>
        <v>297.34058997955685</v>
      </c>
      <c r="T147" s="59">
        <f t="shared" si="142"/>
        <v>440.06633724144069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8.6932452800167681</v>
      </c>
      <c r="AA147" s="21">
        <f>EXP(-LN(2)/25)*AA146+(1-EXP(-LN(2)/25))/(LN(2)/25)*Calculateur!V147*Calculateur!X147*VLOOKUP('Données projet'!$B$9,Paramètres!$A$1:$I$89,3,0)*0.475*44/12</f>
        <v>7.997709931406292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16.690955211423059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-6.8212102632969618E-13</v>
      </c>
      <c r="AJ147" s="13">
        <f>AI147*VLOOKUP('Données projet'!$B$10,Paramètres!$A$1:$I$89,3,0)*VLOOKUP('Données projet'!$B$10,Paramètres!$A$1:$I$89,5,0)</f>
        <v>-4.0790837374515837E-13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302.29526572690196</v>
      </c>
      <c r="AO147" s="59">
        <f t="shared" si="144"/>
        <v>234.86746802631617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37.829924646611204</v>
      </c>
      <c r="AV147" s="21">
        <f>EXP(-LN(2)/25)*AV146+(1-EXP(-LN(2)/25))/(LN(2)/25)*Calculateur!AQ147*Calculateur!AS147*VLOOKUP('Données projet'!$B$10,Paramètres!$A$1:$I$89,3,0)*0.475*44/12</f>
        <v>11.223039890619473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49.052964537230679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419.13050400000049</v>
      </c>
      <c r="BF147" s="13">
        <f t="shared" si="145"/>
        <v>95.644473208887277</v>
      </c>
      <c r="BG147" s="20">
        <f t="shared" si="115"/>
        <v>896.56641863881293</v>
      </c>
      <c r="BH147" s="59">
        <f t="shared" si="116"/>
        <v>1182.5242880201058</v>
      </c>
      <c r="BI147" s="59">
        <f ca="1">AVERAGE(OFFSET($BH$3,0,0,'Données projet'!$E$11+1,1))-AVERAGE(OFFSET($H$3,0,0,'Données projet'!$E$11+1,1))</f>
        <v>627.65081154031589</v>
      </c>
      <c r="BJ147" s="59">
        <f t="shared" si="146"/>
        <v>288.78083487077618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69.309560312196439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69.309560312196439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440.80966800000061</v>
      </c>
      <c r="CA147" s="13">
        <f t="shared" si="147"/>
        <v>100.00284294954746</v>
      </c>
      <c r="CB147" s="20">
        <f t="shared" si="118"/>
        <v>941.91512323712925</v>
      </c>
      <c r="CC147" s="59">
        <f t="shared" si="119"/>
        <v>1227.8729926184221</v>
      </c>
      <c r="CD147" s="59">
        <f ca="1">AVERAGE(OFFSET($CC$3,0,0,'Données projet'!$E$12+1,1))-AVERAGE(OFFSET($H$3,0,0,'Données projet'!$E$12+1,1))</f>
        <v>655.36321433908199</v>
      </c>
      <c r="CE147" s="59">
        <f t="shared" si="148"/>
        <v>300.52980782068698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72.894537569723838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72.894537569723838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286.08581719179728</v>
      </c>
      <c r="S148" s="59">
        <f ca="1">AVERAGE(OFFSET($R$3,0,0,'Données projet'!$E$9+1,1))-AVERAGE(OFFSET($H$3,0,0,'Données projet'!$E$9+1,1))</f>
        <v>297.34058997955685</v>
      </c>
      <c r="T148" s="59">
        <f t="shared" si="142"/>
        <v>440.06633724144069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8.5227760424316958</v>
      </c>
      <c r="AA148" s="21">
        <f>EXP(-LN(2)/25)*AA147+(1-EXP(-LN(2)/25))/(LN(2)/25)*Calculateur!V148*Calculateur!X148*VLOOKUP('Données projet'!$B$9,Paramètres!$A$1:$I$89,3,0)*0.475*44/12</f>
        <v>7.7790121327507009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16.301788175182395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-6.8212102632969618E-13</v>
      </c>
      <c r="AJ148" s="13">
        <f>AI148*VLOOKUP('Données projet'!$B$10,Paramètres!$A$1:$I$89,3,0)*VLOOKUP('Données projet'!$B$10,Paramètres!$A$1:$I$89,5,0)</f>
        <v>-4.0790837374515837E-13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302.29526572690196</v>
      </c>
      <c r="AO148" s="59">
        <f t="shared" si="144"/>
        <v>234.86746802631617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37.088102898266825</v>
      </c>
      <c r="AV148" s="21">
        <f>EXP(-LN(2)/25)*AV147+(1-EXP(-LN(2)/25))/(LN(2)/25)*Calculateur!AQ148*Calculateur!AS148*VLOOKUP('Données projet'!$B$10,Paramètres!$A$1:$I$89,3,0)*0.475*44/12</f>
        <v>10.916145274616467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48.004248172883294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375.98511600000052</v>
      </c>
      <c r="BF148" s="13">
        <f t="shared" si="145"/>
        <v>86.890611547517153</v>
      </c>
      <c r="BG148" s="20">
        <f t="shared" si="115"/>
        <v>806.17522547859323</v>
      </c>
      <c r="BH148" s="59">
        <f t="shared" si="116"/>
        <v>1092.2610426703868</v>
      </c>
      <c r="BI148" s="59">
        <f ca="1">AVERAGE(OFFSET($BH$3,0,0,'Données projet'!$E$11+1,1))-AVERAGE(OFFSET($H$3,0,0,'Données projet'!$E$11+1,1))</f>
        <v>627.65081154031589</v>
      </c>
      <c r="BJ148" s="59">
        <f t="shared" si="146"/>
        <v>288.78083487077618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67.950442109131785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67.950442109131785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395.43262200000055</v>
      </c>
      <c r="CA148" s="13">
        <f t="shared" si="147"/>
        <v>90.850081440660546</v>
      </c>
      <c r="CB148" s="20">
        <f t="shared" si="118"/>
        <v>846.94237515915131</v>
      </c>
      <c r="CC148" s="59">
        <f t="shared" si="119"/>
        <v>1133.0281923509449</v>
      </c>
      <c r="CD148" s="59">
        <f ca="1">AVERAGE(OFFSET($CC$3,0,0,'Données projet'!$E$12+1,1))-AVERAGE(OFFSET($H$3,0,0,'Données projet'!$E$12+1,1))</f>
        <v>655.36321433908199</v>
      </c>
      <c r="CE148" s="59">
        <f t="shared" si="148"/>
        <v>300.52980782068698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71.465120149259278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71.465120149259278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286.21154539383434</v>
      </c>
      <c r="S149" s="59">
        <f ca="1">AVERAGE(OFFSET($R$3,0,0,'Données projet'!$E$9+1,1))-AVERAGE(OFFSET($H$3,0,0,'Données projet'!$E$9+1,1))</f>
        <v>297.34058997955685</v>
      </c>
      <c r="T149" s="59">
        <f t="shared" si="142"/>
        <v>440.06633724144069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8.3556496026196996</v>
      </c>
      <c r="AA149" s="21">
        <f>EXP(-LN(2)/25)*AA148+(1-EXP(-LN(2)/25))/(LN(2)/25)*Calculateur!V149*Calculateur!X149*VLOOKUP('Données projet'!$B$9,Paramètres!$A$1:$I$89,3,0)*0.475*44/12</f>
        <v>7.5662946369001638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15.921944239519863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-6.8212102632969618E-13</v>
      </c>
      <c r="AJ149" s="13">
        <f>AI149*VLOOKUP('Données projet'!$B$10,Paramètres!$A$1:$I$89,3,0)*VLOOKUP('Données projet'!$B$10,Paramètres!$A$1:$I$89,5,0)</f>
        <v>-4.0790837374515837E-13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302.29526572690196</v>
      </c>
      <c r="AO149" s="59">
        <f t="shared" si="144"/>
        <v>234.86746802631617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36.360827821940894</v>
      </c>
      <c r="AV149" s="21">
        <f>EXP(-LN(2)/25)*AV148+(1-EXP(-LN(2)/25))/(LN(2)/25)*Calculateur!AQ149*Calculateur!AS149*VLOOKUP('Données projet'!$B$10,Paramètres!$A$1:$I$89,3,0)*0.475*44/12</f>
        <v>10.617642708026949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46.978470529967844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383.51757600000053</v>
      </c>
      <c r="BF149" s="13">
        <f t="shared" si="145"/>
        <v>88.426967368766455</v>
      </c>
      <c r="BG149" s="20">
        <f t="shared" si="115"/>
        <v>821.97007970060247</v>
      </c>
      <c r="BH149" s="59">
        <f t="shared" si="116"/>
        <v>1108.181625094433</v>
      </c>
      <c r="BI149" s="59">
        <f ca="1">AVERAGE(OFFSET($BH$3,0,0,'Données projet'!$E$11+1,1))-AVERAGE(OFFSET($H$3,0,0,'Données projet'!$E$11+1,1))</f>
        <v>627.65081154031589</v>
      </c>
      <c r="BJ149" s="59">
        <f t="shared" si="146"/>
        <v>288.78083487077618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66.617975385048979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66.617975385048979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403.35469200000057</v>
      </c>
      <c r="CA149" s="13">
        <f t="shared" si="147"/>
        <v>92.456446604818723</v>
      </c>
      <c r="CB149" s="20">
        <f t="shared" si="118"/>
        <v>863.5377330700602</v>
      </c>
      <c r="CC149" s="59">
        <f t="shared" si="119"/>
        <v>1149.7492784638907</v>
      </c>
      <c r="CD149" s="59">
        <f ca="1">AVERAGE(OFFSET($CC$3,0,0,'Données projet'!$E$12+1,1))-AVERAGE(OFFSET($H$3,0,0,'Données projet'!$E$12+1,1))</f>
        <v>655.36321433908199</v>
      </c>
      <c r="CE149" s="59">
        <f t="shared" si="148"/>
        <v>300.52980782068698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70.0637327325515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70.0637327325515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286.33509249265211</v>
      </c>
      <c r="S150" s="59">
        <f ca="1">AVERAGE(OFFSET($R$3,0,0,'Données projet'!$E$9+1,1))-AVERAGE(OFFSET($H$3,0,0,'Données projet'!$E$9+1,1))</f>
        <v>297.34058997955685</v>
      </c>
      <c r="T150" s="59">
        <f t="shared" si="142"/>
        <v>440.06633724144069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8.1918004103553521</v>
      </c>
      <c r="AA150" s="21">
        <f>EXP(-LN(2)/25)*AA149+(1-EXP(-LN(2)/25))/(LN(2)/25)*Calculateur!V150*Calculateur!X150*VLOOKUP('Données projet'!$B$9,Paramètres!$A$1:$I$89,3,0)*0.475*44/12</f>
        <v>7.3593939121599865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15.55119432251534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-6.8212102632969618E-13</v>
      </c>
      <c r="AJ150" s="13">
        <f>AI150*VLOOKUP('Données projet'!$B$10,Paramètres!$A$1:$I$89,3,0)*VLOOKUP('Données projet'!$B$10,Paramètres!$A$1:$I$89,5,0)</f>
        <v>-4.0790837374515837E-13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302.29526572690196</v>
      </c>
      <c r="AO150" s="59">
        <f t="shared" si="144"/>
        <v>234.86746802631617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35.647814166267715</v>
      </c>
      <c r="AV150" s="21">
        <f>EXP(-LN(2)/25)*AV149+(1-EXP(-LN(2)/25))/(LN(2)/25)*Calculateur!AQ150*Calculateur!AS150*VLOOKUP('Données projet'!$B$10,Paramètres!$A$1:$I$89,3,0)*0.475*44/12</f>
        <v>10.327302709818388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45.975116876086105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391.05003600000049</v>
      </c>
      <c r="BF150" s="13">
        <f t="shared" si="145"/>
        <v>89.959814624965674</v>
      </c>
      <c r="BG150" s="20">
        <f t="shared" si="115"/>
        <v>837.75882317181595</v>
      </c>
      <c r="BH150" s="59">
        <f t="shared" si="116"/>
        <v>1124.0939156644645</v>
      </c>
      <c r="BI150" s="59">
        <f ca="1">AVERAGE(OFFSET($BH$3,0,0,'Données projet'!$E$11+1,1))-AVERAGE(OFFSET($H$3,0,0,'Données projet'!$E$11+1,1))</f>
        <v>627.65081154031589</v>
      </c>
      <c r="BJ150" s="59">
        <f t="shared" si="146"/>
        <v>288.78083487077618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65.311637520700984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65.311637520700984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411.27676200000059</v>
      </c>
      <c r="CA150" s="13">
        <f t="shared" si="147"/>
        <v>94.05914332407977</v>
      </c>
      <c r="CB150" s="20">
        <f t="shared" si="118"/>
        <v>880.12670177277323</v>
      </c>
      <c r="CC150" s="59">
        <f t="shared" si="119"/>
        <v>1166.4617942654218</v>
      </c>
      <c r="CD150" s="59">
        <f ca="1">AVERAGE(OFFSET($CC$3,0,0,'Données projet'!$E$12+1,1))-AVERAGE(OFFSET($H$3,0,0,'Données projet'!$E$12+1,1))</f>
        <v>655.36321433908199</v>
      </c>
      <c r="CE150" s="59">
        <f t="shared" si="148"/>
        <v>300.52980782068698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68.689825668323437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68.689825668323437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286.45649632551539</v>
      </c>
      <c r="S151" s="59">
        <f ca="1">AVERAGE(OFFSET($R$3,0,0,'Données projet'!$E$9+1,1))-AVERAGE(OFFSET($H$3,0,0,'Données projet'!$E$9+1,1))</f>
        <v>297.34058997955685</v>
      </c>
      <c r="T151" s="59">
        <f t="shared" si="142"/>
        <v>440.06633724144069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8.031164200813171</v>
      </c>
      <c r="AA151" s="21">
        <f>EXP(-LN(2)/25)*AA150+(1-EXP(-LN(2)/25))/(LN(2)/25)*Calculateur!V151*Calculateur!X151*VLOOKUP('Données projet'!$B$9,Paramètres!$A$1:$I$89,3,0)*0.475*44/12</f>
        <v>7.158150898618266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15.189315099431436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-6.8212102632969618E-13</v>
      </c>
      <c r="AJ151" s="13">
        <f>AI151*VLOOKUP('Données projet'!$B$10,Paramètres!$A$1:$I$89,3,0)*VLOOKUP('Données projet'!$B$10,Paramètres!$A$1:$I$89,5,0)</f>
        <v>-4.0790837374515837E-13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302.29526572690196</v>
      </c>
      <c r="AO151" s="59">
        <f t="shared" si="144"/>
        <v>234.86746802631617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34.948782273486898</v>
      </c>
      <c r="AV151" s="21">
        <f>EXP(-LN(2)/25)*AV150+(1-EXP(-LN(2)/25))/(LN(2)/25)*Calculateur!AQ151*Calculateur!AS151*VLOOKUP('Données projet'!$B$10,Paramètres!$A$1:$I$89,3,0)*0.475*44/12</f>
        <v>10.044902074129158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44.993684347616053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398.5824960000005</v>
      </c>
      <c r="BF151" s="13">
        <f t="shared" si="145"/>
        <v>91.489228690064536</v>
      </c>
      <c r="BG151" s="20">
        <f t="shared" si="115"/>
        <v>853.54158716852999</v>
      </c>
      <c r="BH151" s="59">
        <f t="shared" si="116"/>
        <v>1139.9980834940416</v>
      </c>
      <c r="BI151" s="59">
        <f ca="1">AVERAGE(OFFSET($BH$3,0,0,'Données projet'!$E$11+1,1))-AVERAGE(OFFSET($H$3,0,0,'Données projet'!$E$11+1,1))</f>
        <v>627.65081154031589</v>
      </c>
      <c r="BJ151" s="59">
        <f t="shared" si="146"/>
        <v>288.78083487077618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64.030916145085428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64.030916145085428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419.19883200000055</v>
      </c>
      <c r="CA151" s="13">
        <f t="shared" si="147"/>
        <v>95.658250407067044</v>
      </c>
      <c r="CB151" s="20">
        <f t="shared" si="118"/>
        <v>896.70941852564249</v>
      </c>
      <c r="CC151" s="59">
        <f t="shared" si="119"/>
        <v>1183.1659148511542</v>
      </c>
      <c r="CD151" s="59">
        <f ca="1">AVERAGE(OFFSET($CC$3,0,0,'Données projet'!$E$12+1,1))-AVERAGE(OFFSET($H$3,0,0,'Données projet'!$E$12+1,1))</f>
        <v>655.36321433908199</v>
      </c>
      <c r="CE151" s="59">
        <f t="shared" si="148"/>
        <v>300.52980782068698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67.342860083624316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67.342860083624316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286.57579407329678</v>
      </c>
      <c r="S152" s="59">
        <f ca="1">AVERAGE(OFFSET($R$3,0,0,'Données projet'!$E$9+1,1))-AVERAGE(OFFSET($H$3,0,0,'Données projet'!$E$9+1,1))</f>
        <v>297.34058997955685</v>
      </c>
      <c r="T152" s="59">
        <f t="shared" si="142"/>
        <v>440.06633724144069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7.8736779693616983</v>
      </c>
      <c r="AA152" s="21">
        <f>EXP(-LN(2)/25)*AA151+(1-EXP(-LN(2)/25))/(LN(2)/25)*Calculateur!V152*Calculateur!X152*VLOOKUP('Données projet'!$B$9,Paramètres!$A$1:$I$89,3,0)*0.475*44/12</f>
        <v>6.9624108858647542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14.836088855226453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-6.8212102632969618E-13</v>
      </c>
      <c r="AJ152" s="13">
        <f>AI152*VLOOKUP('Données projet'!$B$10,Paramètres!$A$1:$I$89,3,0)*VLOOKUP('Données projet'!$B$10,Paramètres!$A$1:$I$89,5,0)</f>
        <v>-4.0790837374515837E-13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302.29526572690196</v>
      </c>
      <c r="AO152" s="59">
        <f t="shared" si="144"/>
        <v>234.86746802631617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34.263457969756161</v>
      </c>
      <c r="AV152" s="21">
        <f>EXP(-LN(2)/25)*AV151+(1-EXP(-LN(2)/25))/(LN(2)/25)*Calculateur!AQ152*Calculateur!AS152*VLOOKUP('Données projet'!$B$10,Paramètres!$A$1:$I$89,3,0)*0.475*44/12</f>
        <v>9.7702236986736537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44.033681668429814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406.11495600000046</v>
      </c>
      <c r="BF152" s="13">
        <f t="shared" si="145"/>
        <v>93.015281926133852</v>
      </c>
      <c r="BG152" s="20">
        <f t="shared" si="115"/>
        <v>869.31849772135058</v>
      </c>
      <c r="BH152" s="59">
        <f t="shared" si="116"/>
        <v>1155.8942917946438</v>
      </c>
      <c r="BI152" s="59">
        <f ca="1">AVERAGE(OFFSET($BH$3,0,0,'Données projet'!$E$11+1,1))-AVERAGE(OFFSET($H$3,0,0,'Données projet'!$E$11+1,1))</f>
        <v>627.65081154031589</v>
      </c>
      <c r="BJ152" s="59">
        <f t="shared" si="146"/>
        <v>288.78083487077618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62.775308934482787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62.775308934482787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427.12090200000046</v>
      </c>
      <c r="CA152" s="13">
        <f t="shared" si="147"/>
        <v>97.253843513278113</v>
      </c>
      <c r="CB152" s="20">
        <f t="shared" si="118"/>
        <v>913.28601510229339</v>
      </c>
      <c r="CC152" s="59">
        <f t="shared" si="119"/>
        <v>1199.8618091755866</v>
      </c>
      <c r="CD152" s="59">
        <f ca="1">AVERAGE(OFFSET($CC$3,0,0,'Données projet'!$E$12+1,1))-AVERAGE(OFFSET($H$3,0,0,'Données projet'!$E$12+1,1))</f>
        <v>655.36321433908199</v>
      </c>
      <c r="CE152" s="59">
        <f t="shared" si="148"/>
        <v>300.52980782068698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66.022307672473261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66.022307672473261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286.69302227186404</v>
      </c>
      <c r="S153" s="59">
        <f ca="1">AVERAGE(OFFSET($R$3,0,0,'Données projet'!$E$9+1,1))-AVERAGE(OFFSET($H$3,0,0,'Données projet'!$E$9+1,1))</f>
        <v>297.34058997955685</v>
      </c>
      <c r="T153" s="59">
        <f t="shared" si="142"/>
        <v>440.06633724144069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7.7192799468518718</v>
      </c>
      <c r="AA153" s="21">
        <f>EXP(-LN(2)/25)*AA152+(1-EXP(-LN(2)/25))/(LN(2)/25)*Calculateur!V153*Calculateur!X153*VLOOKUP('Données projet'!$B$9,Paramètres!$A$1:$I$89,3,0)*0.475*44/12</f>
        <v>6.7720233940535071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14.491303340905379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-6.8212102632969618E-13</v>
      </c>
      <c r="AJ153" s="13">
        <f>AI153*VLOOKUP('Données projet'!$B$10,Paramètres!$A$1:$I$89,3,0)*VLOOKUP('Données projet'!$B$10,Paramètres!$A$1:$I$89,5,0)</f>
        <v>-4.0790837374515837E-13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302.29526572690196</v>
      </c>
      <c r="AO153" s="59">
        <f t="shared" si="144"/>
        <v>234.86746802631617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33.591572457615037</v>
      </c>
      <c r="AV153" s="21">
        <f>EXP(-LN(2)/25)*AV152+(1-EXP(-LN(2)/25))/(LN(2)/25)*Calculateur!AQ153*Calculateur!AS153*VLOOKUP('Données projet'!$B$10,Paramètres!$A$1:$I$89,3,0)*0.475*44/12</f>
        <v>9.503056417839689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43.094628875454724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413.64741600000042</v>
      </c>
      <c r="BF153" s="13">
        <f t="shared" si="145"/>
        <v>94.538043857309361</v>
      </c>
      <c r="BG153" s="20">
        <f t="shared" si="115"/>
        <v>885.0896759181478</v>
      </c>
      <c r="BH153" s="59">
        <f t="shared" si="116"/>
        <v>1171.7826981900082</v>
      </c>
      <c r="BI153" s="59">
        <f ca="1">AVERAGE(OFFSET($BH$3,0,0,'Données projet'!$E$11+1,1))-AVERAGE(OFFSET($H$3,0,0,'Données projet'!$E$11+1,1))</f>
        <v>627.65081154031589</v>
      </c>
      <c r="BJ153" s="59">
        <f t="shared" si="146"/>
        <v>288.78083487077618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61.544323415435287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61.544323415435287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435.04297200000053</v>
      </c>
      <c r="CA153" s="13">
        <f t="shared" si="147"/>
        <v>98.84599533495539</v>
      </c>
      <c r="CB153" s="20">
        <f t="shared" si="118"/>
        <v>929.85661810838155</v>
      </c>
      <c r="CC153" s="59">
        <f t="shared" si="119"/>
        <v>1216.549640380242</v>
      </c>
      <c r="CD153" s="59">
        <f ca="1">AVERAGE(OFFSET($CC$3,0,0,'Données projet'!$E$12+1,1))-AVERAGE(OFFSET($H$3,0,0,'Données projet'!$E$12+1,1))</f>
        <v>655.36321433908199</v>
      </c>
      <c r="CE153" s="59">
        <f t="shared" si="148"/>
        <v>300.52980782068698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64.727650488647441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64.727650488647441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286.80821682326905</v>
      </c>
      <c r="S154" s="59">
        <f ca="1">AVERAGE(OFFSET($R$3,0,0,'Données projet'!$E$9+1,1))-AVERAGE(OFFSET($H$3,0,0,'Données projet'!$E$9+1,1))</f>
        <v>297.34058997955685</v>
      </c>
      <c r="T154" s="59">
        <f t="shared" si="142"/>
        <v>440.06633724144069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7.5679095753899688</v>
      </c>
      <c r="AA154" s="21">
        <f>EXP(-LN(2)/25)*AA153+(1-EXP(-LN(2)/25))/(LN(2)/25)*Calculateur!V154*Calculateur!X154*VLOOKUP('Données projet'!$B$9,Paramètres!$A$1:$I$89,3,0)*0.475*44/12</f>
        <v>6.586842058217881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14.15475163360785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-6.8212102632969618E-13</v>
      </c>
      <c r="AJ154" s="13">
        <f>AI154*VLOOKUP('Données projet'!$B$10,Paramètres!$A$1:$I$89,3,0)*VLOOKUP('Données projet'!$B$10,Paramètres!$A$1:$I$89,5,0)</f>
        <v>-4.0790837374515837E-13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302.29526572690196</v>
      </c>
      <c r="AO154" s="59">
        <f t="shared" si="144"/>
        <v>234.86746802631617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32.932862210557303</v>
      </c>
      <c r="AV154" s="21">
        <f>EXP(-LN(2)/25)*AV153+(1-EXP(-LN(2)/25))/(LN(2)/25)*Calculateur!AQ154*Calculateur!AS154*VLOOKUP('Données projet'!$B$10,Paramètres!$A$1:$I$89,3,0)*0.475*44/12</f>
        <v>9.2431948403498456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42.176057050907147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421.17987600000043</v>
      </c>
      <c r="BF154" s="13">
        <f t="shared" ref="BF154:BF203" si="167">EXP(-1.0587+0.8836*LN(BE154)+0.284)</f>
        <v>96.057581330707137</v>
      </c>
      <c r="BG154" s="20">
        <f t="shared" ref="BG154:BG203" si="168">(BE154+BF154)*0.475*44/12</f>
        <v>900.85523818431557</v>
      </c>
      <c r="BH154" s="59">
        <f t="shared" si="116"/>
        <v>1187.663455007581</v>
      </c>
      <c r="BI154" s="59">
        <f ca="1">AVERAGE(OFFSET($BH$3,0,0,'Données projet'!$E$11+1,1))-AVERAGE(OFFSET($H$3,0,0,'Données projet'!$E$11+1,1))</f>
        <v>627.65081154031589</v>
      </c>
      <c r="BJ154" s="59">
        <f t="shared" si="146"/>
        <v>288.78083487077618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60.33747677158928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60.33747677158928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442.96504200000049</v>
      </c>
      <c r="CA154" s="13">
        <f t="shared" ref="CA154:CA203" si="170">EXP(-1.0587+0.8836*LN(BZ154)+0.284)</f>
        <v>100.43477576533398</v>
      </c>
      <c r="CB154" s="20">
        <f t="shared" ref="CB154:CB203" si="171">(BZ154+CA154)*0.475*44/12</f>
        <v>946.42134927462405</v>
      </c>
      <c r="CC154" s="59">
        <f t="shared" si="119"/>
        <v>1233.2295660978893</v>
      </c>
      <c r="CD154" s="59">
        <f ca="1">AVERAGE(OFFSET($CC$3,0,0,'Données projet'!$E$12+1,1))-AVERAGE(OFFSET($H$3,0,0,'Données projet'!$E$12+1,1))</f>
        <v>655.36321433908199</v>
      </c>
      <c r="CE154" s="59">
        <f t="shared" si="148"/>
        <v>300.52980782068698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63.458380742533542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63.458380742533542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286.92141300674359</v>
      </c>
      <c r="S155" s="59">
        <f ca="1">AVERAGE(OFFSET($R$3,0,0,'Données projet'!$E$9+1,1))-AVERAGE(OFFSET($H$3,0,0,'Données projet'!$E$9+1,1))</f>
        <v>297.34058997955685</v>
      </c>
      <c r="T155" s="59">
        <f t="shared" si="142"/>
        <v>440.06633724144069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7.4195074845856235</v>
      </c>
      <c r="AA155" s="21">
        <f>EXP(-LN(2)/25)*AA154+(1-EXP(-LN(2)/25))/(LN(2)/25)*Calculateur!V155*Calculateur!X155*VLOOKUP('Données projet'!$B$9,Paramètres!$A$1:$I$89,3,0)*0.475*44/12</f>
        <v>6.4067245157489436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13.826232000334567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-6.8212102632969618E-13</v>
      </c>
      <c r="AJ155" s="13">
        <f>AI155*VLOOKUP('Données projet'!$B$10,Paramètres!$A$1:$I$89,3,0)*VLOOKUP('Données projet'!$B$10,Paramètres!$A$1:$I$89,5,0)</f>
        <v>-4.0790837374515837E-13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302.29526572690196</v>
      </c>
      <c r="AO155" s="59">
        <f t="shared" si="144"/>
        <v>234.86746802631617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32.28706886967079</v>
      </c>
      <c r="AV155" s="21">
        <f>EXP(-LN(2)/25)*AV154+(1-EXP(-LN(2)/25))/(LN(2)/25)*Calculateur!AQ155*Calculateur!AS155*VLOOKUP('Données projet'!$B$10,Paramètres!$A$1:$I$89,3,0)*0.475*44/12</f>
        <v>8.9904391913619879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41.277508061032776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428.71233600000051</v>
      </c>
      <c r="BF155" s="13">
        <f t="shared" si="167"/>
        <v>97.57395866550209</v>
      </c>
      <c r="BG155" s="20">
        <f t="shared" si="168"/>
        <v>916.61529654241701</v>
      </c>
      <c r="BH155" s="59">
        <f t="shared" si="116"/>
        <v>1203.536709549157</v>
      </c>
      <c r="BI155" s="59">
        <f ca="1">AVERAGE(OFFSET($BH$3,0,0,'Données projet'!$E$11+1,1))-AVERAGE(OFFSET($H$3,0,0,'Données projet'!$E$11+1,1))</f>
        <v>627.65081154031589</v>
      </c>
      <c r="BJ155" s="59">
        <f t="shared" si="146"/>
        <v>288.78083487077618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59.154295654325324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59.154295654325324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450.88711200000051</v>
      </c>
      <c r="CA155" s="13">
        <f t="shared" si="170"/>
        <v>102.02025205451328</v>
      </c>
      <c r="CB155" s="20">
        <f t="shared" si="171"/>
        <v>962.98032572827799</v>
      </c>
      <c r="CC155" s="59">
        <f t="shared" si="119"/>
        <v>1249.9017387350179</v>
      </c>
      <c r="CD155" s="59">
        <f ca="1">AVERAGE(OFFSET($CC$3,0,0,'Données projet'!$E$12+1,1))-AVERAGE(OFFSET($H$3,0,0,'Données projet'!$E$12+1,1))</f>
        <v>655.36321433908199</v>
      </c>
      <c r="CE155" s="59">
        <f t="shared" si="148"/>
        <v>300.52980782068698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62.21400060196283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62.21400060196283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287.03264548950369</v>
      </c>
      <c r="S156" s="59">
        <f ca="1">AVERAGE(OFFSET($R$3,0,0,'Données projet'!$E$9+1,1))-AVERAGE(OFFSET($H$3,0,0,'Données projet'!$E$9+1,1))</f>
        <v>297.34058997955685</v>
      </c>
      <c r="T156" s="59">
        <f t="shared" si="142"/>
        <v>440.06633724144069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7.2740154682656133</v>
      </c>
      <c r="AA156" s="21">
        <f>EXP(-LN(2)/25)*AA155+(1-EXP(-LN(2)/25))/(LN(2)/25)*Calculateur!V156*Calculateur!X156*VLOOKUP('Données projet'!$B$9,Paramètres!$A$1:$I$89,3,0)*0.475*44/12</f>
        <v>6.2315322969507889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13.505547765216402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-6.8212102632969618E-13</v>
      </c>
      <c r="AJ156" s="13">
        <f>AI156*VLOOKUP('Données projet'!$B$10,Paramètres!$A$1:$I$89,3,0)*VLOOKUP('Données projet'!$B$10,Paramètres!$A$1:$I$89,5,0)</f>
        <v>-4.0790837374515837E-13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302.29526572690196</v>
      </c>
      <c r="AO156" s="59">
        <f t="shared" si="144"/>
        <v>234.86746802631617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31.653939142304019</v>
      </c>
      <c r="AV156" s="21">
        <f>EXP(-LN(2)/25)*AV155+(1-EXP(-LN(2)/25))/(LN(2)/25)*Calculateur!AQ156*Calculateur!AS156*VLOOKUP('Données projet'!$B$10,Paramètres!$A$1:$I$89,3,0)*0.475*44/12</f>
        <v>8.7445951588875452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40.39853430119156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436.24479600000041</v>
      </c>
      <c r="BF156" s="13">
        <f t="shared" si="167"/>
        <v>99.087237791231857</v>
      </c>
      <c r="BG156" s="20">
        <f t="shared" si="168"/>
        <v>932.36995885306271</v>
      </c>
      <c r="BH156" s="59">
        <f t="shared" si="116"/>
        <v>1219.4026043425627</v>
      </c>
      <c r="BI156" s="59">
        <f ca="1">AVERAGE(OFFSET($BH$3,0,0,'Données projet'!$E$11+1,1))-AVERAGE(OFFSET($H$3,0,0,'Données projet'!$E$11+1,1))</f>
        <v>627.65081154031589</v>
      </c>
      <c r="BJ156" s="59">
        <f t="shared" si="146"/>
        <v>288.78083487077618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57.994315997101694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57.994315997101694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458.80918200000048</v>
      </c>
      <c r="CA156" s="13">
        <f t="shared" si="170"/>
        <v>103.60248895406399</v>
      </c>
      <c r="CB156" s="20">
        <f t="shared" si="171"/>
        <v>979.53366024499553</v>
      </c>
      <c r="CC156" s="59">
        <f t="shared" si="119"/>
        <v>1266.5663057344955</v>
      </c>
      <c r="CD156" s="59">
        <f ca="1">AVERAGE(OFFSET($CC$3,0,0,'Données projet'!$E$12+1,1))-AVERAGE(OFFSET($H$3,0,0,'Données projet'!$E$12+1,1))</f>
        <v>655.36321433908199</v>
      </c>
      <c r="CE156" s="59">
        <f t="shared" si="148"/>
        <v>300.52980782068698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60.994021996951773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60.994021996951773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287.14194833736644</v>
      </c>
      <c r="S157" s="59">
        <f ca="1">AVERAGE(OFFSET($R$3,0,0,'Données projet'!$E$9+1,1))-AVERAGE(OFFSET($H$3,0,0,'Données projet'!$E$9+1,1))</f>
        <v>297.34058997955685</v>
      </c>
      <c r="T157" s="59">
        <f t="shared" si="142"/>
        <v>440.06633724144069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7.1313764616442716</v>
      </c>
      <c r="AA157" s="21">
        <f>EXP(-LN(2)/25)*AA156+(1-EXP(-LN(2)/25))/(LN(2)/25)*Calculateur!V157*Calculateur!X157*VLOOKUP('Données projet'!$B$9,Paramètres!$A$1:$I$89,3,0)*0.475*44/12</f>
        <v>6.0611307185886281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13.1925071802329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-6.8212102632969618E-13</v>
      </c>
      <c r="AJ157" s="13">
        <f>AI157*VLOOKUP('Données projet'!$B$10,Paramètres!$A$1:$I$89,3,0)*VLOOKUP('Données projet'!$B$10,Paramètres!$A$1:$I$89,5,0)</f>
        <v>-4.0790837374515837E-13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302.29526572690196</v>
      </c>
      <c r="AO157" s="59">
        <f t="shared" si="144"/>
        <v>234.86746802631617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31.033224702719906</v>
      </c>
      <c r="AV157" s="21">
        <f>EXP(-LN(2)/25)*AV156+(1-EXP(-LN(2)/25))/(LN(2)/25)*Calculateur!AQ157*Calculateur!AS157*VLOOKUP('Données projet'!$B$10,Paramètres!$A$1:$I$89,3,0)*0.475*44/12</f>
        <v>8.5054737444094926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39.538698447129399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443.77725600000048</v>
      </c>
      <c r="BF157" s="13">
        <f t="shared" si="167"/>
        <v>100.59747837627934</v>
      </c>
      <c r="BG157" s="20">
        <f t="shared" si="168"/>
        <v>948.11932903868717</v>
      </c>
      <c r="BH157" s="59">
        <f t="shared" si="116"/>
        <v>1235.26127737605</v>
      </c>
      <c r="BI157" s="59">
        <f ca="1">AVERAGE(OFFSET($BH$3,0,0,'Données projet'!$E$11+1,1))-AVERAGE(OFFSET($H$3,0,0,'Données projet'!$E$11+1,1))</f>
        <v>627.65081154031589</v>
      </c>
      <c r="BJ157" s="59">
        <f t="shared" si="146"/>
        <v>288.78083487077618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71.083888549708462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71.083888549708462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466.7312520000005</v>
      </c>
      <c r="CA157" s="13">
        <f t="shared" si="170"/>
        <v>105.18154885136397</v>
      </c>
      <c r="CB157" s="20">
        <f t="shared" si="171"/>
        <v>996.08146148279309</v>
      </c>
      <c r="CC157" s="59">
        <f t="shared" si="119"/>
        <v>1283.2234098201559</v>
      </c>
      <c r="CD157" s="59">
        <f ca="1">AVERAGE(OFFSET($CC$3,0,0,'Données projet'!$E$12+1,1))-AVERAGE(OFFSET($H$3,0,0,'Données projet'!$E$12+1,1))</f>
        <v>655.36321433908199</v>
      </c>
      <c r="CE157" s="59">
        <f t="shared" si="148"/>
        <v>300.52980782068698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74.760641405727867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74.760641405727867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287.24935502518338</v>
      </c>
      <c r="S158" s="59">
        <f ca="1">AVERAGE(OFFSET($R$3,0,0,'Données projet'!$E$9+1,1))-AVERAGE(OFFSET($H$3,0,0,'Données projet'!$E$9+1,1))</f>
        <v>297.34058997955685</v>
      </c>
      <c r="T158" s="59">
        <f t="shared" si="142"/>
        <v>440.06633724144069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6.9915345189415712</v>
      </c>
      <c r="AA158" s="21">
        <f>EXP(-LN(2)/25)*AA157+(1-EXP(-LN(2)/25))/(LN(2)/25)*Calculateur!V158*Calculateur!X158*VLOOKUP('Données projet'!$B$9,Paramètres!$A$1:$I$89,3,0)*0.475*44/12</f>
        <v>5.89538878034781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12.886923299289382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-6.8212102632969618E-13</v>
      </c>
      <c r="AJ158" s="13">
        <f>AI158*VLOOKUP('Données projet'!$B$10,Paramètres!$A$1:$I$89,3,0)*VLOOKUP('Données projet'!$B$10,Paramètres!$A$1:$I$89,5,0)</f>
        <v>-4.0790837374515837E-13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302.29526572690196</v>
      </c>
      <c r="AO158" s="59">
        <f t="shared" si="144"/>
        <v>234.86746802631617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30.424682094697612</v>
      </c>
      <c r="AV158" s="21">
        <f>EXP(-LN(2)/25)*AV157+(1-EXP(-LN(2)/25))/(LN(2)/25)*Calculateur!AQ158*Calculateur!AS158*VLOOKUP('Données projet'!$B$10,Paramètres!$A$1:$I$89,3,0)*0.475*44/12</f>
        <v>8.2728911175851909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38.697573212282805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401.53485840000047</v>
      </c>
      <c r="BF158" s="13">
        <f t="shared" si="167"/>
        <v>92.087764815279797</v>
      </c>
      <c r="BG158" s="20">
        <f t="shared" si="168"/>
        <v>859.72606876661303</v>
      </c>
      <c r="BH158" s="59">
        <f t="shared" si="116"/>
        <v>1146.9754237917928</v>
      </c>
      <c r="BI158" s="59">
        <f ca="1">AVERAGE(OFFSET($BH$3,0,0,'Données projet'!$E$11+1,1))-AVERAGE(OFFSET($H$3,0,0,'Données projet'!$E$11+1,1))</f>
        <v>627.65081154031589</v>
      </c>
      <c r="BJ158" s="59">
        <f t="shared" si="146"/>
        <v>288.78083487077618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69.689976852139552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69.689976852139552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422.30390280000046</v>
      </c>
      <c r="CA158" s="13">
        <f t="shared" si="170"/>
        <v>96.284060891681165</v>
      </c>
      <c r="CB158" s="20">
        <f t="shared" si="171"/>
        <v>903.20737009634547</v>
      </c>
      <c r="CC158" s="59">
        <f t="shared" si="119"/>
        <v>1190.4567251215251</v>
      </c>
      <c r="CD158" s="59">
        <f ca="1">AVERAGE(OFFSET($CC$3,0,0,'Données projet'!$E$12+1,1))-AVERAGE(OFFSET($H$3,0,0,'Données projet'!$E$12+1,1))</f>
        <v>655.36321433908199</v>
      </c>
      <c r="CE158" s="59">
        <f t="shared" si="148"/>
        <v>300.52980782068698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73.294630827250231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73.294630827250231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287.35489844709201</v>
      </c>
      <c r="S159" s="59">
        <f ca="1">AVERAGE(OFFSET($R$3,0,0,'Données projet'!$E$9+1,1))-AVERAGE(OFFSET($H$3,0,0,'Données projet'!$E$9+1,1))</f>
        <v>297.34058997955685</v>
      </c>
      <c r="T159" s="59">
        <f t="shared" si="142"/>
        <v>440.06633724144069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6.8544347914401076</v>
      </c>
      <c r="AA159" s="21">
        <f>EXP(-LN(2)/25)*AA158+(1-EXP(-LN(2)/25))/(LN(2)/25)*Calculateur!V159*Calculateur!X159*VLOOKUP('Données projet'!$B$9,Paramètres!$A$1:$I$89,3,0)*0.475*44/12</f>
        <v>5.7341790641241772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12.588613855564285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-6.8212102632969618E-13</v>
      </c>
      <c r="AJ159" s="13">
        <f>AI159*VLOOKUP('Données projet'!$B$10,Paramètres!$A$1:$I$89,3,0)*VLOOKUP('Données projet'!$B$10,Paramètres!$A$1:$I$89,5,0)</f>
        <v>-4.0790837374515837E-13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302.29526572690196</v>
      </c>
      <c r="AO159" s="59">
        <f t="shared" si="144"/>
        <v>234.86746802631617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29.828072636044297</v>
      </c>
      <c r="AV159" s="21">
        <f>EXP(-LN(2)/25)*AV158+(1-EXP(-LN(2)/25))/(LN(2)/25)*Calculateur!AQ159*Calculateur!AS159*VLOOKUP('Données projet'!$B$10,Paramètres!$A$1:$I$89,3,0)*0.475*44/12</f>
        <v>8.046668474922388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37.874741110966681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409.1740848000004</v>
      </c>
      <c r="BF159" s="13">
        <f t="shared" si="167"/>
        <v>93.634108404325715</v>
      </c>
      <c r="BG159" s="20">
        <f t="shared" si="168"/>
        <v>875.72426983086791</v>
      </c>
      <c r="BH159" s="59">
        <f t="shared" si="116"/>
        <v>1163.0791682779563</v>
      </c>
      <c r="BI159" s="59">
        <f ca="1">AVERAGE(OFFSET($BH$3,0,0,'Données projet'!$E$11+1,1))-AVERAGE(OFFSET($H$3,0,0,'Données projet'!$E$11+1,1))</f>
        <v>627.65081154031589</v>
      </c>
      <c r="BJ159" s="59">
        <f t="shared" si="146"/>
        <v>288.78083487077618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68.323398912757781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68.323398912757781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430.33826160000041</v>
      </c>
      <c r="CA159" s="13">
        <f t="shared" si="170"/>
        <v>97.900868950665071</v>
      </c>
      <c r="CB159" s="20">
        <f t="shared" si="171"/>
        <v>920.01648570907571</v>
      </c>
      <c r="CC159" s="59">
        <f t="shared" si="119"/>
        <v>1207.3713841561639</v>
      </c>
      <c r="CD159" s="59">
        <f ca="1">AVERAGE(OFFSET($CC$3,0,0,'Données projet'!$E$12+1,1))-AVERAGE(OFFSET($H$3,0,0,'Données projet'!$E$12+1,1))</f>
        <v>655.36321433908199</v>
      </c>
      <c r="CE159" s="59">
        <f t="shared" si="148"/>
        <v>300.52980782068698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71.85736782203837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71.85736782203837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287.45861092659027</v>
      </c>
      <c r="S160" s="59">
        <f ca="1">AVERAGE(OFFSET($R$3,0,0,'Données projet'!$E$9+1,1))-AVERAGE(OFFSET($H$3,0,0,'Données projet'!$E$9+1,1))</f>
        <v>297.34058997955685</v>
      </c>
      <c r="T160" s="59">
        <f t="shared" si="142"/>
        <v>440.06633724144069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6.720023505972371</v>
      </c>
      <c r="AA160" s="21">
        <f>EXP(-LN(2)/25)*AA159+(1-EXP(-LN(2)/25))/(LN(2)/25)*Calculateur!V160*Calculateur!X160*VLOOKUP('Données projet'!$B$9,Paramètres!$A$1:$I$89,3,0)*0.475*44/12</f>
        <v>5.5773776360683298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12.297401142040702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-6.8212102632969618E-13</v>
      </c>
      <c r="AJ160" s="13">
        <f>AI160*VLOOKUP('Données projet'!$B$10,Paramètres!$A$1:$I$89,3,0)*VLOOKUP('Données projet'!$B$10,Paramètres!$A$1:$I$89,5,0)</f>
        <v>-4.0790837374515837E-13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302.29526572690196</v>
      </c>
      <c r="AO160" s="59">
        <f t="shared" si="144"/>
        <v>234.86746802631617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29.243162324979334</v>
      </c>
      <c r="AV160" s="21">
        <f>EXP(-LN(2)/25)*AV159+(1-EXP(-LN(2)/25))/(LN(2)/25)*Calculateur!AQ160*Calculateur!AS160*VLOOKUP('Données projet'!$B$10,Paramètres!$A$1:$I$89,3,0)*0.475*44/12</f>
        <v>7.8266319023197308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37.069794227299063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416.81331120000038</v>
      </c>
      <c r="BF160" s="13">
        <f t="shared" si="167"/>
        <v>95.177094964322421</v>
      </c>
      <c r="BG160" s="20">
        <f t="shared" si="168"/>
        <v>891.71662406952885</v>
      </c>
      <c r="BH160" s="59">
        <f t="shared" si="116"/>
        <v>1179.1752349961155</v>
      </c>
      <c r="BI160" s="59">
        <f ca="1">AVERAGE(OFFSET($BH$3,0,0,'Données projet'!$E$11+1,1))-AVERAGE(OFFSET($H$3,0,0,'Données projet'!$E$11+1,1))</f>
        <v>627.65081154031589</v>
      </c>
      <c r="BJ160" s="59">
        <f t="shared" si="146"/>
        <v>288.78083487077618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66.983618733237051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66.983618733237051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438.37262040000041</v>
      </c>
      <c r="CA160" s="13">
        <f t="shared" si="170"/>
        <v>99.514167006012443</v>
      </c>
      <c r="CB160" s="20">
        <f t="shared" si="171"/>
        <v>936.81948806547246</v>
      </c>
      <c r="CC160" s="59">
        <f t="shared" si="119"/>
        <v>1224.2780989920591</v>
      </c>
      <c r="CD160" s="59">
        <f ca="1">AVERAGE(OFFSET($CC$3,0,0,'Données projet'!$E$12+1,1))-AVERAGE(OFFSET($H$3,0,0,'Données projet'!$E$12+1,1))</f>
        <v>655.36321433908199</v>
      </c>
      <c r="CE160" s="59">
        <f t="shared" si="148"/>
        <v>300.52980782068698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70.448288667714849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70.448288667714849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287.56052422643569</v>
      </c>
      <c r="S161" s="59">
        <f ca="1">AVERAGE(OFFSET($R$3,0,0,'Données projet'!$E$9+1,1))-AVERAGE(OFFSET($H$3,0,0,'Données projet'!$E$9+1,1))</f>
        <v>297.34058997955685</v>
      </c>
      <c r="T161" s="59">
        <f t="shared" si="142"/>
        <v>440.06633724144069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6.5882479438298676</v>
      </c>
      <c r="AA161" s="21">
        <f>EXP(-LN(2)/25)*AA160+(1-EXP(-LN(2)/25))/(LN(2)/25)*Calculateur!V161*Calculateur!X161*VLOOKUP('Données projet'!$B$9,Paramètres!$A$1:$I$89,3,0)*0.475*44/12</f>
        <v>5.4248639513084989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12.013111895138366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-6.8212102632969618E-13</v>
      </c>
      <c r="AJ161" s="13">
        <f>AI161*VLOOKUP('Données projet'!$B$10,Paramètres!$A$1:$I$89,3,0)*VLOOKUP('Données projet'!$B$10,Paramètres!$A$1:$I$89,5,0)</f>
        <v>-4.0790837374515837E-13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302.29526572690196</v>
      </c>
      <c r="AO161" s="59">
        <f t="shared" si="144"/>
        <v>234.86746802631617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28.669721748354291</v>
      </c>
      <c r="AV161" s="21">
        <f>EXP(-LN(2)/25)*AV160+(1-EXP(-LN(2)/25))/(LN(2)/25)*Calculateur!AQ161*Calculateur!AS161*VLOOKUP('Données projet'!$B$10,Paramètres!$A$1:$I$89,3,0)*0.475*44/12</f>
        <v>7.6126122413661141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36.282333989720406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424.45253760000043</v>
      </c>
      <c r="BF161" s="13">
        <f t="shared" si="167"/>
        <v>96.716793118095666</v>
      </c>
      <c r="BG161" s="20">
        <f t="shared" si="168"/>
        <v>907.70325100068385</v>
      </c>
      <c r="BH161" s="59">
        <f t="shared" si="116"/>
        <v>1195.2637752271157</v>
      </c>
      <c r="BI161" s="59">
        <f ca="1">AVERAGE(OFFSET($BH$3,0,0,'Données projet'!$E$11+1,1))-AVERAGE(OFFSET($H$3,0,0,'Données projet'!$E$11+1,1))</f>
        <v>627.65081154031589</v>
      </c>
      <c r="BJ161" s="59">
        <f t="shared" si="146"/>
        <v>288.78083487077618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65.670110825851509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65.670110825851509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446.40697920000036</v>
      </c>
      <c r="CA161" s="13">
        <f t="shared" si="170"/>
        <v>101.12402680758419</v>
      </c>
      <c r="CB161" s="20">
        <f t="shared" si="171"/>
        <v>953.61650212987649</v>
      </c>
      <c r="CC161" s="59">
        <f t="shared" si="119"/>
        <v>1241.1770263563085</v>
      </c>
      <c r="CD161" s="59">
        <f ca="1">AVERAGE(OFFSET($CC$3,0,0,'Données projet'!$E$12+1,1))-AVERAGE(OFFSET($H$3,0,0,'Données projet'!$E$12+1,1))</f>
        <v>655.36321433908199</v>
      </c>
      <c r="CE161" s="59">
        <f t="shared" si="148"/>
        <v>300.52980782068698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69.066840696154188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69.066840696154188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287.66066955837266</v>
      </c>
      <c r="S162" s="59">
        <f ca="1">AVERAGE(OFFSET($R$3,0,0,'Données projet'!$E$9+1,1))-AVERAGE(OFFSET($H$3,0,0,'Données projet'!$E$9+1,1))</f>
        <v>297.34058997955685</v>
      </c>
      <c r="T162" s="59">
        <f t="shared" si="142"/>
        <v>440.06633724144069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6.4590564200858225</v>
      </c>
      <c r="AA162" s="21">
        <f>EXP(-LN(2)/25)*AA161+(1-EXP(-LN(2)/25))/(LN(2)/25)*Calculateur!V162*Calculateur!X162*VLOOKUP('Données projet'!$B$9,Paramètres!$A$1:$I$89,3,0)*0.475*44/12</f>
        <v>5.2765207612787712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11.735577181364594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-6.8212102632969618E-13</v>
      </c>
      <c r="AJ162" s="13">
        <f>AI162*VLOOKUP('Données projet'!$B$10,Paramètres!$A$1:$I$89,3,0)*VLOOKUP('Données projet'!$B$10,Paramètres!$A$1:$I$89,5,0)</f>
        <v>-4.0790837374515837E-13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302.29526572690196</v>
      </c>
      <c r="AO162" s="59">
        <f t="shared" si="144"/>
        <v>234.86746802631617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28.107525991672652</v>
      </c>
      <c r="AV162" s="21">
        <f>EXP(-LN(2)/25)*AV161+(1-EXP(-LN(2)/25))/(LN(2)/25)*Calculateur!AQ162*Calculateur!AS162*VLOOKUP('Données projet'!$B$10,Paramètres!$A$1:$I$89,3,0)*0.475*44/12</f>
        <v>7.4044449592960788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35.511970950968731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432.09176400000035</v>
      </c>
      <c r="BF162" s="13">
        <f t="shared" si="167"/>
        <v>98.253268876899142</v>
      </c>
      <c r="BG162" s="20">
        <f t="shared" si="168"/>
        <v>923.68426559393322</v>
      </c>
      <c r="BH162" s="59">
        <f t="shared" si="116"/>
        <v>1211.3449351523022</v>
      </c>
      <c r="BI162" s="59">
        <f ca="1">AVERAGE(OFFSET($BH$3,0,0,'Données projet'!$E$11+1,1))-AVERAGE(OFFSET($H$3,0,0,'Données projet'!$E$11+1,1))</f>
        <v>627.65081154031589</v>
      </c>
      <c r="BJ162" s="59">
        <f t="shared" si="146"/>
        <v>288.78083487077618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64.382360007369087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64.382360007369087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454.44133800000043</v>
      </c>
      <c r="CA162" s="13">
        <f t="shared" si="170"/>
        <v>102.73051737466415</v>
      </c>
      <c r="CB162" s="20">
        <f t="shared" si="171"/>
        <v>970.40764811087411</v>
      </c>
      <c r="CC162" s="59">
        <f t="shared" si="119"/>
        <v>1258.068317669243</v>
      </c>
      <c r="CD162" s="59">
        <f ca="1">AVERAGE(OFFSET($CC$3,0,0,'Données projet'!$E$12+1,1))-AVERAGE(OFFSET($H$3,0,0,'Données projet'!$E$12+1,1))</f>
        <v>655.36321433908199</v>
      </c>
      <c r="CE162" s="59">
        <f t="shared" si="148"/>
        <v>300.52980782068698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67.712482076715773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67.712482076715773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287.75907759269205</v>
      </c>
      <c r="S163" s="59">
        <f ca="1">AVERAGE(OFFSET($R$3,0,0,'Données projet'!$E$9+1,1))-AVERAGE(OFFSET($H$3,0,0,'Données projet'!$E$9+1,1))</f>
        <v>297.34058997955685</v>
      </c>
      <c r="T163" s="59">
        <f t="shared" si="142"/>
        <v>440.06633724144069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6.3323982633233493</v>
      </c>
      <c r="AA163" s="21">
        <f>EXP(-LN(2)/25)*AA162+(1-EXP(-LN(2)/25))/(LN(2)/25)*Calculateur!V163*Calculateur!X163*VLOOKUP('Données projet'!$B$9,Paramètres!$A$1:$I$89,3,0)*0.475*44/12</f>
        <v>5.1322340235814359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11.464632286904784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-6.8212102632969618E-13</v>
      </c>
      <c r="AJ163" s="13">
        <f>AI163*VLOOKUP('Données projet'!$B$10,Paramètres!$A$1:$I$89,3,0)*VLOOKUP('Données projet'!$B$10,Paramètres!$A$1:$I$89,5,0)</f>
        <v>-4.0790837374515837E-13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302.29526572690196</v>
      </c>
      <c r="AO163" s="59">
        <f t="shared" si="144"/>
        <v>234.86746802631617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27.556354550873987</v>
      </c>
      <c r="AV163" s="21">
        <f>EXP(-LN(2)/25)*AV162+(1-EXP(-LN(2)/25))/(LN(2)/25)*Calculateur!AQ163*Calculateur!AS163*VLOOKUP('Données projet'!$B$10,Paramètres!$A$1:$I$89,3,0)*0.475*44/12</f>
        <v>7.2019700225012899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34.758324573375276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439.73099040000034</v>
      </c>
      <c r="BF163" s="13">
        <f t="shared" si="167"/>
        <v>99.786585784186272</v>
      </c>
      <c r="BG163" s="20">
        <f t="shared" si="168"/>
        <v>939.65977852079175</v>
      </c>
      <c r="BH163" s="59">
        <f t="shared" si="116"/>
        <v>1227.4188561134802</v>
      </c>
      <c r="BI163" s="59">
        <f ca="1">AVERAGE(OFFSET($BH$3,0,0,'Données projet'!$E$11+1,1))-AVERAGE(OFFSET($H$3,0,0,'Données projet'!$E$11+1,1))</f>
        <v>627.65081154031589</v>
      </c>
      <c r="BJ163" s="59">
        <f t="shared" si="146"/>
        <v>288.78083487077618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63.119861196986655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63.119861196986655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462.47569680000038</v>
      </c>
      <c r="CA163" s="13">
        <f t="shared" si="170"/>
        <v>104.33370514628203</v>
      </c>
      <c r="CB163" s="20">
        <f t="shared" si="171"/>
        <v>987.19304172310842</v>
      </c>
      <c r="CC163" s="59">
        <f t="shared" si="119"/>
        <v>1274.9521193157968</v>
      </c>
      <c r="CD163" s="59">
        <f ca="1">AVERAGE(OFFSET($CC$3,0,0,'Données projet'!$E$12+1,1))-AVERAGE(OFFSET($H$3,0,0,'Données projet'!$E$12+1,1))</f>
        <v>655.36321433908199</v>
      </c>
      <c r="CE163" s="59">
        <f t="shared" si="148"/>
        <v>300.52980782068698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66.384681603727358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66.384681603727358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287.8557784676234</v>
      </c>
      <c r="S164" s="59">
        <f ca="1">AVERAGE(OFFSET($R$3,0,0,'Données projet'!$E$9+1,1))-AVERAGE(OFFSET($H$3,0,0,'Données projet'!$E$9+1,1))</f>
        <v>297.34058997955685</v>
      </c>
      <c r="T164" s="59">
        <f t="shared" si="142"/>
        <v>440.06633724144069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6.2082237957611408</v>
      </c>
      <c r="AA164" s="21">
        <f>EXP(-LN(2)/25)*AA163+(1-EXP(-LN(2)/25))/(LN(2)/25)*Calculateur!V164*Calculateur!X164*VLOOKUP('Données projet'!$B$9,Paramètres!$A$1:$I$89,3,0)*0.475*44/12</f>
        <v>4.9918928143141441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11.200116610075284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-6.8212102632969618E-13</v>
      </c>
      <c r="AJ164" s="13">
        <f>AI164*VLOOKUP('Données projet'!$B$10,Paramètres!$A$1:$I$89,3,0)*VLOOKUP('Données projet'!$B$10,Paramètres!$A$1:$I$89,5,0)</f>
        <v>-4.0790837374515837E-13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302.29526572690196</v>
      </c>
      <c r="AO164" s="59">
        <f t="shared" si="144"/>
        <v>234.86746802631617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27.015991245847999</v>
      </c>
      <c r="AV164" s="21">
        <f>EXP(-LN(2)/25)*AV163+(1-EXP(-LN(2)/25))/(LN(2)/25)*Calculateur!AQ164*Calculateur!AS164*VLOOKUP('Données projet'!$B$10,Paramètres!$A$1:$I$89,3,0)*0.475*44/12</f>
        <v>7.0050317735008489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34.021023019348846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447.37021680000026</v>
      </c>
      <c r="BF164" s="13">
        <f t="shared" si="167"/>
        <v>101.3168050491076</v>
      </c>
      <c r="BG164" s="20">
        <f t="shared" si="168"/>
        <v>955.62989638719603</v>
      </c>
      <c r="BH164" s="59">
        <f t="shared" si="116"/>
        <v>1243.4856748548157</v>
      </c>
      <c r="BI164" s="59">
        <f ca="1">AVERAGE(OFFSET($BH$3,0,0,'Données projet'!$E$11+1,1))-AVERAGE(OFFSET($H$3,0,0,'Données projet'!$E$11+1,1))</f>
        <v>627.65081154031589</v>
      </c>
      <c r="BJ164" s="59">
        <f t="shared" si="146"/>
        <v>288.78083487077618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61.882119218227587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61.882119218227587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470.51005560000038</v>
      </c>
      <c r="CA164" s="13">
        <f t="shared" si="170"/>
        <v>105.93365412079402</v>
      </c>
      <c r="CB164" s="20">
        <f t="shared" si="171"/>
        <v>1003.9727944303836</v>
      </c>
      <c r="CC164" s="59">
        <f t="shared" si="119"/>
        <v>1291.8285728980034</v>
      </c>
      <c r="CD164" s="59">
        <f ca="1">AVERAGE(OFFSET($CC$3,0,0,'Données projet'!$E$12+1,1))-AVERAGE(OFFSET($H$3,0,0,'Données projet'!$E$12+1,1))</f>
        <v>655.36321433908199</v>
      </c>
      <c r="CE164" s="59">
        <f t="shared" si="148"/>
        <v>300.52980782068698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65.082918488135917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65.082918488135917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287.95080179856541</v>
      </c>
      <c r="S165" s="59">
        <f ca="1">AVERAGE(OFFSET($R$3,0,0,'Données projet'!$E$9+1,1))-AVERAGE(OFFSET($H$3,0,0,'Données projet'!$E$9+1,1))</f>
        <v>297.34058997955685</v>
      </c>
      <c r="T165" s="59">
        <f t="shared" si="142"/>
        <v>440.06633724144069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6.0864843137688807</v>
      </c>
      <c r="AA165" s="21">
        <f>EXP(-LN(2)/25)*AA164+(1-EXP(-LN(2)/25))/(LN(2)/25)*Calculateur!V165*Calculateur!X165*VLOOKUP('Données projet'!$B$9,Paramètres!$A$1:$I$89,3,0)*0.475*44/12</f>
        <v>4.85538924279449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10.941873556563371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-6.8212102632969618E-13</v>
      </c>
      <c r="AJ165" s="13">
        <f>AI165*VLOOKUP('Données projet'!$B$10,Paramètres!$A$1:$I$89,3,0)*VLOOKUP('Données projet'!$B$10,Paramètres!$A$1:$I$89,5,0)</f>
        <v>-4.0790837374515837E-13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302.29526572690196</v>
      </c>
      <c r="AO165" s="59">
        <f t="shared" si="144"/>
        <v>234.86746802631617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26.486224135644502</v>
      </c>
      <c r="AV165" s="21">
        <f>EXP(-LN(2)/25)*AV164+(1-EXP(-LN(2)/25))/(LN(2)/25)*Calculateur!AQ165*Calculateur!AS165*VLOOKUP('Données projet'!$B$10,Paramètres!$A$1:$I$89,3,0)*0.475*44/12</f>
        <v>6.8134788112758571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33.299702946920362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455.00944320000031</v>
      </c>
      <c r="BF165" s="13">
        <f t="shared" si="167"/>
        <v>102.84398567063174</v>
      </c>
      <c r="BG165" s="20">
        <f t="shared" si="168"/>
        <v>971.59472194968396</v>
      </c>
      <c r="BH165" s="59">
        <f t="shared" si="116"/>
        <v>1259.5455237482456</v>
      </c>
      <c r="BI165" s="59">
        <f ca="1">AVERAGE(OFFSET($BH$3,0,0,'Données projet'!$E$11+1,1))-AVERAGE(OFFSET($H$3,0,0,'Données projet'!$E$11+1,1))</f>
        <v>627.65081154031589</v>
      </c>
      <c r="BJ165" s="59">
        <f t="shared" si="146"/>
        <v>288.78083487077618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60.66864860472392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60.66864860472392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478.54441440000033</v>
      </c>
      <c r="CA165" s="13">
        <f t="shared" si="170"/>
        <v>107.53042598566002</v>
      </c>
      <c r="CB165" s="20">
        <f t="shared" si="171"/>
        <v>1020.7470136716917</v>
      </c>
      <c r="CC165" s="59">
        <f t="shared" si="119"/>
        <v>1308.6978154702533</v>
      </c>
      <c r="CD165" s="59">
        <f ca="1">AVERAGE(OFFSET($CC$3,0,0,'Données projet'!$E$12+1,1))-AVERAGE(OFFSET($H$3,0,0,'Données projet'!$E$12+1,1))</f>
        <v>655.36321433908199</v>
      </c>
      <c r="CE165" s="59">
        <f t="shared" si="148"/>
        <v>300.52980782068698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63.806682153244132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63.806682153244132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288.04417668715593</v>
      </c>
      <c r="S166" s="59">
        <f ca="1">AVERAGE(OFFSET($R$3,0,0,'Données projet'!$E$9+1,1))-AVERAGE(OFFSET($H$3,0,0,'Données projet'!$E$9+1,1))</f>
        <v>297.34058997955685</v>
      </c>
      <c r="T166" s="59">
        <f t="shared" si="142"/>
        <v>440.06633724144069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5.9671320687647365</v>
      </c>
      <c r="AA166" s="21">
        <f>EXP(-LN(2)/25)*AA165+(1-EXP(-LN(2)/25))/(LN(2)/25)*Calculateur!V166*Calculateur!X166*VLOOKUP('Données projet'!$B$9,Paramètres!$A$1:$I$89,3,0)*0.475*44/12</f>
        <v>4.7226183686164518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10.689750437381189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-6.8212102632969618E-13</v>
      </c>
      <c r="AJ166" s="13">
        <f>AI166*VLOOKUP('Données projet'!$B$10,Paramètres!$A$1:$I$89,3,0)*VLOOKUP('Données projet'!$B$10,Paramètres!$A$1:$I$89,5,0)</f>
        <v>-4.0790837374515837E-13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302.29526572690196</v>
      </c>
      <c r="AO166" s="59">
        <f t="shared" si="144"/>
        <v>234.86746802631617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25.966845435346062</v>
      </c>
      <c r="AV166" s="21">
        <f>EXP(-LN(2)/25)*AV165+(1-EXP(-LN(2)/25))/(LN(2)/25)*Calculateur!AQ166*Calculateur!AS166*VLOOKUP('Données projet'!$B$10,Paramètres!$A$1:$I$89,3,0)*0.475*44/12</f>
        <v>6.6271638748762403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32.594009310222305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462.64866960000029</v>
      </c>
      <c r="BF166" s="13">
        <f t="shared" si="167"/>
        <v>104.36818455309495</v>
      </c>
      <c r="BG166" s="20">
        <f t="shared" si="168"/>
        <v>987.5543543166408</v>
      </c>
      <c r="BH166" s="59">
        <f t="shared" si="116"/>
        <v>1275.5985310037931</v>
      </c>
      <c r="BI166" s="59">
        <f ca="1">AVERAGE(OFFSET($BH$3,0,0,'Données projet'!$E$11+1,1))-AVERAGE(OFFSET($H$3,0,0,'Données projet'!$E$11+1,1))</f>
        <v>627.65081154031589</v>
      </c>
      <c r="BJ166" s="59">
        <f t="shared" si="146"/>
        <v>288.78083487077618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59.478973409807068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59.478973409807068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486.57877320000034</v>
      </c>
      <c r="CA166" s="13">
        <f t="shared" si="170"/>
        <v>109.12408023825806</v>
      </c>
      <c r="CB166" s="20">
        <f t="shared" si="171"/>
        <v>1037.5158030716334</v>
      </c>
      <c r="CC166" s="59">
        <f t="shared" si="119"/>
        <v>1325.5599797587856</v>
      </c>
      <c r="CD166" s="59">
        <f ca="1">AVERAGE(OFFSET($CC$3,0,0,'Données projet'!$E$12+1,1))-AVERAGE(OFFSET($H$3,0,0,'Données projet'!$E$12+1,1))</f>
        <v>655.36321433908199</v>
      </c>
      <c r="CE166" s="59">
        <f t="shared" si="148"/>
        <v>300.52980782068698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62.555472034452272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62.555472034452272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288.13593173018438</v>
      </c>
      <c r="S167" s="59">
        <f ca="1">AVERAGE(OFFSET($R$3,0,0,'Données projet'!$E$9+1,1))-AVERAGE(OFFSET($H$3,0,0,'Données projet'!$E$9+1,1))</f>
        <v>297.34058997955685</v>
      </c>
      <c r="T167" s="59">
        <f t="shared" si="142"/>
        <v>440.06633724144069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5.8501202484874417</v>
      </c>
      <c r="AA167" s="21">
        <f>EXP(-LN(2)/25)*AA166+(1-EXP(-LN(2)/25))/(LN(2)/25)*Calculateur!V167*Calculateur!X167*VLOOKUP('Données projet'!$B$9,Paramètres!$A$1:$I$89,3,0)*0.475*44/12</f>
        <v>4.5934781209749289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10.443598369462372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-6.8212102632969618E-13</v>
      </c>
      <c r="AJ167" s="13">
        <f>AI167*VLOOKUP('Données projet'!$B$10,Paramètres!$A$1:$I$89,3,0)*VLOOKUP('Données projet'!$B$10,Paramètres!$A$1:$I$89,5,0)</f>
        <v>-4.0790837374515837E-13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302.29526572690196</v>
      </c>
      <c r="AO167" s="59">
        <f t="shared" si="144"/>
        <v>234.86746802631617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25.457651434570749</v>
      </c>
      <c r="AV167" s="21">
        <f>EXP(-LN(2)/25)*AV166+(1-EXP(-LN(2)/25))/(LN(2)/25)*Calculateur!AQ167*Calculateur!AS167*VLOOKUP('Données projet'!$B$10,Paramètres!$A$1:$I$89,3,0)*0.475*44/12</f>
        <v>6.4459437302103479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31.903595164781098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470.28789600000022</v>
      </c>
      <c r="BF167" s="13">
        <f t="shared" si="167"/>
        <v>105.88945661390174</v>
      </c>
      <c r="BG167" s="20">
        <f t="shared" si="168"/>
        <v>1003.5088891358791</v>
      </c>
      <c r="BH167" s="59">
        <f t="shared" si="116"/>
        <v>1291.6448208660599</v>
      </c>
      <c r="BI167" s="59">
        <f ca="1">AVERAGE(OFFSET($BH$3,0,0,'Données projet'!$E$11+1,1))-AVERAGE(OFFSET($H$3,0,0,'Données projet'!$E$11+1,1))</f>
        <v>627.65081154031589</v>
      </c>
      <c r="BJ167" s="59">
        <f t="shared" si="146"/>
        <v>288.78083487077618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73.687796339175065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73.687796339175065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494.61313200000029</v>
      </c>
      <c r="CA167" s="13">
        <f t="shared" si="170"/>
        <v>110.71467429849332</v>
      </c>
      <c r="CB167" s="20">
        <f t="shared" si="171"/>
        <v>1054.2792626365431</v>
      </c>
      <c r="CC167" s="59">
        <f t="shared" si="119"/>
        <v>1342.4151943667239</v>
      </c>
      <c r="CD167" s="59">
        <f ca="1">AVERAGE(OFFSET($CC$3,0,0,'Données projet'!$E$12+1,1))-AVERAGE(OFFSET($H$3,0,0,'Données projet'!$E$12+1,1))</f>
        <v>655.36321433908199</v>
      </c>
      <c r="CE167" s="59">
        <f t="shared" si="148"/>
        <v>300.52980782068698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77.499234080856539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77.499234080856539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288.22609502834985</v>
      </c>
      <c r="S168" s="59">
        <f ca="1">AVERAGE(OFFSET($R$3,0,0,'Données projet'!$E$9+1,1))-AVERAGE(OFFSET($H$3,0,0,'Données projet'!$E$9+1,1))</f>
        <v>297.34058997955685</v>
      </c>
      <c r="T168" s="59">
        <f t="shared" si="142"/>
        <v>440.06633724144069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5.7354029586356221</v>
      </c>
      <c r="AA168" s="21">
        <f>EXP(-LN(2)/25)*AA167+(1-EXP(-LN(2)/25))/(LN(2)/25)*Calculateur!V168*Calculateur!X168*VLOOKUP('Données projet'!$B$9,Paramètres!$A$1:$I$89,3,0)*0.475*44/12</f>
        <v>4.4678692201963539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10.203272178831977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-6.8212102632969618E-13</v>
      </c>
      <c r="AJ168" s="13">
        <f>AI168*VLOOKUP('Données projet'!$B$10,Paramètres!$A$1:$I$89,3,0)*VLOOKUP('Données projet'!$B$10,Paramètres!$A$1:$I$89,5,0)</f>
        <v>-4.0790837374515837E-13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302.29526572690196</v>
      </c>
      <c r="AO168" s="59">
        <f t="shared" si="144"/>
        <v>234.86746802631617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24.958442417572964</v>
      </c>
      <c r="AV168" s="21">
        <f>EXP(-LN(2)/25)*AV167+(1-EXP(-LN(2)/25))/(LN(2)/25)*Calculateur!AQ168*Calculateur!AS168*VLOOKUP('Données projet'!$B$10,Paramètres!$A$1:$I$89,3,0)*0.475*44/12</f>
        <v>6.2696790599302972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31.228121477503262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424.11233280000033</v>
      </c>
      <c r="BF168" s="13">
        <f t="shared" si="167"/>
        <v>96.648293340367189</v>
      </c>
      <c r="BG168" s="20">
        <f t="shared" si="168"/>
        <v>906.99142386114011</v>
      </c>
      <c r="BH168" s="59">
        <f t="shared" si="116"/>
        <v>1195.2175188894862</v>
      </c>
      <c r="BI168" s="59">
        <f ca="1">AVERAGE(OFFSET($BH$3,0,0,'Données projet'!$E$11+1,1))-AVERAGE(OFFSET($H$3,0,0,'Données projet'!$E$11+1,1))</f>
        <v>627.65081154031589</v>
      </c>
      <c r="BJ168" s="59">
        <f t="shared" si="146"/>
        <v>288.78083487077618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72.242823598081642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72.242823598081642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446.04917760000041</v>
      </c>
      <c r="CA168" s="13">
        <f t="shared" si="170"/>
        <v>101.05240560162805</v>
      </c>
      <c r="CB168" s="20">
        <f t="shared" si="171"/>
        <v>952.8685907428362</v>
      </c>
      <c r="CC168" s="59">
        <f t="shared" si="119"/>
        <v>1241.0946857711824</v>
      </c>
      <c r="CD168" s="59">
        <f ca="1">AVERAGE(OFFSET($CC$3,0,0,'Données projet'!$E$12+1,1))-AVERAGE(OFFSET($H$3,0,0,'Données projet'!$E$12+1,1))</f>
        <v>655.36321433908199</v>
      </c>
      <c r="CE168" s="59">
        <f t="shared" si="148"/>
        <v>300.52980782068698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75.979521370396213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75.979521370396213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288.31469419486712</v>
      </c>
      <c r="S169" s="59">
        <f ca="1">AVERAGE(OFFSET($R$3,0,0,'Données projet'!$E$9+1,1))-AVERAGE(OFFSET($H$3,0,0,'Données projet'!$E$9+1,1))</f>
        <v>297.34058997955685</v>
      </c>
      <c r="T169" s="59">
        <f t="shared" si="142"/>
        <v>440.06633724144069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5.6229352048671588</v>
      </c>
      <c r="AA169" s="21">
        <f>EXP(-LN(2)/25)*AA168+(1-EXP(-LN(2)/25))/(LN(2)/25)*Calculateur!V169*Calculateur!X169*VLOOKUP('Données projet'!$B$9,Paramètres!$A$1:$I$89,3,0)*0.475*44/12</f>
        <v>4.3456951014150533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9.9686303062822113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-6.8212102632969618E-13</v>
      </c>
      <c r="AJ169" s="13">
        <f>AI169*VLOOKUP('Données projet'!$B$10,Paramètres!$A$1:$I$89,3,0)*VLOOKUP('Données projet'!$B$10,Paramètres!$A$1:$I$89,5,0)</f>
        <v>-4.0790837374515837E-13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302.29526572690196</v>
      </c>
      <c r="AO169" s="59">
        <f t="shared" si="144"/>
        <v>234.86746802631617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24.469022584911073</v>
      </c>
      <c r="AV169" s="21">
        <f>EXP(-LN(2)/25)*AV168+(1-EXP(-LN(2)/25))/(LN(2)/25)*Calculateur!AQ169*Calculateur!AS169*VLOOKUP('Données projet'!$B$10,Paramètres!$A$1:$I$89,3,0)*0.475*44/12</f>
        <v>6.0982343563284109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30.567256941239485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431.84475360000033</v>
      </c>
      <c r="BF169" s="13">
        <f t="shared" si="167"/>
        <v>98.203637489221336</v>
      </c>
      <c r="BG169" s="20">
        <f t="shared" si="168"/>
        <v>923.16761448039449</v>
      </c>
      <c r="BH169" s="59">
        <f t="shared" si="116"/>
        <v>1211.4823086752579</v>
      </c>
      <c r="BI169" s="59">
        <f ca="1">AVERAGE(OFFSET($BH$3,0,0,'Données projet'!$E$11+1,1))-AVERAGE(OFFSET($H$3,0,0,'Données projet'!$E$11+1,1))</f>
        <v>627.65081154031589</v>
      </c>
      <c r="BJ169" s="59">
        <f t="shared" si="146"/>
        <v>288.78083487077618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70.826185891094724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70.826185891094724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454.1815512000004</v>
      </c>
      <c r="CA169" s="13">
        <f t="shared" si="170"/>
        <v>102.67862436191818</v>
      </c>
      <c r="CB169" s="20">
        <f t="shared" si="171"/>
        <v>969.8648057703416</v>
      </c>
      <c r="CC169" s="59">
        <f t="shared" si="119"/>
        <v>1258.179499965205</v>
      </c>
      <c r="CD169" s="59">
        <f ca="1">AVERAGE(OFFSET($CC$3,0,0,'Données projet'!$E$12+1,1))-AVERAGE(OFFSET($H$3,0,0,'Données projet'!$E$12+1,1))</f>
        <v>655.36321433908199</v>
      </c>
      <c r="CE169" s="59">
        <f t="shared" si="148"/>
        <v>300.52980782068698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74.489609299254795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74.489609299254795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288.40175636392331</v>
      </c>
      <c r="S170" s="59">
        <f ca="1">AVERAGE(OFFSET($R$3,0,0,'Données projet'!$E$9+1,1))-AVERAGE(OFFSET($H$3,0,0,'Données projet'!$E$9+1,1))</f>
        <v>297.34058997955685</v>
      </c>
      <c r="T170" s="59">
        <f t="shared" si="142"/>
        <v>440.06633724144069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5.512672875151539</v>
      </c>
      <c r="AA170" s="21">
        <f>EXP(-LN(2)/25)*AA169+(1-EXP(-LN(2)/25))/(LN(2)/25)*Calculateur!V170*Calculateur!X170*VLOOKUP('Données projet'!$B$9,Paramètres!$A$1:$I$89,3,0)*0.475*44/12</f>
        <v>4.2268618403366851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9.7395347154882241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-6.8212102632969618E-13</v>
      </c>
      <c r="AJ170" s="13">
        <f>AI170*VLOOKUP('Données projet'!$B$10,Paramètres!$A$1:$I$89,3,0)*VLOOKUP('Données projet'!$B$10,Paramètres!$A$1:$I$89,5,0)</f>
        <v>-4.0790837374515837E-13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302.29526572690196</v>
      </c>
      <c r="AO170" s="59">
        <f t="shared" si="144"/>
        <v>234.86746802631617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23.989199976651058</v>
      </c>
      <c r="AV170" s="21">
        <f>EXP(-LN(2)/25)*AV169+(1-EXP(-LN(2)/25))/(LN(2)/25)*Calculateur!AQ170*Calculateur!AS170*VLOOKUP('Données projet'!$B$10,Paramètres!$A$1:$I$89,3,0)*0.475*44/12</f>
        <v>5.9314778171624036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29.920677793813461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439.57717440000033</v>
      </c>
      <c r="BF170" s="13">
        <f t="shared" si="167"/>
        <v>99.755743172047673</v>
      </c>
      <c r="BG170" s="20">
        <f t="shared" si="168"/>
        <v>939.33816477131688</v>
      </c>
      <c r="BH170" s="59">
        <f t="shared" si="116"/>
        <v>1227.7399211352365</v>
      </c>
      <c r="BI170" s="59">
        <f ca="1">AVERAGE(OFFSET($BH$3,0,0,'Données projet'!$E$11+1,1))-AVERAGE(OFFSET($H$3,0,0,'Données projet'!$E$11+1,1))</f>
        <v>627.65081154031589</v>
      </c>
      <c r="BJ170" s="59">
        <f t="shared" si="146"/>
        <v>288.78083487077618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69.43732758547813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69.43732758547813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462.31392480000034</v>
      </c>
      <c r="CA170" s="13">
        <f t="shared" si="170"/>
        <v>104.30145708432539</v>
      </c>
      <c r="CB170" s="20">
        <f t="shared" si="171"/>
        <v>986.85512344853396</v>
      </c>
      <c r="CC170" s="59">
        <f t="shared" si="119"/>
        <v>1275.2568798124535</v>
      </c>
      <c r="CD170" s="59">
        <f ca="1">AVERAGE(OFFSET($CC$3,0,0,'Données projet'!$E$12+1,1))-AVERAGE(OFFSET($H$3,0,0,'Données projet'!$E$12+1,1))</f>
        <v>655.36321433908199</v>
      </c>
      <c r="CE170" s="59">
        <f t="shared" si="148"/>
        <v>300.52980782068698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73.028913495071833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73.028913495071833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288.48730819898822</v>
      </c>
      <c r="S171" s="59">
        <f ca="1">AVERAGE(OFFSET($R$3,0,0,'Données projet'!$E$9+1,1))-AVERAGE(OFFSET($H$3,0,0,'Données projet'!$E$9+1,1))</f>
        <v>297.34058997955685</v>
      </c>
      <c r="T171" s="59">
        <f t="shared" si="142"/>
        <v>440.06633724144069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5.404572722468262</v>
      </c>
      <c r="AA171" s="21">
        <f>EXP(-LN(2)/25)*AA170+(1-EXP(-LN(2)/25))/(LN(2)/25)*Calculateur!V171*Calculateur!X171*VLOOKUP('Données projet'!$B$9,Paramètres!$A$1:$I$89,3,0)*0.475*44/12</f>
        <v>4.1112780810316751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9.5158508034999372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-6.8212102632969618E-13</v>
      </c>
      <c r="AJ171" s="13">
        <f>AI171*VLOOKUP('Données projet'!$B$10,Paramètres!$A$1:$I$89,3,0)*VLOOKUP('Données projet'!$B$10,Paramètres!$A$1:$I$89,5,0)</f>
        <v>-4.0790837374515837E-13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302.29526572690196</v>
      </c>
      <c r="AO171" s="59">
        <f t="shared" si="144"/>
        <v>234.86746802631617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23.518786397076131</v>
      </c>
      <c r="AV171" s="21">
        <f>EXP(-LN(2)/25)*AV170+(1-EXP(-LN(2)/25))/(LN(2)/25)*Calculateur!AQ171*Calculateur!AS171*VLOOKUP('Données projet'!$B$10,Paramètres!$A$1:$I$89,3,0)*0.475*44/12</f>
        <v>5.7692812443292363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29.288067641405366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447.30959520000027</v>
      </c>
      <c r="BF171" s="13">
        <f t="shared" si="167"/>
        <v>101.30467392781068</v>
      </c>
      <c r="BG171" s="20">
        <f t="shared" si="168"/>
        <v>955.50318539760417</v>
      </c>
      <c r="BH171" s="59">
        <f t="shared" si="116"/>
        <v>1243.9904935965887</v>
      </c>
      <c r="BI171" s="59">
        <f ca="1">AVERAGE(OFFSET($BH$3,0,0,'Données projet'!$E$11+1,1))-AVERAGE(OFFSET($H$3,0,0,'Données projet'!$E$11+1,1))</f>
        <v>627.65081154031589</v>
      </c>
      <c r="BJ171" s="59">
        <f t="shared" si="146"/>
        <v>288.78083487077618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68.075703944114764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68.075703944114764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470.44629840000033</v>
      </c>
      <c r="CA171" s="13">
        <f t="shared" si="170"/>
        <v>105.92097020318585</v>
      </c>
      <c r="CB171" s="20">
        <f t="shared" si="171"/>
        <v>1003.8396594838824</v>
      </c>
      <c r="CC171" s="59">
        <f t="shared" si="119"/>
        <v>1292.326967682867</v>
      </c>
      <c r="CD171" s="59">
        <f ca="1">AVERAGE(OFFSET($CC$3,0,0,'Données projet'!$E$12+1,1))-AVERAGE(OFFSET($H$3,0,0,'Données projet'!$E$12+1,1))</f>
        <v>655.36321433908199</v>
      </c>
      <c r="CE171" s="59">
        <f t="shared" si="148"/>
        <v>300.52980782068698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71.596861044672423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71.596861044672423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288.57137590098012</v>
      </c>
      <c r="S172" s="59">
        <f ca="1">AVERAGE(OFFSET($R$3,0,0,'Données projet'!$E$9+1,1))-AVERAGE(OFFSET($H$3,0,0,'Données projet'!$E$9+1,1))</f>
        <v>297.34058997955685</v>
      </c>
      <c r="T172" s="59">
        <f t="shared" si="142"/>
        <v>440.06633724144069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5.2985923478445214</v>
      </c>
      <c r="AA172" s="21">
        <f>EXP(-LN(2)/25)*AA171+(1-EXP(-LN(2)/25))/(LN(2)/25)*Calculateur!V172*Calculateur!X172*VLOOKUP('Données projet'!$B$9,Paramètres!$A$1:$I$89,3,0)*0.475*44/12</f>
        <v>3.998854965703146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9.2974473135476678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-6.8212102632969618E-13</v>
      </c>
      <c r="AJ172" s="13">
        <f>AI172*VLOOKUP('Données projet'!$B$10,Paramètres!$A$1:$I$89,3,0)*VLOOKUP('Données projet'!$B$10,Paramètres!$A$1:$I$89,5,0)</f>
        <v>-4.0790837374515837E-13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302.29526572690196</v>
      </c>
      <c r="AO172" s="59">
        <f t="shared" si="144"/>
        <v>234.86746802631617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23.057597340872714</v>
      </c>
      <c r="AV172" s="21">
        <f>EXP(-LN(2)/25)*AV171+(1-EXP(-LN(2)/25))/(LN(2)/25)*Calculateur!AQ172*Calculateur!AS172*VLOOKUP('Données projet'!$B$10,Paramètres!$A$1:$I$89,3,0)*0.475*44/12</f>
        <v>5.6115199453097384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28.669117286182452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455.04201600000027</v>
      </c>
      <c r="BF172" s="13">
        <f t="shared" si="167"/>
        <v>102.85049097288233</v>
      </c>
      <c r="BG172" s="20">
        <f t="shared" si="168"/>
        <v>971.66278297777069</v>
      </c>
      <c r="BH172" s="59">
        <f t="shared" si="116"/>
        <v>1260.2341588787472</v>
      </c>
      <c r="BI172" s="59">
        <f ca="1">AVERAGE(OFFSET($BH$3,0,0,'Données projet'!$E$11+1,1))-AVERAGE(OFFSET($H$3,0,0,'Données projet'!$E$11+1,1))</f>
        <v>627.65081154031589</v>
      </c>
      <c r="BJ172" s="59">
        <f t="shared" si="146"/>
        <v>288.78083487077618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66.740780911850109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66.740780911850109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478.57867200000032</v>
      </c>
      <c r="CA172" s="13">
        <f t="shared" si="170"/>
        <v>107.53722772440642</v>
      </c>
      <c r="CB172" s="20">
        <f t="shared" si="171"/>
        <v>1020.8185253533417</v>
      </c>
      <c r="CC172" s="59">
        <f t="shared" si="119"/>
        <v>1309.3899012543181</v>
      </c>
      <c r="CD172" s="59">
        <f ca="1">AVERAGE(OFFSET($CC$3,0,0,'Données projet'!$E$12+1,1))-AVERAGE(OFFSET($H$3,0,0,'Données projet'!$E$12+1,1))</f>
        <v>655.36321433908199</v>
      </c>
      <c r="CE172" s="59">
        <f t="shared" si="148"/>
        <v>300.52980782068698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70.192890269359609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70.192890269359609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288.65398521628958</v>
      </c>
      <c r="S173" s="59">
        <f ca="1">AVERAGE(OFFSET($R$3,0,0,'Données projet'!$E$9+1,1))-AVERAGE(OFFSET($H$3,0,0,'Données projet'!$E$9+1,1))</f>
        <v>297.34058997955685</v>
      </c>
      <c r="T173" s="59">
        <f t="shared" si="142"/>
        <v>440.06633724144069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5.1946901837255064</v>
      </c>
      <c r="AA173" s="21">
        <f>EXP(-LN(2)/25)*AA172+(1-EXP(-LN(2)/25))/(LN(2)/25)*Calculateur!V173*Calculateur!X173*VLOOKUP('Données projet'!$B$9,Paramètres!$A$1:$I$89,3,0)*0.475*44/12</f>
        <v>3.8895060663753505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9.084196250100856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-6.8212102632969618E-13</v>
      </c>
      <c r="AJ173" s="13">
        <f>AI173*VLOOKUP('Données projet'!$B$10,Paramètres!$A$1:$I$89,3,0)*VLOOKUP('Données projet'!$B$10,Paramètres!$A$1:$I$89,5,0)</f>
        <v>-4.0790837374515837E-13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302.29526572690196</v>
      </c>
      <c r="AO173" s="59">
        <f t="shared" si="144"/>
        <v>234.86746802631617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22.605451920763898</v>
      </c>
      <c r="AV173" s="21">
        <f>EXP(-LN(2)/25)*AV172+(1-EXP(-LN(2)/25))/(LN(2)/25)*Calculateur!AQ173*Calculateur!AS173*VLOOKUP('Données projet'!$B$10,Paramètres!$A$1:$I$89,3,0)*0.475*44/12</f>
        <v>5.4580726373082351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28.063524558072132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462.77443680000027</v>
      </c>
      <c r="BF173" s="13">
        <f t="shared" si="167"/>
        <v>104.39325332394039</v>
      </c>
      <c r="BG173" s="20">
        <f t="shared" si="168"/>
        <v>987.81706029919678</v>
      </c>
      <c r="BH173" s="59">
        <f t="shared" si="116"/>
        <v>1276.4710455154827</v>
      </c>
      <c r="BI173" s="59">
        <f ca="1">AVERAGE(OFFSET($BH$3,0,0,'Données projet'!$E$11+1,1))-AVERAGE(OFFSET($H$3,0,0,'Données projet'!$E$11+1,1))</f>
        <v>627.65081154031589</v>
      </c>
      <c r="BJ173" s="59">
        <f t="shared" si="146"/>
        <v>288.78083487077618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65.432034906025521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65.432034906025521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486.71104560000038</v>
      </c>
      <c r="CA173" s="13">
        <f t="shared" si="170"/>
        <v>109.15029135396269</v>
      </c>
      <c r="CB173" s="20">
        <f t="shared" si="171"/>
        <v>1037.7918285281523</v>
      </c>
      <c r="CC173" s="59">
        <f t="shared" si="119"/>
        <v>1326.4458137444383</v>
      </c>
      <c r="CD173" s="59">
        <f ca="1">AVERAGE(OFFSET($CC$3,0,0,'Données projet'!$E$12+1,1))-AVERAGE(OFFSET($H$3,0,0,'Données projet'!$E$12+1,1))</f>
        <v>655.36321433908199</v>
      </c>
      <c r="CE173" s="59">
        <f t="shared" si="148"/>
        <v>300.52980782068698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68.816450504613059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68.816450504613059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288.73516144466521</v>
      </c>
      <c r="S174" s="59">
        <f ca="1">AVERAGE(OFFSET($R$3,0,0,'Données projet'!$E$9+1,1))-AVERAGE(OFFSET($H$3,0,0,'Données projet'!$E$9+1,1))</f>
        <v>297.34058997955685</v>
      </c>
      <c r="T174" s="59">
        <f t="shared" si="142"/>
        <v>440.06633724144069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5.0928254776708028</v>
      </c>
      <c r="AA174" s="21">
        <f>EXP(-LN(2)/25)*AA173+(1-EXP(-LN(2)/25))/(LN(2)/25)*Calculateur!V174*Calculateur!X174*VLOOKUP('Données projet'!$B$9,Paramètres!$A$1:$I$89,3,0)*0.475*44/12</f>
        <v>3.7831473184500819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8.8759727961208839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-6.8212102632969618E-13</v>
      </c>
      <c r="AJ174" s="13">
        <f>AI174*VLOOKUP('Données projet'!$B$10,Paramètres!$A$1:$I$89,3,0)*VLOOKUP('Données projet'!$B$10,Paramètres!$A$1:$I$89,5,0)</f>
        <v>-4.0790837374515837E-13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302.29526572690196</v>
      </c>
      <c r="AO174" s="59">
        <f t="shared" si="144"/>
        <v>234.86746802631617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22.16217279656194</v>
      </c>
      <c r="AV174" s="21">
        <f>EXP(-LN(2)/25)*AV173+(1-EXP(-LN(2)/25))/(LN(2)/25)*Calculateur!AQ174*Calculateur!AS174*VLOOKUP('Données projet'!$B$10,Paramètres!$A$1:$I$89,3,0)*0.475*44/12</f>
        <v>5.3088213540134763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27.470994150575414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470.50685760000033</v>
      </c>
      <c r="BF174" s="13">
        <f t="shared" si="167"/>
        <v>105.93301791241842</v>
      </c>
      <c r="BG174" s="20">
        <f t="shared" si="168"/>
        <v>1003.9661165174626</v>
      </c>
      <c r="BH174" s="59">
        <f t="shared" si="116"/>
        <v>1292.7012779621241</v>
      </c>
      <c r="BI174" s="59">
        <f ca="1">AVERAGE(OFFSET($BH$3,0,0,'Données projet'!$E$11+1,1))-AVERAGE(OFFSET($H$3,0,0,'Données projet'!$E$11+1,1))</f>
        <v>627.65081154031589</v>
      </c>
      <c r="BJ174" s="59">
        <f t="shared" si="146"/>
        <v>288.78083487077618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64.148952611118901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64.148952611118901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494.84341920000037</v>
      </c>
      <c r="CA174" s="13">
        <f t="shared" si="170"/>
        <v>110.76022061756538</v>
      </c>
      <c r="CB174" s="20">
        <f t="shared" si="171"/>
        <v>1054.7596726822603</v>
      </c>
      <c r="CC174" s="59">
        <f t="shared" si="119"/>
        <v>1343.4948341269219</v>
      </c>
      <c r="CD174" s="59">
        <f ca="1">AVERAGE(OFFSET($CC$3,0,0,'Données projet'!$E$12+1,1))-AVERAGE(OFFSET($H$3,0,0,'Données projet'!$E$12+1,1))</f>
        <v>655.36321433908199</v>
      </c>
      <c r="CE174" s="59">
        <f t="shared" si="148"/>
        <v>300.52980782068698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67.46700188410783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67.46700188410783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288.81492944696134</v>
      </c>
      <c r="S175" s="59">
        <f ca="1">AVERAGE(OFFSET($R$3,0,0,'Données projet'!$E$9+1,1))-AVERAGE(OFFSET($H$3,0,0,'Données projet'!$E$9+1,1))</f>
        <v>297.34058997955685</v>
      </c>
      <c r="T175" s="59">
        <f t="shared" si="142"/>
        <v>440.06633724144069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4.9929582763704961</v>
      </c>
      <c r="AA175" s="21">
        <f>EXP(-LN(2)/25)*AA174+(1-EXP(-LN(2)/25))/(LN(2)/25)*Calculateur!V175*Calculateur!X175*VLOOKUP('Données projet'!$B$9,Paramètres!$A$1:$I$89,3,0)*0.475*44/12</f>
        <v>3.6796969560799933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8.6726552324504897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-6.8212102632969618E-13</v>
      </c>
      <c r="AJ175" s="13">
        <f>AI175*VLOOKUP('Données projet'!$B$10,Paramètres!$A$1:$I$89,3,0)*VLOOKUP('Données projet'!$B$10,Paramètres!$A$1:$I$89,5,0)</f>
        <v>-4.0790837374515837E-13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302.29526572690196</v>
      </c>
      <c r="AO175" s="59">
        <f t="shared" si="144"/>
        <v>234.86746802631617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21.727586105612016</v>
      </c>
      <c r="AV175" s="21">
        <f>EXP(-LN(2)/25)*AV174+(1-EXP(-LN(2)/25))/(LN(2)/25)*Calculateur!AQ175*Calculateur!AS175*VLOOKUP('Données projet'!$B$10,Paramètres!$A$1:$I$89,3,0)*0.475*44/12</f>
        <v>5.163651354909196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26.891237460521211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478.23927840000039</v>
      </c>
      <c r="BF175" s="13">
        <f t="shared" si="167"/>
        <v>107.46983969122122</v>
      </c>
      <c r="BG175" s="20">
        <f t="shared" si="168"/>
        <v>1020.110047342211</v>
      </c>
      <c r="BH175" s="59">
        <f t="shared" si="116"/>
        <v>1308.9249767891688</v>
      </c>
      <c r="BI175" s="59">
        <f ca="1">AVERAGE(OFFSET($BH$3,0,0,'Données projet'!$E$11+1,1))-AVERAGE(OFFSET($H$3,0,0,'Données projet'!$E$11+1,1))</f>
        <v>627.65081154031589</v>
      </c>
      <c r="BJ175" s="59">
        <f t="shared" si="146"/>
        <v>288.78083487077618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62.891030777412482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62.891030777412482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502.97579280000042</v>
      </c>
      <c r="CA175" s="13">
        <f t="shared" si="170"/>
        <v>112.36707297223725</v>
      </c>
      <c r="CB175" s="20">
        <f t="shared" si="171"/>
        <v>1071.7221578866472</v>
      </c>
      <c r="CC175" s="59">
        <f t="shared" si="119"/>
        <v>1360.5370873336049</v>
      </c>
      <c r="CD175" s="59">
        <f ca="1">AVERAGE(OFFSET($CC$3,0,0,'Données projet'!$E$12+1,1))-AVERAGE(OFFSET($H$3,0,0,'Données projet'!$E$12+1,1))</f>
        <v>655.36321433908199</v>
      </c>
      <c r="CE175" s="59">
        <f t="shared" si="148"/>
        <v>300.52980782068698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66.144015127968316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66.144015127968316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288.89331365275217</v>
      </c>
      <c r="S176" s="59">
        <f ca="1">AVERAGE(OFFSET($R$3,0,0,'Données projet'!$E$9+1,1))-AVERAGE(OFFSET($H$3,0,0,'Données projet'!$E$9+1,1))</f>
        <v>297.34058997955685</v>
      </c>
      <c r="T176" s="59">
        <f t="shared" si="142"/>
        <v>440.06633724144069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4.8950494099747104</v>
      </c>
      <c r="AA176" s="21">
        <f>EXP(-LN(2)/25)*AA175+(1-EXP(-LN(2)/25))/(LN(2)/25)*Calculateur!V176*Calculateur!X176*VLOOKUP('Données projet'!$B$9,Paramètres!$A$1:$I$89,3,0)*0.475*44/12</f>
        <v>3.579075449309133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8.4741248592838438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-6.8212102632969618E-13</v>
      </c>
      <c r="AJ176" s="13">
        <f>AI176*VLOOKUP('Données projet'!$B$10,Paramètres!$A$1:$I$89,3,0)*VLOOKUP('Données projet'!$B$10,Paramètres!$A$1:$I$89,5,0)</f>
        <v>-4.0790837374515837E-13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302.29526572690196</v>
      </c>
      <c r="AO176" s="59">
        <f t="shared" si="144"/>
        <v>234.86746802631617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21.301521394599909</v>
      </c>
      <c r="AV176" s="21">
        <f>EXP(-LN(2)/25)*AV175+(1-EXP(-LN(2)/25))/(LN(2)/25)*Calculateur!AQ176*Calculateur!AS176*VLOOKUP('Données projet'!$B$10,Paramètres!$A$1:$I$89,3,0)*0.475*44/12</f>
        <v>5.022451037064581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26.32397243166449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485.97169920000039</v>
      </c>
      <c r="BF176" s="13">
        <f t="shared" si="167"/>
        <v>109.00377173434057</v>
      </c>
      <c r="BG176" s="20">
        <f t="shared" si="168"/>
        <v>1036.2489452106438</v>
      </c>
      <c r="BH176" s="59">
        <f t="shared" si="116"/>
        <v>1325.1422588633923</v>
      </c>
      <c r="BI176" s="59">
        <f ca="1">AVERAGE(OFFSET($BH$3,0,0,'Données projet'!$E$11+1,1))-AVERAGE(OFFSET($H$3,0,0,'Données projet'!$E$11+1,1))</f>
        <v>627.65081154031589</v>
      </c>
      <c r="BJ176" s="59">
        <f t="shared" si="146"/>
        <v>288.78083487077618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61.657776023608484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61.657776023608484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511.10816640000047</v>
      </c>
      <c r="CA176" s="13">
        <f t="shared" si="170"/>
        <v>113.97090391046954</v>
      </c>
      <c r="CB176" s="20">
        <f t="shared" si="171"/>
        <v>1088.6793807907352</v>
      </c>
      <c r="CC176" s="59">
        <f t="shared" si="119"/>
        <v>1377.5726944434837</v>
      </c>
      <c r="CD176" s="59">
        <f ca="1">AVERAGE(OFFSET($CC$3,0,0,'Données projet'!$E$12+1,1))-AVERAGE(OFFSET($H$3,0,0,'Données projet'!$E$12+1,1))</f>
        <v>655.36321433908199</v>
      </c>
      <c r="CE176" s="59">
        <f t="shared" si="148"/>
        <v>300.52980782068698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64.846971335174459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64.846971335174459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288.97033806781343</v>
      </c>
      <c r="S177" s="59">
        <f ca="1">AVERAGE(OFFSET($R$3,0,0,'Données projet'!$E$9+1,1))-AVERAGE(OFFSET($H$3,0,0,'Données projet'!$E$9+1,1))</f>
        <v>297.34058997955685</v>
      </c>
      <c r="T177" s="59">
        <f t="shared" si="142"/>
        <v>440.06633724144069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4.7990604767304346</v>
      </c>
      <c r="AA177" s="21">
        <f>EXP(-LN(2)/25)*AA176+(1-EXP(-LN(2)/25))/(LN(2)/25)*Calculateur!V177*Calculateur!X177*VLOOKUP('Données projet'!$B$9,Paramètres!$A$1:$I$89,3,0)*0.475*44/12</f>
        <v>3.4812054429323771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8.2802659196628117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-6.8212102632969618E-13</v>
      </c>
      <c r="AJ177" s="13">
        <f>AI177*VLOOKUP('Données projet'!$B$10,Paramètres!$A$1:$I$89,3,0)*VLOOKUP('Données projet'!$B$10,Paramètres!$A$1:$I$89,5,0)</f>
        <v>-4.0790837374515837E-13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302.29526572690196</v>
      </c>
      <c r="AO177" s="59">
        <f t="shared" si="144"/>
        <v>234.86746802631617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20.88381155269694</v>
      </c>
      <c r="AV177" s="21">
        <f>EXP(-LN(2)/25)*AV176+(1-EXP(-LN(2)/25))/(LN(2)/25)*Calculateur!AQ177*Calculateur!AS177*VLOOKUP('Données projet'!$B$10,Paramètres!$A$1:$I$89,3,0)*0.475*44/12</f>
        <v>4.8851118493368286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25.768923402033771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493.7041200000005</v>
      </c>
      <c r="BF177" s="13">
        <f t="shared" si="167"/>
        <v>110.53486532995269</v>
      </c>
      <c r="BG177" s="20">
        <f t="shared" si="168"/>
        <v>1052.3828994496685</v>
      </c>
      <c r="BH177" s="59">
        <f t="shared" si="116"/>
        <v>1341.3532375174782</v>
      </c>
      <c r="BI177" s="59">
        <f ca="1">AVERAGE(OFFSET($BH$3,0,0,'Données projet'!$E$11+1,1))-AVERAGE(OFFSET($H$3,0,0,'Données projet'!$E$11+1,1))</f>
        <v>627.65081154031589</v>
      </c>
      <c r="BJ177" s="59">
        <f t="shared" si="146"/>
        <v>288.78083487077618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115.87208689768337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115.87208689768337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519.24054000000058</v>
      </c>
      <c r="CA177" s="13">
        <f t="shared" si="170"/>
        <v>115.57176705756082</v>
      </c>
      <c r="CB177" s="20">
        <f t="shared" si="171"/>
        <v>1105.6314347919194</v>
      </c>
      <c r="CC177" s="59">
        <f t="shared" si="119"/>
        <v>1394.6017728597292</v>
      </c>
      <c r="CD177" s="59">
        <f ca="1">AVERAGE(OFFSET($CC$3,0,0,'Données projet'!$E$12+1,1))-AVERAGE(OFFSET($H$3,0,0,'Données projet'!$E$12+1,1))</f>
        <v>655.36321433908199</v>
      </c>
      <c r="CE177" s="59">
        <f t="shared" si="148"/>
        <v>300.52980782068698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121.86547070273599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121.86547070273599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289.0460262814741</v>
      </c>
      <c r="S178" s="59">
        <f ca="1">AVERAGE(OFFSET($R$3,0,0,'Données projet'!$E$9+1,1))-AVERAGE(OFFSET($H$3,0,0,'Données projet'!$E$9+1,1))</f>
        <v>297.34058997955685</v>
      </c>
      <c r="T178" s="59">
        <f t="shared" si="142"/>
        <v>440.06633724144069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4.7049538279196108</v>
      </c>
      <c r="AA178" s="21">
        <f>EXP(-LN(2)/25)*AA177+(1-EXP(-LN(2)/25))/(LN(2)/25)*Calculateur!V178*Calculateur!X178*VLOOKUP('Données projet'!$B$9,Paramètres!$A$1:$I$89,3,0)*0.475*44/12</f>
        <v>3.3860116970267535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8.0909655249463643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-6.8212102632969618E-13</v>
      </c>
      <c r="AJ178" s="13">
        <f>AI178*VLOOKUP('Données projet'!$B$10,Paramètres!$A$1:$I$89,3,0)*VLOOKUP('Données projet'!$B$10,Paramètres!$A$1:$I$89,5,0)</f>
        <v>-4.0790837374515837E-13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302.29526572690196</v>
      </c>
      <c r="AO178" s="59">
        <f t="shared" si="144"/>
        <v>234.86746802631617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20.474292746015841</v>
      </c>
      <c r="AV178" s="21">
        <f>EXP(-LN(2)/25)*AV177+(1-EXP(-LN(2)/25))/(LN(2)/25)*Calculateur!AQ178*Calculateur!AS178*VLOOKUP('Données projet'!$B$10,Paramètres!$A$1:$I$89,3,0)*0.475*44/12</f>
        <v>4.7515282089198463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25.225820954935688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304.2540800000005</v>
      </c>
      <c r="BF178" s="13">
        <f t="shared" si="167"/>
        <v>72.067549889405967</v>
      </c>
      <c r="BG178" s="20">
        <f t="shared" si="168"/>
        <v>655.42683872404962</v>
      </c>
      <c r="BH178" s="59">
        <f t="shared" si="116"/>
        <v>944.47286500552002</v>
      </c>
      <c r="BI178" s="59">
        <f ca="1">AVERAGE(OFFSET($BH$3,0,0,'Données projet'!$E$11+1,1))-AVERAGE(OFFSET($H$3,0,0,'Données projet'!$E$11+1,1))</f>
        <v>627.65081154031589</v>
      </c>
      <c r="BJ178" s="59">
        <f t="shared" si="146"/>
        <v>288.78083487077618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113.59990594861424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113.59990594861424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319.9913600000005</v>
      </c>
      <c r="CA178" s="13">
        <f t="shared" si="170"/>
        <v>75.351555939975256</v>
      </c>
      <c r="CB178" s="20">
        <f t="shared" si="171"/>
        <v>688.55557859545763</v>
      </c>
      <c r="CC178" s="59">
        <f t="shared" si="119"/>
        <v>977.60160487692804</v>
      </c>
      <c r="CD178" s="59">
        <f ca="1">AVERAGE(OFFSET($CC$3,0,0,'Données projet'!$E$12+1,1))-AVERAGE(OFFSET($H$3,0,0,'Données projet'!$E$12+1,1))</f>
        <v>655.36321433908199</v>
      </c>
      <c r="CE178" s="59">
        <f t="shared" si="148"/>
        <v>300.52980782068698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119.47576315285293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119.47576315285293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289.1204014738413</v>
      </c>
      <c r="S179" s="59">
        <f ca="1">AVERAGE(OFFSET($R$3,0,0,'Données projet'!$E$9+1,1))-AVERAGE(OFFSET($H$3,0,0,'Données projet'!$E$9+1,1))</f>
        <v>297.34058997955685</v>
      </c>
      <c r="T179" s="59">
        <f t="shared" si="142"/>
        <v>440.06633724144069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4.6126925530925789</v>
      </c>
      <c r="AA179" s="21">
        <f>EXP(-LN(2)/25)*AA178+(1-EXP(-LN(2)/25))/(LN(2)/25)*Calculateur!V179*Calculateur!X179*VLOOKUP('Données projet'!$B$9,Paramètres!$A$1:$I$89,3,0)*0.475*44/12</f>
        <v>3.2934210291089405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7.9061135822015194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-6.8212102632969618E-13</v>
      </c>
      <c r="AJ179" s="13">
        <f>AI179*VLOOKUP('Données projet'!$B$10,Paramètres!$A$1:$I$89,3,0)*VLOOKUP('Données projet'!$B$10,Paramètres!$A$1:$I$89,5,0)</f>
        <v>-4.0790837374515837E-13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302.29526572690196</v>
      </c>
      <c r="AO179" s="59">
        <f t="shared" si="144"/>
        <v>234.86746802631617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20.072804353351948</v>
      </c>
      <c r="AV179" s="21">
        <f>EXP(-LN(2)/25)*AV178+(1-EXP(-LN(2)/25))/(LN(2)/25)*Calculateur!AQ179*Calculateur!AS179*VLOOKUP('Données projet'!$B$10,Paramètres!$A$1:$I$89,3,0)*0.475*44/12</f>
        <v>4.6215974201749246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24.694401773526874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309.12793600000049</v>
      </c>
      <c r="BF179" s="13">
        <f t="shared" si="167"/>
        <v>73.086678650713282</v>
      </c>
      <c r="BG179" s="20">
        <f t="shared" si="168"/>
        <v>665.6904538499931</v>
      </c>
      <c r="BH179" s="59">
        <f t="shared" si="116"/>
        <v>954.81085532383076</v>
      </c>
      <c r="BI179" s="59">
        <f ca="1">AVERAGE(OFFSET($BH$3,0,0,'Données projet'!$E$11+1,1))-AVERAGE(OFFSET($H$3,0,0,'Données projet'!$E$11+1,1))</f>
        <v>627.65081154031589</v>
      </c>
      <c r="BJ179" s="59">
        <f t="shared" si="146"/>
        <v>288.78083487077618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111.37228108206281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111.37228108206281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325.11731200000048</v>
      </c>
      <c r="CA179" s="13">
        <f t="shared" si="170"/>
        <v>76.417124812311442</v>
      </c>
      <c r="CB179" s="20">
        <f t="shared" si="171"/>
        <v>699.33914411477656</v>
      </c>
      <c r="CC179" s="59">
        <f t="shared" si="119"/>
        <v>988.45954558861422</v>
      </c>
      <c r="CD179" s="59">
        <f ca="1">AVERAGE(OFFSET($CC$3,0,0,'Données projet'!$E$12+1,1))-AVERAGE(OFFSET($H$3,0,0,'Données projet'!$E$12+1,1))</f>
        <v>655.36321433908199</v>
      </c>
      <c r="CE179" s="59">
        <f t="shared" si="148"/>
        <v>300.52980782068698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117.1329163104454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117.1329163104454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289.19348642289896</v>
      </c>
      <c r="S180" s="59">
        <f ca="1">AVERAGE(OFFSET($R$3,0,0,'Données projet'!$E$9+1,1))-AVERAGE(OFFSET($H$3,0,0,'Données projet'!$E$9+1,1))</f>
        <v>297.34058997955685</v>
      </c>
      <c r="T180" s="59">
        <f t="shared" si="142"/>
        <v>440.06633724144069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4.5222404655910839</v>
      </c>
      <c r="AA180" s="21">
        <f>EXP(-LN(2)/25)*AA179+(1-EXP(-LN(2)/25))/(LN(2)/25)*Calculateur!V180*Calculateur!X180*VLOOKUP('Données projet'!$B$9,Paramètres!$A$1:$I$89,3,0)*0.475*44/12</f>
        <v>3.2033622578744718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7.7256027234655562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-6.8212102632969618E-13</v>
      </c>
      <c r="AJ180" s="13">
        <f>AI180*VLOOKUP('Données projet'!$B$10,Paramètres!$A$1:$I$89,3,0)*VLOOKUP('Données projet'!$B$10,Paramètres!$A$1:$I$89,5,0)</f>
        <v>-4.0790837374515837E-13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302.29526572690196</v>
      </c>
      <c r="AO180" s="59">
        <f t="shared" si="144"/>
        <v>234.86746802631617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19.679188903184457</v>
      </c>
      <c r="AV180" s="21">
        <f>EXP(-LN(2)/25)*AV179+(1-EXP(-LN(2)/25))/(LN(2)/25)*Calculateur!AQ180*Calculateur!AS180*VLOOKUP('Données projet'!$B$10,Paramètres!$A$1:$I$89,3,0)*0.475*44/12</f>
        <v>4.4952195956809957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24.174408498865454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314.00179200000048</v>
      </c>
      <c r="BF180" s="13">
        <f t="shared" si="167"/>
        <v>74.103938722927282</v>
      </c>
      <c r="BG180" s="20">
        <f t="shared" si="168"/>
        <v>675.95081434243241</v>
      </c>
      <c r="BH180" s="59">
        <f t="shared" si="116"/>
        <v>965.14430076532767</v>
      </c>
      <c r="BI180" s="59">
        <f ca="1">AVERAGE(OFFSET($BH$3,0,0,'Données projet'!$E$11+1,1))-AVERAGE(OFFSET($H$3,0,0,'Données projet'!$E$11+1,1))</f>
        <v>627.65081154031589</v>
      </c>
      <c r="BJ180" s="59">
        <f t="shared" si="146"/>
        <v>288.78083487077618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138.91418204963006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138.91418204963006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330.24326400000052</v>
      </c>
      <c r="CA180" s="13">
        <f t="shared" si="170"/>
        <v>77.480739842301588</v>
      </c>
      <c r="CB180" s="20">
        <f t="shared" si="171"/>
        <v>710.11930669200956</v>
      </c>
      <c r="CC180" s="59">
        <f t="shared" si="119"/>
        <v>999.31279311490482</v>
      </c>
      <c r="CD180" s="59">
        <f ca="1">AVERAGE(OFFSET($CC$3,0,0,'Données projet'!$E$12+1,1))-AVERAGE(OFFSET($H$3,0,0,'Données projet'!$E$12+1,1))</f>
        <v>655.36321433908199</v>
      </c>
      <c r="CE180" s="59">
        <f t="shared" si="148"/>
        <v>300.52980782068698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146.09939836254196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146.09939836254196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289.26530351148386</v>
      </c>
      <c r="S181" s="59">
        <f ca="1">AVERAGE(OFFSET($R$3,0,0,'Données projet'!$E$9+1,1))-AVERAGE(OFFSET($H$3,0,0,'Données projet'!$E$9+1,1))</f>
        <v>297.34058997955685</v>
      </c>
      <c r="T181" s="59">
        <f t="shared" si="142"/>
        <v>440.06633724144069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4.4335620883551679</v>
      </c>
      <c r="AA181" s="21">
        <f>EXP(-LN(2)/25)*AA180+(1-EXP(-LN(2)/25))/(LN(2)/25)*Calculateur!V181*Calculateur!X181*VLOOKUP('Données projet'!$B$9,Paramètres!$A$1:$I$89,3,0)*0.475*44/12</f>
        <v>3.1157661484753945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7.5493282368305623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-6.8212102632969618E-13</v>
      </c>
      <c r="AJ181" s="13">
        <f>AI181*VLOOKUP('Données projet'!$B$10,Paramètres!$A$1:$I$89,3,0)*VLOOKUP('Données projet'!$B$10,Paramètres!$A$1:$I$89,5,0)</f>
        <v>-4.0790837374515837E-13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302.29526572690196</v>
      </c>
      <c r="AO181" s="59">
        <f t="shared" si="144"/>
        <v>234.86746802631617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19.293292011913032</v>
      </c>
      <c r="AV181" s="21">
        <f>EXP(-LN(2)/25)*AV180+(1-EXP(-LN(2)/25))/(LN(2)/25)*Calculateur!AQ181*Calculateur!AS181*VLOOKUP('Données projet'!$B$10,Paramètres!$A$1:$I$89,3,0)*0.475*44/12</f>
        <v>4.3722975794437744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23.665589591356806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212.72451200000049</v>
      </c>
      <c r="BF181" s="13">
        <f t="shared" si="167"/>
        <v>52.530512718953382</v>
      </c>
      <c r="BG181" s="20">
        <f t="shared" si="168"/>
        <v>461.98583471884461</v>
      </c>
      <c r="BH181" s="59">
        <f t="shared" si="116"/>
        <v>751.25113823032484</v>
      </c>
      <c r="BI181" s="59">
        <f ca="1">AVERAGE(OFFSET($BH$3,0,0,'Données projet'!$E$11+1,1))-AVERAGE(OFFSET($H$3,0,0,'Données projet'!$E$11+1,1))</f>
        <v>627.65081154031589</v>
      </c>
      <c r="BJ181" s="59">
        <f t="shared" si="146"/>
        <v>288.78083487077618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136.19015966892155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136.19015966892155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223.72750400000049</v>
      </c>
      <c r="CA181" s="13">
        <f t="shared" si="170"/>
        <v>54.924246401772898</v>
      </c>
      <c r="CB181" s="20">
        <f t="shared" si="171"/>
        <v>485.31846528308853</v>
      </c>
      <c r="CC181" s="59">
        <f t="shared" si="119"/>
        <v>774.58376879456864</v>
      </c>
      <c r="CD181" s="59">
        <f ca="1">AVERAGE(OFFSET($CC$3,0,0,'Données projet'!$E$12+1,1))-AVERAGE(OFFSET($H$3,0,0,'Données projet'!$E$12+1,1))</f>
        <v>655.36321433908199</v>
      </c>
      <c r="CE181" s="59">
        <f t="shared" si="148"/>
        <v>300.52980782068698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143.23447827248646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143.23447827248646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289.33587473414082</v>
      </c>
      <c r="S182" s="59">
        <f ca="1">AVERAGE(OFFSET($R$3,0,0,'Données projet'!$E$9+1,1))-AVERAGE(OFFSET($H$3,0,0,'Données projet'!$E$9+1,1))</f>
        <v>297.34058997955685</v>
      </c>
      <c r="T182" s="59">
        <f t="shared" si="142"/>
        <v>440.06633724144069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4.3466226400083787</v>
      </c>
      <c r="AA182" s="21">
        <f>EXP(-LN(2)/25)*AA181+(1-EXP(-LN(2)/25))/(LN(2)/25)*Calculateur!V182*Calculateur!X182*VLOOKUP('Données projet'!$B$9,Paramètres!$A$1:$I$89,3,0)*0.475*44/12</f>
        <v>3.030565359294314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7.3771879993026932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-6.8212102632969618E-13</v>
      </c>
      <c r="AJ182" s="13">
        <f>AI182*VLOOKUP('Données projet'!$B$10,Paramètres!$A$1:$I$89,3,0)*VLOOKUP('Données projet'!$B$10,Paramètres!$A$1:$I$89,5,0)</f>
        <v>-4.0790837374515837E-13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302.29526572690196</v>
      </c>
      <c r="AO182" s="59">
        <f t="shared" si="144"/>
        <v>234.86746802631617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18.914962323305577</v>
      </c>
      <c r="AV182" s="21">
        <f>EXP(-LN(2)/25)*AV181+(1-EXP(-LN(2)/25))/(LN(2)/25)*Calculateur!AQ182*Calculateur!AS182*VLOOKUP('Données projet'!$B$10,Paramètres!$A$1:$I$89,3,0)*0.475*44/12</f>
        <v>4.2527368722047481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23.167699195510323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215.67114400000045</v>
      </c>
      <c r="BF182" s="13">
        <f t="shared" si="167"/>
        <v>53.172944836363733</v>
      </c>
      <c r="BG182" s="20">
        <f t="shared" si="168"/>
        <v>468.23678805666754</v>
      </c>
      <c r="BH182" s="59">
        <f t="shared" si="116"/>
        <v>757.57266279080466</v>
      </c>
      <c r="BI182" s="59">
        <f ca="1">AVERAGE(OFFSET($BH$3,0,0,'Données projet'!$E$11+1,1))-AVERAGE(OFFSET($H$3,0,0,'Données projet'!$E$11+1,1))</f>
        <v>627.65081154031589</v>
      </c>
      <c r="BJ182" s="59">
        <f t="shared" si="146"/>
        <v>288.78083487077618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133.51955370560913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133.51955370560913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226.82654800000051</v>
      </c>
      <c r="CA182" s="13">
        <f t="shared" si="170"/>
        <v>55.595953150607471</v>
      </c>
      <c r="CB182" s="20">
        <f t="shared" si="171"/>
        <v>491.88585617064223</v>
      </c>
      <c r="CC182" s="59">
        <f t="shared" si="119"/>
        <v>781.22173090477941</v>
      </c>
      <c r="CD182" s="59">
        <f ca="1">AVERAGE(OFFSET($CC$3,0,0,'Données projet'!$E$12+1,1))-AVERAGE(OFFSET($H$3,0,0,'Données projet'!$E$12+1,1))</f>
        <v>655.36321433908199</v>
      </c>
      <c r="CE182" s="59">
        <f t="shared" si="148"/>
        <v>300.52980782068698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140.42573751796823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140.42573751796823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289.40522170385833</v>
      </c>
      <c r="S183" s="59">
        <f ca="1">AVERAGE(OFFSET($R$3,0,0,'Données projet'!$E$9+1,1))-AVERAGE(OFFSET($H$3,0,0,'Données projet'!$E$9+1,1))</f>
        <v>297.34058997955685</v>
      </c>
      <c r="T183" s="59">
        <f t="shared" si="142"/>
        <v>440.06633724144069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4.2613880212158426</v>
      </c>
      <c r="AA183" s="21">
        <f>EXP(-LN(2)/25)*AA182+(1-EXP(-LN(2)/25))/(LN(2)/25)*Calculateur!V183*Calculateur!X183*VLOOKUP('Données projet'!$B$9,Paramètres!$A$1:$I$89,3,0)*0.475*44/12</f>
        <v>2.947694390173905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7.2090824113897476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-6.8212102632969618E-13</v>
      </c>
      <c r="AJ183" s="13">
        <f>AI183*VLOOKUP('Données projet'!$B$10,Paramètres!$A$1:$I$89,3,0)*VLOOKUP('Données projet'!$B$10,Paramètres!$A$1:$I$89,5,0)</f>
        <v>-4.0790837374515837E-13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302.29526572690196</v>
      </c>
      <c r="AO183" s="59">
        <f t="shared" si="144"/>
        <v>234.86746802631617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18.544051449133388</v>
      </c>
      <c r="AV183" s="21">
        <f>EXP(-LN(2)/25)*AV182+(1-EXP(-LN(2)/25))/(LN(2)/25)*Calculateur!AQ183*Calculateur!AS183*VLOOKUP('Données projet'!$B$10,Paramètres!$A$1:$I$89,3,0)*0.475*44/12</f>
        <v>4.1364455587925972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22.680497007925986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218.61777600000045</v>
      </c>
      <c r="BF183" s="13">
        <f t="shared" si="167"/>
        <v>53.814356054061541</v>
      </c>
      <c r="BG183" s="20">
        <f t="shared" si="168"/>
        <v>474.48596332749122</v>
      </c>
      <c r="BH183" s="59">
        <f t="shared" si="116"/>
        <v>763.89118503134591</v>
      </c>
      <c r="BI183" s="59">
        <f ca="1">AVERAGE(OFFSET($BH$3,0,0,'Données projet'!$E$11+1,1))-AVERAGE(OFFSET($H$3,0,0,'Données projet'!$E$11+1,1))</f>
        <v>627.65081154031589</v>
      </c>
      <c r="BJ183" s="59">
        <f t="shared" si="146"/>
        <v>288.78083487077618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150.95768056842175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150.95768056842175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229.92559200000051</v>
      </c>
      <c r="CA183" s="13">
        <f t="shared" si="170"/>
        <v>56.266592478918923</v>
      </c>
      <c r="CB183" s="20">
        <f t="shared" si="171"/>
        <v>498.45138796745135</v>
      </c>
      <c r="CC183" s="59">
        <f t="shared" si="119"/>
        <v>787.85660967130593</v>
      </c>
      <c r="CD183" s="59">
        <f ca="1">AVERAGE(OFFSET($CC$3,0,0,'Données projet'!$E$12+1,1))-AVERAGE(OFFSET($H$3,0,0,'Données projet'!$E$12+1,1))</f>
        <v>655.36321433908199</v>
      </c>
      <c r="CE183" s="59">
        <f t="shared" si="148"/>
        <v>300.52980782068698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158.76583645989186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158.76583645989186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289.47336565868778</v>
      </c>
      <c r="S184" s="59">
        <f ca="1">AVERAGE(OFFSET($R$3,0,0,'Données projet'!$E$9+1,1))-AVERAGE(OFFSET($H$3,0,0,'Données projet'!$E$9+1,1))</f>
        <v>297.34058997955685</v>
      </c>
      <c r="T184" s="59">
        <f t="shared" si="142"/>
        <v>440.06633724144069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4.1778248013098445</v>
      </c>
      <c r="AA184" s="21">
        <f>EXP(-LN(2)/25)*AA183+(1-EXP(-LN(2)/25))/(LN(2)/25)*Calculateur!V184*Calculateur!X184*VLOOKUP('Données projet'!$B$9,Paramètres!$A$1:$I$89,3,0)*0.475*44/12</f>
        <v>2.8670895320620886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7.0449143333719331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-6.8212102632969618E-13</v>
      </c>
      <c r="AJ184" s="13">
        <f>AI184*VLOOKUP('Données projet'!$B$10,Paramètres!$A$1:$I$89,3,0)*VLOOKUP('Données projet'!$B$10,Paramètres!$A$1:$I$89,5,0)</f>
        <v>-4.0790837374515837E-13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302.29526572690196</v>
      </c>
      <c r="AO184" s="59">
        <f t="shared" si="144"/>
        <v>234.86746802631617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18.180413910970422</v>
      </c>
      <c r="AV184" s="21">
        <f>EXP(-LN(2)/25)*AV183+(1-EXP(-LN(2)/25))/(LN(2)/25)*Calculateur!AQ184*Calculateur!AS184*VLOOKUP('Données projet'!$B$10,Paramètres!$A$1:$I$89,3,0)*0.475*44/12</f>
        <v>4.0233342374611958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22.203748148431618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150.06409600000046</v>
      </c>
      <c r="BF184" s="13">
        <f t="shared" si="167"/>
        <v>38.593151304664545</v>
      </c>
      <c r="BG184" s="20">
        <f t="shared" si="168"/>
        <v>328.57803905562486</v>
      </c>
      <c r="BH184" s="59">
        <f t="shared" si="116"/>
        <v>618.051404714309</v>
      </c>
      <c r="BI184" s="59">
        <f ca="1">AVERAGE(OFFSET($BH$3,0,0,'Données projet'!$E$11+1,1))-AVERAGE(OFFSET($H$3,0,0,'Données projet'!$E$11+1,1))</f>
        <v>627.65081154031589</v>
      </c>
      <c r="BJ184" s="59">
        <f t="shared" si="146"/>
        <v>288.78083487077618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147.99749252756848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147.99749252756848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157.82603200000048</v>
      </c>
      <c r="CA184" s="13">
        <f t="shared" si="170"/>
        <v>40.351781126124386</v>
      </c>
      <c r="CB184" s="20">
        <f t="shared" si="171"/>
        <v>345.15969119466746</v>
      </c>
      <c r="CC184" s="59">
        <f t="shared" si="119"/>
        <v>634.63305685335149</v>
      </c>
      <c r="CD184" s="59">
        <f ca="1">AVERAGE(OFFSET($CC$3,0,0,'Données projet'!$E$12+1,1))-AVERAGE(OFFSET($H$3,0,0,'Données projet'!$E$12+1,1))</f>
        <v>655.36321433908199</v>
      </c>
      <c r="CE184" s="59">
        <f t="shared" si="148"/>
        <v>300.52980782068698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155.65253524451171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155.65253524451171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289.54032746824811</v>
      </c>
      <c r="S185" s="59">
        <f ca="1">AVERAGE(OFFSET($R$3,0,0,'Données projet'!$E$9+1,1))-AVERAGE(OFFSET($H$3,0,0,'Données projet'!$E$9+1,1))</f>
        <v>297.34058997955685</v>
      </c>
      <c r="T185" s="59">
        <f t="shared" si="142"/>
        <v>440.06633724144069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4.0959002051776716</v>
      </c>
      <c r="AA185" s="21">
        <f>EXP(-LN(2)/25)*AA184+(1-EXP(-LN(2)/25))/(LN(2)/25)*Calculateur!V185*Calculateur!X185*VLOOKUP('Données projet'!$B$9,Paramètres!$A$1:$I$89,3,0)*0.475*44/12</f>
        <v>2.7886888180341649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6.8845890232118361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-6.8212102632969618E-13</v>
      </c>
      <c r="AJ185" s="13">
        <f>AI185*VLOOKUP('Données projet'!$B$10,Paramètres!$A$1:$I$89,3,0)*VLOOKUP('Données projet'!$B$10,Paramètres!$A$1:$I$89,5,0)</f>
        <v>-4.0790837374515837E-13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302.29526572690196</v>
      </c>
      <c r="AO185" s="59">
        <f t="shared" si="144"/>
        <v>234.86746802631617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17.823907083133836</v>
      </c>
      <c r="AV185" s="21">
        <f>EXP(-LN(2)/25)*AV184+(1-EXP(-LN(2)/25))/(LN(2)/25)*Calculateur!AQ185*Calculateur!AS185*VLOOKUP('Données projet'!$B$10,Paramètres!$A$1:$I$89,3,0)*0.475*44/12</f>
        <v>3.9133159511598672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21.737223034293702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151.83147200000045</v>
      </c>
      <c r="BF185" s="13">
        <f t="shared" si="167"/>
        <v>38.994499777620597</v>
      </c>
      <c r="BG185" s="20">
        <f t="shared" si="168"/>
        <v>332.35523417935661</v>
      </c>
      <c r="BH185" s="59">
        <f t="shared" si="116"/>
        <v>621.89556164760097</v>
      </c>
      <c r="BI185" s="59">
        <f ca="1">AVERAGE(OFFSET($BH$3,0,0,'Données projet'!$E$11+1,1))-AVERAGE(OFFSET($H$3,0,0,'Données projet'!$E$11+1,1))</f>
        <v>627.65081154031589</v>
      </c>
      <c r="BJ185" s="59">
        <f t="shared" si="146"/>
        <v>288.78083487077618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145.09535196865994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145.09535196865994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159.68482400000048</v>
      </c>
      <c r="CA185" s="13">
        <f t="shared" si="170"/>
        <v>40.771418424156359</v>
      </c>
      <c r="CB185" s="20">
        <f t="shared" si="171"/>
        <v>349.12795555540646</v>
      </c>
      <c r="CC185" s="59">
        <f t="shared" si="119"/>
        <v>638.66828302365093</v>
      </c>
      <c r="CD185" s="59">
        <f ca="1">AVERAGE(OFFSET($CC$3,0,0,'Données projet'!$E$12+1,1))-AVERAGE(OFFSET($H$3,0,0,'Données projet'!$E$12+1,1))</f>
        <v>655.36321433908199</v>
      </c>
      <c r="CE185" s="59">
        <f t="shared" si="148"/>
        <v>300.52980782068698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152.60028396703893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152.60028396703893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289.60612764011665</v>
      </c>
      <c r="S186" s="59">
        <f ca="1">AVERAGE(OFFSET($R$3,0,0,'Données projet'!$E$9+1,1))-AVERAGE(OFFSET($H$3,0,0,'Données projet'!$E$9+1,1))</f>
        <v>297.34058997955685</v>
      </c>
      <c r="T186" s="59">
        <f t="shared" si="142"/>
        <v>440.06633724144069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4.015582100406581</v>
      </c>
      <c r="AA186" s="21">
        <f>EXP(-LN(2)/25)*AA185+(1-EXP(-LN(2)/25))/(LN(2)/25)*Calculateur!V186*Calculateur!X186*VLOOKUP('Données projet'!$B$9,Paramètres!$A$1:$I$89,3,0)*0.475*44/12</f>
        <v>2.7124319756542494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6.7280140760608305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-6.8212102632969618E-13</v>
      </c>
      <c r="AJ186" s="13">
        <f>AI186*VLOOKUP('Données projet'!$B$10,Paramètres!$A$1:$I$89,3,0)*VLOOKUP('Données projet'!$B$10,Paramètres!$A$1:$I$89,5,0)</f>
        <v>-4.0790837374515837E-13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302.29526572690196</v>
      </c>
      <c r="AO186" s="59">
        <f t="shared" si="144"/>
        <v>234.86746802631617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17.474391136743431</v>
      </c>
      <c r="AV186" s="21">
        <f>EXP(-LN(2)/25)*AV185+(1-EXP(-LN(2)/25))/(LN(2)/25)*Calculateur!AQ186*Calculateur!AS186*VLOOKUP('Données projet'!$B$10,Paramètres!$A$1:$I$89,3,0)*0.475*44/12</f>
        <v>3.8063061206830588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21.280697257426489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153.5988480000004</v>
      </c>
      <c r="BF186" s="13">
        <f t="shared" si="167"/>
        <v>39.395304802658316</v>
      </c>
      <c r="BG186" s="20">
        <f t="shared" si="168"/>
        <v>336.13148279796388</v>
      </c>
      <c r="BH186" s="59">
        <f t="shared" si="116"/>
        <v>625.7376104380769</v>
      </c>
      <c r="BI186" s="59">
        <f ca="1">AVERAGE(OFFSET($BH$3,0,0,'Données projet'!$E$11+1,1))-AVERAGE(OFFSET($H$3,0,0,'Données projet'!$E$11+1,1))</f>
        <v>627.65081154031589</v>
      </c>
      <c r="BJ186" s="59">
        <f t="shared" si="146"/>
        <v>288.78083487077618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186.05825662893167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186.05825662893167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161.54361600000044</v>
      </c>
      <c r="CA186" s="13">
        <f t="shared" si="170"/>
        <v>41.190487510194309</v>
      </c>
      <c r="CB186" s="20">
        <f t="shared" si="171"/>
        <v>353.09523028025586</v>
      </c>
      <c r="CC186" s="59">
        <f t="shared" si="119"/>
        <v>642.70135792036876</v>
      </c>
      <c r="CD186" s="59">
        <f ca="1">AVERAGE(OFFSET($CC$3,0,0,'Données projet'!$E$12+1,1))-AVERAGE(OFFSET($H$3,0,0,'Données projet'!$E$12+1,1))</f>
        <v>655.36321433908199</v>
      </c>
      <c r="CE186" s="59">
        <f t="shared" si="148"/>
        <v>300.52980782068698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195.68195955801437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195.68195955801437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289.67078632611043</v>
      </c>
      <c r="S187" s="59">
        <f ca="1">AVERAGE(OFFSET($R$3,0,0,'Données projet'!$E$9+1,1))-AVERAGE(OFFSET($H$3,0,0,'Données projet'!$E$9+1,1))</f>
        <v>297.34058997955685</v>
      </c>
      <c r="T187" s="59">
        <f t="shared" si="142"/>
        <v>440.06633724144069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3.9368389846808447</v>
      </c>
      <c r="AA187" s="21">
        <f>EXP(-LN(2)/25)*AA186+(1-EXP(-LN(2)/25))/(LN(2)/25)*Calculateur!V187*Calculateur!X187*VLOOKUP('Données projet'!$B$9,Paramètres!$A$1:$I$89,3,0)*0.475*44/12</f>
        <v>2.6382603806393856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6.5750993653202308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-6.8212102632969618E-13</v>
      </c>
      <c r="AJ187" s="13">
        <f>AI187*VLOOKUP('Données projet'!$B$10,Paramètres!$A$1:$I$89,3,0)*VLOOKUP('Données projet'!$B$10,Paramètres!$A$1:$I$89,5,0)</f>
        <v>-4.0790837374515837E-13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302.29526572690196</v>
      </c>
      <c r="AO187" s="59">
        <f t="shared" si="144"/>
        <v>234.86746802631617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17.131728984878063</v>
      </c>
      <c r="AV187" s="21">
        <f>EXP(-LN(2)/25)*AV186+(1-EXP(-LN(2)/25))/(LN(2)/25)*Calculateur!AQ187*Calculateur!AS187*VLOOKUP('Données projet'!$B$10,Paramètres!$A$1:$I$89,3,0)*0.475*44/12</f>
        <v>3.7022224796480412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20.833951464526102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4.3717136577470225E-13</v>
      </c>
      <c r="BF187" s="13">
        <f t="shared" si="167"/>
        <v>5.5313598682231701E-12</v>
      </c>
      <c r="BG187" s="20">
        <f t="shared" si="168"/>
        <v>1.039519189921296E-11</v>
      </c>
      <c r="BH187" s="59">
        <f t="shared" si="116"/>
        <v>289.67078632611714</v>
      </c>
      <c r="BI187" s="59">
        <f ca="1">AVERAGE(OFFSET($BH$3,0,0,'Données projet'!$E$11+1,1))-AVERAGE(OFFSET($H$3,0,0,'Données projet'!$E$11+1,1))</f>
        <v>627.65081154031589</v>
      </c>
      <c r="BJ187" s="59">
        <f t="shared" si="146"/>
        <v>288.78083487077618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182.40976770076921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182.40976770076921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4.5978367779753168E-13</v>
      </c>
      <c r="CA187" s="13">
        <f t="shared" si="170"/>
        <v>5.7834153259568991E-12</v>
      </c>
      <c r="CB187" s="20">
        <f t="shared" si="171"/>
        <v>1.0873571598205634E-11</v>
      </c>
      <c r="CC187" s="59">
        <f t="shared" si="119"/>
        <v>289.67078632611759</v>
      </c>
      <c r="CD187" s="59">
        <f ca="1">AVERAGE(OFFSET($CC$3,0,0,'Données projet'!$E$12+1,1))-AVERAGE(OFFSET($H$3,0,0,'Données projet'!$E$12+1,1))</f>
        <v>655.36321433908199</v>
      </c>
      <c r="CE187" s="59">
        <f t="shared" si="148"/>
        <v>300.52980782068698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191.8447556852918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191.8447556852918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289.73432332845744</v>
      </c>
      <c r="S188" s="59">
        <f ca="1">AVERAGE(OFFSET($R$3,0,0,'Données projet'!$E$9+1,1))-AVERAGE(OFFSET($H$3,0,0,'Données projet'!$E$9+1,1))</f>
        <v>297.34058997955685</v>
      </c>
      <c r="T188" s="59">
        <f t="shared" si="142"/>
        <v>440.06633724144069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3.8596399734259319</v>
      </c>
      <c r="AA188" s="21">
        <f>EXP(-LN(2)/25)*AA187+(1-EXP(-LN(2)/25))/(LN(2)/25)*Calculateur!V188*Calculateur!X188*VLOOKUP('Données projet'!$B$9,Paramètres!$A$1:$I$89,3,0)*0.475*44/12</f>
        <v>2.5661170117907179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6.4257569852166494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-6.8212102632969618E-13</v>
      </c>
      <c r="AJ188" s="13">
        <f>AI188*VLOOKUP('Données projet'!$B$10,Paramètres!$A$1:$I$89,3,0)*VLOOKUP('Données projet'!$B$10,Paramètres!$A$1:$I$89,5,0)</f>
        <v>-4.0790837374515837E-13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302.29526572690196</v>
      </c>
      <c r="AO188" s="59">
        <f t="shared" si="144"/>
        <v>234.86746802631617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16.795786228807501</v>
      </c>
      <c r="AV188" s="21">
        <f>EXP(-LN(2)/25)*AV187+(1-EXP(-LN(2)/25))/(LN(2)/25)*Calculateur!AQ188*Calculateur!AS188*VLOOKUP('Données projet'!$B$10,Paramètres!$A$1:$I$89,3,0)*0.475*44/12</f>
        <v>3.6009850112506467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20.396771240058147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4.3717136577470225E-13</v>
      </c>
      <c r="BF188" s="13">
        <f t="shared" si="167"/>
        <v>5.5313598682231701E-12</v>
      </c>
      <c r="BG188" s="20">
        <f t="shared" si="168"/>
        <v>1.039519189921296E-11</v>
      </c>
      <c r="BH188" s="59">
        <f t="shared" si="116"/>
        <v>289.73432332846414</v>
      </c>
      <c r="BI188" s="59">
        <f ca="1">AVERAGE(OFFSET($BH$3,0,0,'Données projet'!$E$11+1,1))-AVERAGE(OFFSET($H$3,0,0,'Données projet'!$E$11+1,1))</f>
        <v>627.65081154031589</v>
      </c>
      <c r="BJ188" s="59">
        <f t="shared" si="146"/>
        <v>288.78083487077618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178.83282341512952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178.83282341512952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4.5978367779753168E-13</v>
      </c>
      <c r="CA188" s="13">
        <f t="shared" si="170"/>
        <v>5.7834153259568991E-12</v>
      </c>
      <c r="CB188" s="20">
        <f t="shared" si="171"/>
        <v>1.0873571598205634E-11</v>
      </c>
      <c r="CC188" s="59">
        <f t="shared" si="119"/>
        <v>289.7343233284646</v>
      </c>
      <c r="CD188" s="59">
        <f ca="1">AVERAGE(OFFSET($CC$3,0,0,'Données projet'!$E$12+1,1))-AVERAGE(OFFSET($H$3,0,0,'Données projet'!$E$12+1,1))</f>
        <v>655.36321433908199</v>
      </c>
      <c r="CE188" s="59">
        <f t="shared" si="148"/>
        <v>300.52980782068698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188.08279704005005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188.08279704005005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289.7967581058611</v>
      </c>
      <c r="S189" s="59">
        <f ca="1">AVERAGE(OFFSET($R$3,0,0,'Données projet'!$E$9+1,1))-AVERAGE(OFFSET($H$3,0,0,'Données projet'!$E$9+1,1))</f>
        <v>297.34058997955685</v>
      </c>
      <c r="T189" s="59">
        <f t="shared" si="142"/>
        <v>440.06633724144069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3.7839547876949804</v>
      </c>
      <c r="AA189" s="21">
        <f>EXP(-LN(2)/25)*AA188+(1-EXP(-LN(2)/25))/(LN(2)/25)*Calculateur!V189*Calculateur!X189*VLOOKUP('Données projet'!$B$9,Paramètres!$A$1:$I$89,3,0)*0.475*44/12</f>
        <v>2.4959464071570721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6.2799011948520524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-6.8212102632969618E-13</v>
      </c>
      <c r="AJ189" s="13">
        <f>AI189*VLOOKUP('Données projet'!$B$10,Paramètres!$A$1:$I$89,3,0)*VLOOKUP('Données projet'!$B$10,Paramètres!$A$1:$I$89,5,0)</f>
        <v>-4.0790837374515837E-13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302.29526572690196</v>
      </c>
      <c r="AO189" s="59">
        <f t="shared" si="144"/>
        <v>234.86746802631617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16.466431105278634</v>
      </c>
      <c r="AV189" s="21">
        <f>EXP(-LN(2)/25)*AV188+(1-EXP(-LN(2)/25))/(LN(2)/25)*Calculateur!AQ189*Calculateur!AS189*VLOOKUP('Données projet'!$B$10,Paramètres!$A$1:$I$89,3,0)*0.475*44/12</f>
        <v>3.5025158867504262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19.968946992029061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4.3717136577470225E-13</v>
      </c>
      <c r="BF189" s="13">
        <f t="shared" si="167"/>
        <v>5.5313598682231701E-12</v>
      </c>
      <c r="BG189" s="20">
        <f t="shared" si="168"/>
        <v>1.039519189921296E-11</v>
      </c>
      <c r="BH189" s="59">
        <f t="shared" si="116"/>
        <v>289.79675810586781</v>
      </c>
      <c r="BI189" s="59">
        <f ca="1">AVERAGE(OFFSET($BH$3,0,0,'Données projet'!$E$11+1,1))-AVERAGE(OFFSET($H$3,0,0,'Données projet'!$E$11+1,1))</f>
        <v>627.65081154031589</v>
      </c>
      <c r="BJ189" s="59">
        <f t="shared" si="146"/>
        <v>288.78083487077618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175.32602082521063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175.32602082521063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4.5978367779753168E-13</v>
      </c>
      <c r="CA189" s="13">
        <f t="shared" si="170"/>
        <v>5.7834153259568991E-12</v>
      </c>
      <c r="CB189" s="20">
        <f t="shared" si="171"/>
        <v>1.0873571598205634E-11</v>
      </c>
      <c r="CC189" s="59">
        <f t="shared" si="119"/>
        <v>289.79675810586826</v>
      </c>
      <c r="CD189" s="59">
        <f ca="1">AVERAGE(OFFSET($CC$3,0,0,'Données projet'!$E$12+1,1))-AVERAGE(OFFSET($H$3,0,0,'Données projet'!$E$12+1,1))</f>
        <v>655.36321433908199</v>
      </c>
      <c r="CE189" s="59">
        <f t="shared" si="148"/>
        <v>300.52980782068698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184.39460810927329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184.39460810927329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289.85810977946011</v>
      </c>
      <c r="S190" s="59">
        <f ca="1">AVERAGE(OFFSET($R$3,0,0,'Données projet'!$E$9+1,1))-AVERAGE(OFFSET($H$3,0,0,'Données projet'!$E$9+1,1))</f>
        <v>297.34058997955685</v>
      </c>
      <c r="T190" s="59">
        <f t="shared" si="142"/>
        <v>440.06633724144069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3.7097537422928077</v>
      </c>
      <c r="AA190" s="21">
        <f>EXP(-LN(2)/25)*AA189+(1-EXP(-LN(2)/25))/(LN(2)/25)*Calculateur!V190*Calculateur!X190*VLOOKUP('Données projet'!$B$9,Paramètres!$A$1:$I$89,3,0)*0.475*44/12</f>
        <v>2.427694621397245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6.1374483636900532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-6.8212102632969618E-13</v>
      </c>
      <c r="AJ190" s="13">
        <f>AI190*VLOOKUP('Données projet'!$B$10,Paramètres!$A$1:$I$89,3,0)*VLOOKUP('Données projet'!$B$10,Paramètres!$A$1:$I$89,5,0)</f>
        <v>-4.0790837374515837E-13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302.29526572690196</v>
      </c>
      <c r="AO190" s="59">
        <f t="shared" si="144"/>
        <v>234.86746802631617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16.143534434835377</v>
      </c>
      <c r="AV190" s="21">
        <f>EXP(-LN(2)/25)*AV189+(1-EXP(-LN(2)/25))/(LN(2)/25)*Calculateur!AQ190*Calculateur!AS190*VLOOKUP('Données projet'!$B$10,Paramètres!$A$1:$I$89,3,0)*0.475*44/12</f>
        <v>3.4067394056379303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19.550273840473309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4.3717136577470225E-13</v>
      </c>
      <c r="BF190" s="13">
        <f t="shared" si="167"/>
        <v>5.5313598682231701E-12</v>
      </c>
      <c r="BG190" s="20">
        <f t="shared" si="168"/>
        <v>1.039519189921296E-11</v>
      </c>
      <c r="BH190" s="59">
        <f t="shared" si="116"/>
        <v>289.85810977946682</v>
      </c>
      <c r="BI190" s="59">
        <f ca="1">AVERAGE(OFFSET($BH$3,0,0,'Données projet'!$E$11+1,1))-AVERAGE(OFFSET($H$3,0,0,'Données projet'!$E$11+1,1))</f>
        <v>627.65081154031589</v>
      </c>
      <c r="BJ190" s="59">
        <f t="shared" si="146"/>
        <v>288.78083487077618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171.88798449514167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171.88798449514167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4.5978367779753168E-13</v>
      </c>
      <c r="CA190" s="13">
        <f t="shared" si="170"/>
        <v>5.7834153259568991E-12</v>
      </c>
      <c r="CB190" s="20">
        <f t="shared" si="171"/>
        <v>1.0873571598205634E-11</v>
      </c>
      <c r="CC190" s="59">
        <f t="shared" si="119"/>
        <v>289.85810977946727</v>
      </c>
      <c r="CD190" s="59">
        <f ca="1">AVERAGE(OFFSET($CC$3,0,0,'Données projet'!$E$12+1,1))-AVERAGE(OFFSET($H$3,0,0,'Données projet'!$E$12+1,1))</f>
        <v>655.36321433908199</v>
      </c>
      <c r="CE190" s="59">
        <f t="shared" si="148"/>
        <v>300.52980782068698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180.77874231385593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180.77874231385593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289.91839713868393</v>
      </c>
      <c r="S191" s="59">
        <f ca="1">AVERAGE(OFFSET($R$3,0,0,'Données projet'!$E$9+1,1))-AVERAGE(OFFSET($H$3,0,0,'Données projet'!$E$9+1,1))</f>
        <v>297.34058997955685</v>
      </c>
      <c r="T191" s="59">
        <f t="shared" si="142"/>
        <v>440.06633724144069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3.6370077341328031</v>
      </c>
      <c r="AA191" s="21">
        <f>EXP(-LN(2)/25)*AA190+(1-EXP(-LN(2)/25))/(LN(2)/25)*Calculateur!V191*Calculateur!X191*VLOOKUP('Données projet'!$B$9,Paramètres!$A$1:$I$89,3,0)*0.475*44/12</f>
        <v>2.3613091843082259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5.998316918441029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-6.8212102632969618E-13</v>
      </c>
      <c r="AJ191" s="13">
        <f>AI191*VLOOKUP('Données projet'!$B$10,Paramètres!$A$1:$I$89,3,0)*VLOOKUP('Données projet'!$B$10,Paramètres!$A$1:$I$89,5,0)</f>
        <v>-4.0790837374515837E-13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302.29526572690196</v>
      </c>
      <c r="AO191" s="59">
        <f t="shared" si="144"/>
        <v>234.86746802631617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15.826969571151992</v>
      </c>
      <c r="AV191" s="21">
        <f>EXP(-LN(2)/25)*AV190+(1-EXP(-LN(2)/25))/(LN(2)/25)*Calculateur!AQ191*Calculateur!AS191*VLOOKUP('Données projet'!$B$10,Paramètres!$A$1:$I$89,3,0)*0.475*44/12</f>
        <v>3.3135819374381219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19.140551508590114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4.3717136577470225E-13</v>
      </c>
      <c r="BF191" s="13">
        <f t="shared" si="167"/>
        <v>5.5313598682231701E-12</v>
      </c>
      <c r="BG191" s="20">
        <f t="shared" si="168"/>
        <v>1.039519189921296E-11</v>
      </c>
      <c r="BH191" s="59">
        <f t="shared" si="116"/>
        <v>289.91839713869064</v>
      </c>
      <c r="BI191" s="59">
        <f ca="1">AVERAGE(OFFSET($BH$3,0,0,'Données projet'!$E$11+1,1))-AVERAGE(OFFSET($H$3,0,0,'Données projet'!$E$11+1,1))</f>
        <v>627.65081154031589</v>
      </c>
      <c r="BJ191" s="59">
        <f t="shared" si="146"/>
        <v>288.78083487077618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168.51736596051026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168.51736596051026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4.5978367779753168E-13</v>
      </c>
      <c r="CA191" s="13">
        <f t="shared" si="170"/>
        <v>5.7834153259568991E-12</v>
      </c>
      <c r="CB191" s="20">
        <f t="shared" si="171"/>
        <v>1.0873571598205634E-11</v>
      </c>
      <c r="CC191" s="59">
        <f t="shared" si="119"/>
        <v>289.91839713869109</v>
      </c>
      <c r="CD191" s="59">
        <f ca="1">AVERAGE(OFFSET($CC$3,0,0,'Données projet'!$E$12+1,1))-AVERAGE(OFFSET($H$3,0,0,'Données projet'!$E$12+1,1))</f>
        <v>655.36321433908199</v>
      </c>
      <c r="CE191" s="59">
        <f t="shared" si="148"/>
        <v>300.52980782068698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177.23378144122634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177.23378144122634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289.97763864700755</v>
      </c>
      <c r="S192" s="59">
        <f ca="1">AVERAGE(OFFSET($R$3,0,0,'Données projet'!$E$9+1,1))-AVERAGE(OFFSET($H$3,0,0,'Données projet'!$E$9+1,1))</f>
        <v>297.34058997955685</v>
      </c>
      <c r="T192" s="59">
        <f t="shared" si="142"/>
        <v>440.06633724144069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3.5656882308221323</v>
      </c>
      <c r="AA192" s="21">
        <f>EXP(-LN(2)/25)*AA191+(1-EXP(-LN(2)/25))/(LN(2)/25)*Calculateur!V192*Calculateur!X192*VLOOKUP('Données projet'!$B$9,Paramètres!$A$1:$I$89,3,0)*0.475*44/12</f>
        <v>2.2967390604874645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5.8624272913095972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-6.8212102632969618E-13</v>
      </c>
      <c r="AJ192" s="13">
        <f>AI192*VLOOKUP('Données projet'!$B$10,Paramètres!$A$1:$I$89,3,0)*VLOOKUP('Données projet'!$B$10,Paramètres!$A$1:$I$89,5,0)</f>
        <v>-4.0790837374515837E-13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302.29526572690196</v>
      </c>
      <c r="AO192" s="59">
        <f t="shared" si="144"/>
        <v>234.86746802631617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15.516612351359935</v>
      </c>
      <c r="AV192" s="21">
        <f>EXP(-LN(2)/25)*AV191+(1-EXP(-LN(2)/25))/(LN(2)/25)*Calculateur!AQ192*Calculateur!AS192*VLOOKUP('Données projet'!$B$10,Paramètres!$A$1:$I$89,3,0)*0.475*44/12</f>
        <v>3.2229718651051757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18.739584216465111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4.3717136577470225E-13</v>
      </c>
      <c r="BF192" s="13">
        <f t="shared" si="167"/>
        <v>5.5313598682231701E-12</v>
      </c>
      <c r="BG192" s="20">
        <f t="shared" si="168"/>
        <v>1.039519189921296E-11</v>
      </c>
      <c r="BH192" s="59">
        <f t="shared" si="116"/>
        <v>289.97763864701426</v>
      </c>
      <c r="BI192" s="59">
        <f ca="1">AVERAGE(OFFSET($BH$3,0,0,'Données projet'!$E$11+1,1))-AVERAGE(OFFSET($H$3,0,0,'Données projet'!$E$11+1,1))</f>
        <v>627.65081154031589</v>
      </c>
      <c r="BJ192" s="59">
        <f t="shared" si="146"/>
        <v>288.78083487077618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165.21284319946867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165.21284319946867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4.5978367779753168E-13</v>
      </c>
      <c r="CA192" s="13">
        <f t="shared" si="170"/>
        <v>5.7834153259568991E-12</v>
      </c>
      <c r="CB192" s="20">
        <f t="shared" si="171"/>
        <v>1.0873571598205634E-11</v>
      </c>
      <c r="CC192" s="59">
        <f t="shared" si="119"/>
        <v>289.97763864701471</v>
      </c>
      <c r="CD192" s="59">
        <f ca="1">AVERAGE(OFFSET($CC$3,0,0,'Données projet'!$E$12+1,1))-AVERAGE(OFFSET($H$3,0,0,'Données projet'!$E$12+1,1))</f>
        <v>655.36321433908199</v>
      </c>
      <c r="CE192" s="59">
        <f t="shared" si="148"/>
        <v>300.52980782068698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173.75833508909639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173.75833508909639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290.03585244760598</v>
      </c>
      <c r="S193" s="59">
        <f ca="1">AVERAGE(OFFSET($R$3,0,0,'Données projet'!$E$9+1,1))-AVERAGE(OFFSET($H$3,0,0,'Données projet'!$E$9+1,1))</f>
        <v>297.34058997955685</v>
      </c>
      <c r="T193" s="59">
        <f t="shared" si="142"/>
        <v>440.06633724144069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3.495767259470782</v>
      </c>
      <c r="AA193" s="21">
        <f>EXP(-LN(2)/25)*AA192+(1-EXP(-LN(2)/25))/(LN(2)/25)*Calculateur!V193*Calculateur!X193*VLOOKUP('Données projet'!$B$9,Paramètres!$A$1:$I$89,3,0)*0.475*44/12</f>
        <v>2.233934610098177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5.7297018695689594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-6.8212102632969618E-13</v>
      </c>
      <c r="AJ193" s="13">
        <f>AI193*VLOOKUP('Données projet'!$B$10,Paramètres!$A$1:$I$89,3,0)*VLOOKUP('Données projet'!$B$10,Paramètres!$A$1:$I$89,5,0)</f>
        <v>-4.0790837374515837E-13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302.29526572690196</v>
      </c>
      <c r="AO193" s="59">
        <f t="shared" si="144"/>
        <v>234.86746802631617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15.212341047348788</v>
      </c>
      <c r="AV193" s="21">
        <f>EXP(-LN(2)/25)*AV192+(1-EXP(-LN(2)/25))/(LN(2)/25)*Calculateur!AQ193*Calculateur!AS193*VLOOKUP('Données projet'!$B$10,Paramètres!$A$1:$I$89,3,0)*0.475*44/12</f>
        <v>3.1348395299651504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18.347180577313939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4.3717136577470225E-13</v>
      </c>
      <c r="BF193" s="13">
        <f t="shared" si="167"/>
        <v>5.5313598682231701E-12</v>
      </c>
      <c r="BG193" s="20">
        <f t="shared" si="168"/>
        <v>1.039519189921296E-11</v>
      </c>
      <c r="BH193" s="59">
        <f t="shared" si="116"/>
        <v>290.03585244761268</v>
      </c>
      <c r="BI193" s="59">
        <f ca="1">AVERAGE(OFFSET($BH$3,0,0,'Données projet'!$E$11+1,1))-AVERAGE(OFFSET($H$3,0,0,'Données projet'!$E$11+1,1))</f>
        <v>627.65081154031589</v>
      </c>
      <c r="BJ193" s="59">
        <f t="shared" si="146"/>
        <v>288.78083487077618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161.97312011421124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161.97312011421124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4.5978367779753168E-13</v>
      </c>
      <c r="CA193" s="13">
        <f t="shared" si="170"/>
        <v>5.7834153259568991E-12</v>
      </c>
      <c r="CB193" s="20">
        <f t="shared" si="171"/>
        <v>1.0873571598205634E-11</v>
      </c>
      <c r="CC193" s="59">
        <f t="shared" si="119"/>
        <v>290.03585244761314</v>
      </c>
      <c r="CD193" s="59">
        <f ca="1">AVERAGE(OFFSET($CC$3,0,0,'Données projet'!$E$12+1,1))-AVERAGE(OFFSET($H$3,0,0,'Données projet'!$E$12+1,1))</f>
        <v>655.36321433908199</v>
      </c>
      <c r="CE193" s="59">
        <f t="shared" si="148"/>
        <v>300.52980782068698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170.35104012011874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170.35104012011874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290.09305636891054</v>
      </c>
      <c r="S194" s="59">
        <f ca="1">AVERAGE(OFFSET($R$3,0,0,'Données projet'!$E$9+1,1))-AVERAGE(OFFSET($H$3,0,0,'Données projet'!$E$9+1,1))</f>
        <v>297.34058997955685</v>
      </c>
      <c r="T194" s="59">
        <f t="shared" si="142"/>
        <v>440.06633724144069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3.4272173957200502</v>
      </c>
      <c r="AA194" s="21">
        <f>EXP(-LN(2)/25)*AA193+(1-EXP(-LN(2)/25))/(LN(2)/25)*Calculateur!V194*Calculateur!X194*VLOOKUP('Données projet'!$B$9,Paramètres!$A$1:$I$89,3,0)*0.475*44/12</f>
        <v>2.1728475507075267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5.6000649464275769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-6.8212102632969618E-13</v>
      </c>
      <c r="AJ194" s="13">
        <f>AI194*VLOOKUP('Données projet'!$B$10,Paramètres!$A$1:$I$89,3,0)*VLOOKUP('Données projet'!$B$10,Paramètres!$A$1:$I$89,5,0)</f>
        <v>-4.0790837374515837E-13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302.29526572690196</v>
      </c>
      <c r="AO194" s="59">
        <f t="shared" si="144"/>
        <v>234.86746802631617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14.914036318022131</v>
      </c>
      <c r="AV194" s="21">
        <f>EXP(-LN(2)/25)*AV193+(1-EXP(-LN(2)/25))/(LN(2)/25)*Calculateur!AQ194*Calculateur!AS194*VLOOKUP('Données projet'!$B$10,Paramètres!$A$1:$I$89,3,0)*0.475*44/12</f>
        <v>3.0491171781642072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17.963153496186337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4.3717136577470225E-13</v>
      </c>
      <c r="BF194" s="13">
        <f t="shared" si="167"/>
        <v>5.5313598682231701E-12</v>
      </c>
      <c r="BG194" s="20">
        <f t="shared" si="168"/>
        <v>1.039519189921296E-11</v>
      </c>
      <c r="BH194" s="59">
        <f t="shared" si="116"/>
        <v>290.09305636891725</v>
      </c>
      <c r="BI194" s="59">
        <f ca="1">AVERAGE(OFFSET($BH$3,0,0,'Données projet'!$E$11+1,1))-AVERAGE(OFFSET($H$3,0,0,'Données projet'!$E$11+1,1))</f>
        <v>627.65081154031589</v>
      </c>
      <c r="BJ194" s="59">
        <f t="shared" si="146"/>
        <v>288.78083487077618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158.79692602261974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158.79692602261974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4.5978367779753168E-13</v>
      </c>
      <c r="CA194" s="13">
        <f t="shared" si="170"/>
        <v>5.7834153259568991E-12</v>
      </c>
      <c r="CB194" s="20">
        <f t="shared" si="171"/>
        <v>1.0873571598205634E-11</v>
      </c>
      <c r="CC194" s="59">
        <f t="shared" si="119"/>
        <v>290.0930563689177</v>
      </c>
      <c r="CD194" s="59">
        <f ca="1">AVERAGE(OFFSET($CC$3,0,0,'Données projet'!$E$12+1,1))-AVERAGE(OFFSET($H$3,0,0,'Données projet'!$E$12+1,1))</f>
        <v>655.36321433908199</v>
      </c>
      <c r="CE194" s="59">
        <f t="shared" si="148"/>
        <v>300.52980782068698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167.01056012723802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167.01056012723802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290.14926793006936</v>
      </c>
      <c r="S195" s="59">
        <f ca="1">AVERAGE(OFFSET($R$3,0,0,'Données projet'!$E$9+1,1))-AVERAGE(OFFSET($H$3,0,0,'Données projet'!$E$9+1,1))</f>
        <v>297.34058997955685</v>
      </c>
      <c r="T195" s="59">
        <f t="shared" si="142"/>
        <v>440.06633724144069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3.3600117529861819</v>
      </c>
      <c r="AA195" s="21">
        <f>EXP(-LN(2)/25)*AA194+(1-EXP(-LN(2)/25))/(LN(2)/25)*Calculateur!V195*Calculateur!X195*VLOOKUP('Données projet'!$B$9,Paramètres!$A$1:$I$89,3,0)*0.475*44/12</f>
        <v>2.1134309201683426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5.4734426731545245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-6.8212102632969618E-13</v>
      </c>
      <c r="AJ195" s="13">
        <f>AI195*VLOOKUP('Données projet'!$B$10,Paramètres!$A$1:$I$89,3,0)*VLOOKUP('Données projet'!$B$10,Paramètres!$A$1:$I$89,5,0)</f>
        <v>-4.0790837374515837E-13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302.29526572690196</v>
      </c>
      <c r="AO195" s="59">
        <f t="shared" si="144"/>
        <v>234.86746802631617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14.621581162489649</v>
      </c>
      <c r="AV195" s="21">
        <f>EXP(-LN(2)/25)*AV194+(1-EXP(-LN(2)/25))/(LN(2)/25)*Calculateur!AQ195*Calculateur!AS195*VLOOKUP('Données projet'!$B$10,Paramètres!$A$1:$I$89,3,0)*0.475*44/12</f>
        <v>2.9657389085812036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17.587320071070852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4.3717136577470225E-13</v>
      </c>
      <c r="BF195" s="13">
        <f t="shared" si="167"/>
        <v>5.5313598682231701E-12</v>
      </c>
      <c r="BG195" s="20">
        <f t="shared" si="168"/>
        <v>1.039519189921296E-11</v>
      </c>
      <c r="BH195" s="59">
        <f t="shared" si="116"/>
        <v>290.14926793007606</v>
      </c>
      <c r="BI195" s="59">
        <f ca="1">AVERAGE(OFFSET($BH$3,0,0,'Données projet'!$E$11+1,1))-AVERAGE(OFFSET($H$3,0,0,'Données projet'!$E$11+1,1))</f>
        <v>627.65081154031589</v>
      </c>
      <c r="BJ195" s="59">
        <f t="shared" si="146"/>
        <v>288.78083487077618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155.68301515987724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155.68301515987724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4.5978367779753168E-13</v>
      </c>
      <c r="CA195" s="13">
        <f t="shared" si="170"/>
        <v>5.7834153259568991E-12</v>
      </c>
      <c r="CB195" s="20">
        <f t="shared" si="171"/>
        <v>1.0873571598205634E-11</v>
      </c>
      <c r="CC195" s="59">
        <f t="shared" si="119"/>
        <v>290.14926793007652</v>
      </c>
      <c r="CD195" s="59">
        <f ca="1">AVERAGE(OFFSET($CC$3,0,0,'Données projet'!$E$12+1,1))-AVERAGE(OFFSET($H$3,0,0,'Données projet'!$E$12+1,1))</f>
        <v>655.36321433908199</v>
      </c>
      <c r="CE195" s="59">
        <f t="shared" si="148"/>
        <v>300.52980782068698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163.7355849095261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163.7355849095261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290.20450434631221</v>
      </c>
      <c r="S196" s="59">
        <f ca="1">AVERAGE(OFFSET($R$3,0,0,'Données projet'!$E$9+1,1))-AVERAGE(OFFSET($H$3,0,0,'Données projet'!$E$9+1,1))</f>
        <v>297.34058997955685</v>
      </c>
      <c r="T196" s="59">
        <f t="shared" si="142"/>
        <v>440.06633724144069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3.2941239719149302</v>
      </c>
      <c r="AA196" s="21">
        <f>EXP(-LN(2)/25)*AA195+(1-EXP(-LN(2)/25))/(LN(2)/25)*Calculateur!V196*Calculateur!X196*VLOOKUP('Données projet'!$B$9,Paramètres!$A$1:$I$89,3,0)*0.475*44/12</f>
        <v>2.0556390405158376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5.3497630124307678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-6.8212102632969618E-13</v>
      </c>
      <c r="AJ196" s="13">
        <f>AI196*VLOOKUP('Données projet'!$B$10,Paramètres!$A$1:$I$89,3,0)*VLOOKUP('Données projet'!$B$10,Paramètres!$A$1:$I$89,5,0)</f>
        <v>-4.0790837374515837E-13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302.29526572690196</v>
      </c>
      <c r="AO196" s="59">
        <f t="shared" si="144"/>
        <v>234.86746802631617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14.33486087417713</v>
      </c>
      <c r="AV196" s="21">
        <f>EXP(-LN(2)/25)*AV195+(1-EXP(-LN(2)/25))/(LN(2)/25)*Calculateur!AQ196*Calculateur!AS196*VLOOKUP('Données projet'!$B$10,Paramètres!$A$1:$I$89,3,0)*0.475*44/12</f>
        <v>2.8846406221646195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17.219501496341749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4.3717136577470225E-13</v>
      </c>
      <c r="BF196" s="13">
        <f t="shared" si="167"/>
        <v>5.5313598682231701E-12</v>
      </c>
      <c r="BG196" s="20">
        <f t="shared" si="168"/>
        <v>1.039519189921296E-11</v>
      </c>
      <c r="BH196" s="59">
        <f t="shared" ref="BH196:BH203" si="194">BG196+(AY196+AZ196)*44/12</f>
        <v>290.20450434631891</v>
      </c>
      <c r="BI196" s="59">
        <f ca="1">AVERAGE(OFFSET($BH$3,0,0,'Données projet'!$E$11+1,1))-AVERAGE(OFFSET($H$3,0,0,'Données projet'!$E$11+1,1))</f>
        <v>627.65081154031589</v>
      </c>
      <c r="BJ196" s="59">
        <f t="shared" si="146"/>
        <v>288.78083487077618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152.63016618985506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152.63016618985506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4.5978367779753168E-13</v>
      </c>
      <c r="CA196" s="13">
        <f t="shared" si="170"/>
        <v>5.7834153259568991E-12</v>
      </c>
      <c r="CB196" s="20">
        <f t="shared" si="171"/>
        <v>1.0873571598205634E-11</v>
      </c>
      <c r="CC196" s="59">
        <f t="shared" ref="CC196:CC203" si="195">CB196+(BT196+BU196)*44/12</f>
        <v>290.20450434631937</v>
      </c>
      <c r="CD196" s="59">
        <f ca="1">AVERAGE(OFFSET($CC$3,0,0,'Données projet'!$E$12+1,1))-AVERAGE(OFFSET($H$3,0,0,'Données projet'!$E$12+1,1))</f>
        <v>655.36321433908199</v>
      </c>
      <c r="CE196" s="59">
        <f t="shared" si="148"/>
        <v>300.52980782068698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160.52482995829587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160.52482995829587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290.25878253422343</v>
      </c>
      <c r="S197" s="59">
        <f ca="1">AVERAGE(OFFSET($R$3,0,0,'Données projet'!$E$9+1,1))-AVERAGE(OFFSET($H$3,0,0,'Données projet'!$E$9+1,1))</f>
        <v>297.34058997955685</v>
      </c>
      <c r="T197" s="59">
        <f t="shared" ref="T197:T203" si="204">$T$3</f>
        <v>440.06633724144069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3.2295282100429077</v>
      </c>
      <c r="AA197" s="21">
        <f>EXP(-LN(2)/25)*AA196+(1-EXP(-LN(2)/25))/(LN(2)/25)*Calculateur!V197*Calculateur!X197*VLOOKUP('Données projet'!$B$9,Paramètres!$A$1:$I$89,3,0)*0.475*44/12</f>
        <v>1.999427482851573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5.2289556928944805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-6.8212102632969618E-13</v>
      </c>
      <c r="AJ197" s="13">
        <f>AI197*VLOOKUP('Données projet'!$B$10,Paramètres!$A$1:$I$89,3,0)*VLOOKUP('Données projet'!$B$10,Paramètres!$A$1:$I$89,5,0)</f>
        <v>-4.0790837374515837E-13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302.29526572690196</v>
      </c>
      <c r="AO197" s="59">
        <f t="shared" ref="AO197:AO203" si="205">$AO$3</f>
        <v>234.86746802631617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14.05376299583631</v>
      </c>
      <c r="AV197" s="21">
        <f>EXP(-LN(2)/25)*AV196+(1-EXP(-LN(2)/25))/(LN(2)/25)*Calculateur!AQ197*Calculateur!AS197*VLOOKUP('Données projet'!$B$10,Paramètres!$A$1:$I$89,3,0)*0.475*44/12</f>
        <v>2.8057599726548705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16.859522968491181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4.3717136577470225E-13</v>
      </c>
      <c r="BF197" s="13">
        <f t="shared" si="167"/>
        <v>5.5313598682231701E-12</v>
      </c>
      <c r="BG197" s="20">
        <f t="shared" si="168"/>
        <v>1.039519189921296E-11</v>
      </c>
      <c r="BH197" s="59">
        <f t="shared" si="194"/>
        <v>290.25878253423014</v>
      </c>
      <c r="BI197" s="59">
        <f ca="1">AVERAGE(OFFSET($BH$3,0,0,'Données projet'!$E$11+1,1))-AVERAGE(OFFSET($H$3,0,0,'Données projet'!$E$11+1,1))</f>
        <v>627.65081154031589</v>
      </c>
      <c r="BJ197" s="59">
        <f t="shared" ref="BJ197:BJ203" si="206">$BJ$3</f>
        <v>288.78083487077618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149.637181726081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149.637181726081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4.5978367779753168E-13</v>
      </c>
      <c r="CA197" s="13">
        <f t="shared" si="170"/>
        <v>5.7834153259568991E-12</v>
      </c>
      <c r="CB197" s="20">
        <f t="shared" si="171"/>
        <v>1.0873571598205634E-11</v>
      </c>
      <c r="CC197" s="59">
        <f t="shared" si="195"/>
        <v>290.25878253423059</v>
      </c>
      <c r="CD197" s="59">
        <f ca="1">AVERAGE(OFFSET($CC$3,0,0,'Données projet'!$E$12+1,1))-AVERAGE(OFFSET($H$3,0,0,'Données projet'!$E$12+1,1))</f>
        <v>655.36321433908199</v>
      </c>
      <c r="CE197" s="59">
        <f t="shared" ref="CE197:CE203" si="207">$CE$3</f>
        <v>300.52980782068698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157.37703595329211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157.37703595329211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290.31211911692219</v>
      </c>
      <c r="S198" s="59">
        <f ca="1">AVERAGE(OFFSET($R$3,0,0,'Données projet'!$E$9+1,1))-AVERAGE(OFFSET($H$3,0,0,'Données projet'!$E$9+1,1))</f>
        <v>297.34058997955685</v>
      </c>
      <c r="T198" s="59">
        <f t="shared" si="204"/>
        <v>440.06633724144069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3.1661991316616711</v>
      </c>
      <c r="AA198" s="21">
        <f>EXP(-LN(2)/25)*AA197+(1-EXP(-LN(2)/25))/(LN(2)/25)*Calculateur!V198*Calculateur!X198*VLOOKUP('Données projet'!$B$9,Paramètres!$A$1:$I$89,3,0)*0.475*44/12</f>
        <v>1.9447530331876752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5.1109521648493459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-6.8212102632969618E-13</v>
      </c>
      <c r="AJ198" s="13">
        <f>AI198*VLOOKUP('Données projet'!$B$10,Paramètres!$A$1:$I$89,3,0)*VLOOKUP('Données projet'!$B$10,Paramètres!$A$1:$I$89,5,0)</f>
        <v>-4.0790837374515837E-13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302.29526572690196</v>
      </c>
      <c r="AO198" s="59">
        <f t="shared" si="205"/>
        <v>234.86746802631617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13.778177275436978</v>
      </c>
      <c r="AV198" s="21">
        <f>EXP(-LN(2)/25)*AV197+(1-EXP(-LN(2)/25))/(LN(2)/25)*Calculateur!AQ198*Calculateur!AS198*VLOOKUP('Données projet'!$B$10,Paramètres!$A$1:$I$89,3,0)*0.475*44/12</f>
        <v>2.7290363186541189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16.507213594091098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4.3717136577470225E-13</v>
      </c>
      <c r="BF198" s="13">
        <f t="shared" si="167"/>
        <v>5.5313598682231701E-12</v>
      </c>
      <c r="BG198" s="20">
        <f t="shared" si="168"/>
        <v>1.039519189921296E-11</v>
      </c>
      <c r="BH198" s="59">
        <f t="shared" si="194"/>
        <v>290.3121191169289</v>
      </c>
      <c r="BI198" s="59">
        <f ca="1">AVERAGE(OFFSET($BH$3,0,0,'Données projet'!$E$11+1,1))-AVERAGE(OFFSET($H$3,0,0,'Données projet'!$E$11+1,1))</f>
        <v>627.65081154031589</v>
      </c>
      <c r="BJ198" s="59">
        <f t="shared" si="206"/>
        <v>288.78083487077618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146.70288786210128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146.70288786210128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4.5978367779753168E-13</v>
      </c>
      <c r="CA198" s="13">
        <f t="shared" si="170"/>
        <v>5.7834153259568991E-12</v>
      </c>
      <c r="CB198" s="20">
        <f t="shared" si="171"/>
        <v>1.0873571598205634E-11</v>
      </c>
      <c r="CC198" s="59">
        <f t="shared" si="195"/>
        <v>290.31211911692935</v>
      </c>
      <c r="CD198" s="59">
        <f ca="1">AVERAGE(OFFSET($CC$3,0,0,'Données projet'!$E$12+1,1))-AVERAGE(OFFSET($H$3,0,0,'Données projet'!$E$12+1,1))</f>
        <v>655.36321433908199</v>
      </c>
      <c r="CE198" s="59">
        <f t="shared" si="207"/>
        <v>300.52980782068698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154.2909682687617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154.2909682687617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290.36453042915389</v>
      </c>
      <c r="S199" s="59">
        <f ca="1">AVERAGE(OFFSET($R$3,0,0,'Données projet'!$E$9+1,1))-AVERAGE(OFFSET($H$3,0,0,'Données projet'!$E$9+1,1))</f>
        <v>297.34058997955685</v>
      </c>
      <c r="T199" s="59">
        <f t="shared" si="204"/>
        <v>440.06633724144069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3.1041118978805669</v>
      </c>
      <c r="AA199" s="21">
        <f>EXP(-LN(2)/25)*AA198+(1-EXP(-LN(2)/25))/(LN(2)/25)*Calculateur!V199*Calculateur!X199*VLOOKUP('Données projet'!$B$9,Paramètres!$A$1:$I$89,3,0)*0.475*44/12</f>
        <v>1.8915736592250409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4.9956855571056078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-6.8212102632969618E-13</v>
      </c>
      <c r="AJ199" s="13">
        <f>AI199*VLOOKUP('Données projet'!$B$10,Paramètres!$A$1:$I$89,3,0)*VLOOKUP('Données projet'!$B$10,Paramètres!$A$1:$I$89,5,0)</f>
        <v>-4.0790837374515837E-13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302.29526572690196</v>
      </c>
      <c r="AO199" s="59">
        <f t="shared" si="205"/>
        <v>234.86746802631617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13.507995622923984</v>
      </c>
      <c r="AV199" s="21">
        <f>EXP(-LN(2)/25)*AV198+(1-EXP(-LN(2)/25))/(LN(2)/25)*Calculateur!AQ199*Calculateur!AS199*VLOOKUP('Données projet'!$B$10,Paramètres!$A$1:$I$89,3,0)*0.475*44/12</f>
        <v>2.6544106770067395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16.162406299930723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4.3717136577470225E-13</v>
      </c>
      <c r="BF199" s="13">
        <f t="shared" si="167"/>
        <v>5.5313598682231701E-12</v>
      </c>
      <c r="BG199" s="20">
        <f t="shared" si="168"/>
        <v>1.039519189921296E-11</v>
      </c>
      <c r="BH199" s="59">
        <f t="shared" si="194"/>
        <v>290.3645304291606</v>
      </c>
      <c r="BI199" s="59">
        <f ca="1">AVERAGE(OFFSET($BH$3,0,0,'Données projet'!$E$11+1,1))-AVERAGE(OFFSET($H$3,0,0,'Données projet'!$E$11+1,1))</f>
        <v>627.65081154031589</v>
      </c>
      <c r="BJ199" s="59">
        <f t="shared" si="206"/>
        <v>288.78083487077618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143.82613371105165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143.82613371105165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4.5978367779753168E-13</v>
      </c>
      <c r="CA199" s="13">
        <f t="shared" si="170"/>
        <v>5.7834153259568991E-12</v>
      </c>
      <c r="CB199" s="20">
        <f t="shared" si="171"/>
        <v>1.0873571598205634E-11</v>
      </c>
      <c r="CC199" s="59">
        <f t="shared" si="195"/>
        <v>290.36453042916105</v>
      </c>
      <c r="CD199" s="59">
        <f ca="1">AVERAGE(OFFSET($CC$3,0,0,'Données projet'!$E$12+1,1))-AVERAGE(OFFSET($H$3,0,0,'Données projet'!$E$12+1,1))</f>
        <v>655.36321433908199</v>
      </c>
      <c r="CE199" s="59">
        <f t="shared" si="207"/>
        <v>300.52980782068698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151.26541648920951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151.26541648920951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290.41603252229248</v>
      </c>
      <c r="S200" s="59">
        <f ca="1">AVERAGE(OFFSET($R$3,0,0,'Données projet'!$E$9+1,1))-AVERAGE(OFFSET($H$3,0,0,'Données projet'!$E$9+1,1))</f>
        <v>297.34058997955685</v>
      </c>
      <c r="T200" s="59">
        <f t="shared" si="204"/>
        <v>440.06633724144069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3.0432421568844368</v>
      </c>
      <c r="AA200" s="21">
        <f>EXP(-LN(2)/25)*AA199+(1-EXP(-LN(2)/25))/(LN(2)/25)*Calculateur!V200*Calculateur!X200*VLOOKUP('Données projet'!$B$9,Paramètres!$A$1:$I$89,3,0)*0.475*44/12</f>
        <v>1.8398484780399966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4.8830906349244332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-6.8212102632969618E-13</v>
      </c>
      <c r="AJ200" s="13">
        <f>AI200*VLOOKUP('Données projet'!$B$10,Paramètres!$A$1:$I$89,3,0)*VLOOKUP('Données projet'!$B$10,Paramètres!$A$1:$I$89,5,0)</f>
        <v>-4.0790837374515837E-13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302.29526572690196</v>
      </c>
      <c r="AO200" s="59">
        <f t="shared" si="205"/>
        <v>234.86746802631617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13.243112067822235</v>
      </c>
      <c r="AV200" s="21">
        <f>EXP(-LN(2)/25)*AV199+(1-EXP(-LN(2)/25))/(LN(2)/25)*Calculateur!AQ200*Calculateur!AS200*VLOOKUP('Données projet'!$B$10,Paramètres!$A$1:$I$89,3,0)*0.475*44/12</f>
        <v>2.5818256774545993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15.824937745276834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4.3717136577470225E-13</v>
      </c>
      <c r="BF200" s="13">
        <f t="shared" si="167"/>
        <v>5.5313598682231701E-12</v>
      </c>
      <c r="BG200" s="20">
        <f t="shared" si="168"/>
        <v>1.039519189921296E-11</v>
      </c>
      <c r="BH200" s="59">
        <f t="shared" si="194"/>
        <v>290.41603252229919</v>
      </c>
      <c r="BI200" s="59">
        <f ca="1">AVERAGE(OFFSET($BH$3,0,0,'Données projet'!$E$11+1,1))-AVERAGE(OFFSET($H$3,0,0,'Données projet'!$E$11+1,1))</f>
        <v>627.65081154031589</v>
      </c>
      <c r="BJ200" s="59">
        <f t="shared" si="206"/>
        <v>288.78083487077618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141.00579095425735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141.00579095425735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4.5978367779753168E-13</v>
      </c>
      <c r="CA200" s="13">
        <f t="shared" si="170"/>
        <v>5.7834153259568991E-12</v>
      </c>
      <c r="CB200" s="20">
        <f t="shared" si="171"/>
        <v>1.0873571598205634E-11</v>
      </c>
      <c r="CC200" s="59">
        <f t="shared" si="195"/>
        <v>290.41603252229964</v>
      </c>
      <c r="CD200" s="59">
        <f ca="1">AVERAGE(OFFSET($CC$3,0,0,'Données projet'!$E$12+1,1))-AVERAGE(OFFSET($H$3,0,0,'Données projet'!$E$12+1,1))</f>
        <v>655.36321433908199</v>
      </c>
      <c r="CE200" s="59">
        <f t="shared" si="207"/>
        <v>300.52980782068698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148.29919393464999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148.29919393464999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290.4666411692566</v>
      </c>
      <c r="S201" s="59">
        <f ca="1">AVERAGE(OFFSET($R$3,0,0,'Données projet'!$E$9+1,1))-AVERAGE(OFFSET($H$3,0,0,'Données projet'!$E$9+1,1))</f>
        <v>297.34058997955685</v>
      </c>
      <c r="T201" s="59">
        <f t="shared" si="204"/>
        <v>440.06633724144069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2.9835660343823647</v>
      </c>
      <c r="AA201" s="21">
        <f>EXP(-LN(2)/25)*AA200+(1-EXP(-LN(2)/25))/(LN(2)/25)*Calculateur!V201*Calculateur!X201*VLOOKUP('Données projet'!$B$9,Paramètres!$A$1:$I$89,3,0)*0.475*44/12</f>
        <v>1.7895377246545665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4.773103759036931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-6.8212102632969618E-13</v>
      </c>
      <c r="AJ201" s="13">
        <f>AI201*VLOOKUP('Données projet'!$B$10,Paramètres!$A$1:$I$89,3,0)*VLOOKUP('Données projet'!$B$10,Paramètres!$A$1:$I$89,5,0)</f>
        <v>-4.0790837374515837E-13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302.29526572690196</v>
      </c>
      <c r="AO201" s="59">
        <f t="shared" si="205"/>
        <v>234.86746802631617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12.983422717673015</v>
      </c>
      <c r="AV201" s="21">
        <f>EXP(-LN(2)/25)*AV200+(1-EXP(-LN(2)/25))/(LN(2)/25)*Calculateur!AQ201*Calculateur!AS201*VLOOKUP('Données projet'!$B$10,Paramètres!$A$1:$I$89,3,0)*0.475*44/12</f>
        <v>2.5112255185322918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15.494648236205308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4.3717136577470225E-13</v>
      </c>
      <c r="BF201" s="13">
        <f t="shared" si="167"/>
        <v>5.5313598682231701E-12</v>
      </c>
      <c r="BG201" s="20">
        <f t="shared" si="168"/>
        <v>1.039519189921296E-11</v>
      </c>
      <c r="BH201" s="59">
        <f t="shared" si="194"/>
        <v>290.46664116926331</v>
      </c>
      <c r="BI201" s="59">
        <f ca="1">AVERAGE(OFFSET($BH$3,0,0,'Données projet'!$E$11+1,1))-AVERAGE(OFFSET($H$3,0,0,'Données projet'!$E$11+1,1))</f>
        <v>627.65081154031589</v>
      </c>
      <c r="BJ201" s="59">
        <f t="shared" si="206"/>
        <v>288.78083487077618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138.24075339868455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138.24075339868455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4.5978367779753168E-13</v>
      </c>
      <c r="CA201" s="13">
        <f t="shared" si="170"/>
        <v>5.7834153259568991E-12</v>
      </c>
      <c r="CB201" s="20">
        <f t="shared" si="171"/>
        <v>1.0873571598205634E-11</v>
      </c>
      <c r="CC201" s="59">
        <f t="shared" si="195"/>
        <v>290.46664116926377</v>
      </c>
      <c r="CD201" s="59">
        <f ca="1">AVERAGE(OFFSET($CC$3,0,0,'Données projet'!$E$12+1,1))-AVERAGE(OFFSET($H$3,0,0,'Données projet'!$E$12+1,1))</f>
        <v>655.36321433908199</v>
      </c>
      <c r="CE201" s="59">
        <f t="shared" si="207"/>
        <v>300.52980782068698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145.39113719516826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145.39113719516826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290.51637186933982</v>
      </c>
      <c r="S202" s="59">
        <f ca="1">AVERAGE(OFFSET($R$3,0,0,'Données projet'!$E$9+1,1))-AVERAGE(OFFSET($H$3,0,0,'Données projet'!$E$9+1,1))</f>
        <v>297.34058997955685</v>
      </c>
      <c r="T202" s="59">
        <f t="shared" si="204"/>
        <v>440.06633724144069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2.9250601242437178</v>
      </c>
      <c r="AA202" s="21">
        <f>EXP(-LN(2)/25)*AA201+(1-EXP(-LN(2)/25))/(LN(2)/25)*Calculateur!V202*Calculateur!X202*VLOOKUP('Données projet'!$B$9,Paramètres!$A$1:$I$89,3,0)*0.475*44/12</f>
        <v>1.7406027214661886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4.6656628457099067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-6.8212102632969618E-13</v>
      </c>
      <c r="AJ202" s="13">
        <f>AI202*VLOOKUP('Données projet'!$B$10,Paramètres!$A$1:$I$89,3,0)*VLOOKUP('Données projet'!$B$10,Paramètres!$A$1:$I$89,5,0)</f>
        <v>-4.0790837374515837E-13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302.29526572690196</v>
      </c>
      <c r="AO202" s="59">
        <f t="shared" si="205"/>
        <v>234.86746802631617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12.728825717285359</v>
      </c>
      <c r="AV202" s="21">
        <f>EXP(-LN(2)/25)*AV201+(1-EXP(-LN(2)/25))/(LN(2)/25)*Calculateur!AQ202*Calculateur!AS202*VLOOKUP('Données projet'!$B$10,Paramètres!$A$1:$I$89,3,0)*0.475*44/12</f>
        <v>2.4425559246684156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15.171381641953774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4.3717136577470225E-13</v>
      </c>
      <c r="BF202" s="13">
        <f t="shared" si="167"/>
        <v>5.5313598682231701E-12</v>
      </c>
      <c r="BG202" s="20">
        <f t="shared" si="168"/>
        <v>1.039519189921296E-11</v>
      </c>
      <c r="BH202" s="59">
        <f t="shared" si="194"/>
        <v>290.51637186934653</v>
      </c>
      <c r="BI202" s="59">
        <f ca="1">AVERAGE(OFFSET($BH$3,0,0,'Données projet'!$E$11+1,1))-AVERAGE(OFFSET($H$3,0,0,'Données projet'!$E$11+1,1))</f>
        <v>627.65081154031589</v>
      </c>
      <c r="BJ202" s="59">
        <f t="shared" si="206"/>
        <v>288.78083487077618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135.52993654307016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135.52993654307016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4.5978367779753168E-13</v>
      </c>
      <c r="CA202" s="13">
        <f t="shared" si="170"/>
        <v>5.7834153259568991E-12</v>
      </c>
      <c r="CB202" s="20">
        <f t="shared" si="171"/>
        <v>1.0873571598205634E-11</v>
      </c>
      <c r="CC202" s="59">
        <f t="shared" si="195"/>
        <v>290.51637186934698</v>
      </c>
      <c r="CD202" s="59">
        <f ca="1">AVERAGE(OFFSET($CC$3,0,0,'Données projet'!$E$12+1,1))-AVERAGE(OFFSET($H$3,0,0,'Données projet'!$E$12+1,1))</f>
        <v>655.36321433908199</v>
      </c>
      <c r="CE202" s="59">
        <f t="shared" si="207"/>
        <v>300.52980782068698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142.5401056746083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142.5401056746083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290.5652398529578</v>
      </c>
      <c r="S203" s="59">
        <f ca="1">AVERAGE(OFFSET($R$3,0,0,'Données projet'!$E$9+1,1))-AVERAGE(OFFSET($H$3,0,0,'Données projet'!$E$9+1,1))</f>
        <v>297.34058997955685</v>
      </c>
      <c r="T203" s="59">
        <f t="shared" si="204"/>
        <v>440.06633724144069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2.8677014793178079</v>
      </c>
      <c r="AA203" s="21">
        <f>EXP(-LN(2)/25)*AA202+(1-EXP(-LN(2)/25))/(LN(2)/25)*Calculateur!V203*Calculateur!X203*VLOOKUP('Données projet'!$B$9,Paramètres!$A$1:$I$89,3,0)*0.475*44/12</f>
        <v>1.6930058485133768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4.5607073278311852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-6.8212102632969618E-13</v>
      </c>
      <c r="AJ203" s="13">
        <f>AI203*VLOOKUP('Données projet'!$B$10,Paramètres!$A$1:$I$89,3,0)*VLOOKUP('Données projet'!$B$10,Paramètres!$A$1:$I$89,5,0)</f>
        <v>-4.0790837374515837E-13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302.29526572690196</v>
      </c>
      <c r="AO203" s="59">
        <f t="shared" si="205"/>
        <v>234.86746802631617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12.479221208786466</v>
      </c>
      <c r="AV203" s="21">
        <f>EXP(-LN(2)/25)*AV202+(1-EXP(-LN(2)/25))/(LN(2)/25)*Calculateur!AQ203*Calculateur!AS203*VLOOKUP('Données projet'!$B$10,Paramètres!$A$1:$I$89,3,0)*0.475*44/12</f>
        <v>2.3757641044599245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14.854985313246392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4.3717136577470225E-13</v>
      </c>
      <c r="BF203" s="13">
        <f t="shared" si="167"/>
        <v>5.5313598682231701E-12</v>
      </c>
      <c r="BG203" s="20">
        <f t="shared" si="168"/>
        <v>1.039519189921296E-11</v>
      </c>
      <c r="BH203" s="59">
        <f t="shared" si="194"/>
        <v>290.56523985296451</v>
      </c>
      <c r="BI203" s="59">
        <f ca="1">AVERAGE(OFFSET($BH$3,0,0,'Données projet'!$E$11+1,1))-AVERAGE(OFFSET($H$3,0,0,'Données projet'!$E$11+1,1))</f>
        <v>627.65081154031589</v>
      </c>
      <c r="BJ203" s="59">
        <f t="shared" si="206"/>
        <v>288.78083487077618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132.87227715255935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132.87227715255935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4.5978367779753168E-13</v>
      </c>
      <c r="CA203" s="13">
        <f t="shared" si="170"/>
        <v>5.7834153259568991E-12</v>
      </c>
      <c r="CB203" s="20">
        <f t="shared" si="171"/>
        <v>1.0873571598205634E-11</v>
      </c>
      <c r="CC203" s="59">
        <f t="shared" si="195"/>
        <v>290.56523985296496</v>
      </c>
      <c r="CD203" s="59">
        <f ca="1">AVERAGE(OFFSET($CC$3,0,0,'Données projet'!$E$12+1,1))-AVERAGE(OFFSET($H$3,0,0,'Données projet'!$E$12+1,1))</f>
        <v>655.36321433908199</v>
      </c>
      <c r="CE203" s="59">
        <f t="shared" si="207"/>
        <v>300.52980782068698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139.744981143209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139.744981143209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103</v>
      </c>
      <c r="BA204" s="81" t="s">
        <v>103</v>
      </c>
      <c r="BV204" s="81" t="s">
        <v>103</v>
      </c>
      <c r="CQ204" s="81" t="s">
        <v>103</v>
      </c>
      <c r="DL204" s="81" t="s">
        <v>103</v>
      </c>
      <c r="EG204" s="81" t="s">
        <v>103</v>
      </c>
      <c r="FB204" s="81" t="s">
        <v>103</v>
      </c>
      <c r="FW204" s="81" t="s">
        <v>103</v>
      </c>
      <c r="GR204" s="81" t="s">
        <v>103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1.3973210857138749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1.2104960804879272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104</v>
      </c>
      <c r="B1" s="112" t="s">
        <v>105</v>
      </c>
      <c r="C1" s="113" t="s">
        <v>106</v>
      </c>
      <c r="D1" s="112" t="s">
        <v>107</v>
      </c>
      <c r="E1" s="113" t="s">
        <v>108</v>
      </c>
      <c r="F1" s="113" t="s">
        <v>107</v>
      </c>
      <c r="G1" s="113" t="s">
        <v>109</v>
      </c>
      <c r="H1" s="113" t="s">
        <v>107</v>
      </c>
      <c r="I1" s="114" t="s">
        <v>110</v>
      </c>
      <c r="J1" s="78"/>
      <c r="K1" s="78"/>
      <c r="L1" s="78"/>
      <c r="M1" s="78"/>
      <c r="N1" s="78"/>
    </row>
    <row r="2" spans="1:16" x14ac:dyDescent="0.3">
      <c r="A2" s="115" t="s">
        <v>26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8" t="s">
        <v>115</v>
      </c>
      <c r="P2" s="121">
        <v>0</v>
      </c>
    </row>
    <row r="3" spans="1:16" ht="15" thickBot="1" x14ac:dyDescent="0.35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8" t="s">
        <v>122</v>
      </c>
      <c r="P5" s="121">
        <v>0</v>
      </c>
    </row>
    <row r="6" spans="1:16" x14ac:dyDescent="0.3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24</v>
      </c>
      <c r="B9" s="123" t="s">
        <v>130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131</v>
      </c>
      <c r="B10" s="123" t="s">
        <v>132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8" t="s">
        <v>133</v>
      </c>
      <c r="P10" s="121">
        <v>0</v>
      </c>
    </row>
    <row r="11" spans="1:16" ht="15" thickBot="1" x14ac:dyDescent="0.35">
      <c r="A11" s="122" t="s">
        <v>134</v>
      </c>
      <c r="B11" s="123" t="s">
        <v>135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136</v>
      </c>
      <c r="B12" s="123" t="s">
        <v>137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139</v>
      </c>
      <c r="B13" s="123" t="s">
        <v>140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141</v>
      </c>
      <c r="B14" s="123" t="s">
        <v>142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143</v>
      </c>
      <c r="B15" s="123" t="s">
        <v>144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145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22</v>
      </c>
      <c r="B17" s="123" t="s">
        <v>147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148</v>
      </c>
      <c r="B18" s="123" t="s">
        <v>149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150</v>
      </c>
      <c r="B19" s="123" t="s">
        <v>151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113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156</v>
      </c>
      <c r="B21" s="123" t="s">
        <v>157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158</v>
      </c>
      <c r="B22" s="123" t="s">
        <v>159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160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164</v>
      </c>
      <c r="B25" s="123" t="s">
        <v>165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166</v>
      </c>
      <c r="B26" s="123" t="s">
        <v>167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169</v>
      </c>
      <c r="B27" s="123" t="s">
        <v>170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171</v>
      </c>
      <c r="B28" s="123" t="s">
        <v>172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173</v>
      </c>
      <c r="B29" s="123" t="s">
        <v>173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174</v>
      </c>
      <c r="B30" s="123" t="s">
        <v>175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176</v>
      </c>
      <c r="B31" s="123" t="s">
        <v>177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178</v>
      </c>
      <c r="B32" s="123" t="s">
        <v>179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180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181</v>
      </c>
      <c r="B33" s="123" t="s">
        <v>182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180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183</v>
      </c>
      <c r="B34" s="123" t="s">
        <v>184</v>
      </c>
      <c r="C34" s="124">
        <v>0.42</v>
      </c>
      <c r="D34" s="124" t="s">
        <v>185</v>
      </c>
      <c r="E34" s="124">
        <v>1.3</v>
      </c>
      <c r="F34" s="125" t="s">
        <v>113</v>
      </c>
      <c r="G34" s="126">
        <v>0.6</v>
      </c>
      <c r="H34" s="123" t="s">
        <v>186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187</v>
      </c>
      <c r="B35" s="123" t="s">
        <v>188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189</v>
      </c>
      <c r="B36" s="123" t="s">
        <v>190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191</v>
      </c>
      <c r="B37" s="123" t="s">
        <v>192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193</v>
      </c>
      <c r="B38" s="123" t="s">
        <v>194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195</v>
      </c>
      <c r="B39" s="123" t="s">
        <v>196</v>
      </c>
      <c r="C39" s="124">
        <v>0.313</v>
      </c>
      <c r="D39" s="124" t="s">
        <v>197</v>
      </c>
      <c r="E39" s="124">
        <v>1.56</v>
      </c>
      <c r="F39" s="125" t="s">
        <v>113</v>
      </c>
      <c r="G39" s="126">
        <v>0.6</v>
      </c>
      <c r="H39" s="124" t="s">
        <v>198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199</v>
      </c>
      <c r="B40" s="123" t="s">
        <v>196</v>
      </c>
      <c r="C40" s="124">
        <v>0.35199999999999998</v>
      </c>
      <c r="D40" s="124" t="s">
        <v>197</v>
      </c>
      <c r="E40" s="124">
        <v>1.56</v>
      </c>
      <c r="F40" s="125" t="s">
        <v>113</v>
      </c>
      <c r="G40" s="126">
        <v>0.6</v>
      </c>
      <c r="H40" s="124" t="s">
        <v>198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200</v>
      </c>
      <c r="B41" s="123" t="s">
        <v>196</v>
      </c>
      <c r="C41" s="124">
        <v>0.32200000000000001</v>
      </c>
      <c r="D41" s="124" t="s">
        <v>197</v>
      </c>
      <c r="E41" s="124">
        <v>1.56</v>
      </c>
      <c r="F41" s="125" t="s">
        <v>113</v>
      </c>
      <c r="G41" s="126">
        <v>0.6</v>
      </c>
      <c r="H41" s="124" t="s">
        <v>198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201</v>
      </c>
      <c r="B42" s="123" t="s">
        <v>196</v>
      </c>
      <c r="C42" s="124">
        <v>0.311</v>
      </c>
      <c r="D42" s="124" t="s">
        <v>197</v>
      </c>
      <c r="E42" s="124">
        <v>1.56</v>
      </c>
      <c r="F42" s="125" t="s">
        <v>113</v>
      </c>
      <c r="G42" s="126">
        <v>0.6</v>
      </c>
      <c r="H42" s="124" t="s">
        <v>198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202</v>
      </c>
      <c r="B43" s="123" t="s">
        <v>196</v>
      </c>
      <c r="C43" s="124">
        <v>0.33900000000000002</v>
      </c>
      <c r="D43" s="124" t="s">
        <v>197</v>
      </c>
      <c r="E43" s="124">
        <v>1.56</v>
      </c>
      <c r="F43" s="125" t="s">
        <v>113</v>
      </c>
      <c r="G43" s="126">
        <v>0.6</v>
      </c>
      <c r="H43" s="124" t="s">
        <v>198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203</v>
      </c>
      <c r="B44" s="123" t="s">
        <v>196</v>
      </c>
      <c r="C44" s="124">
        <v>0.33600000000000002</v>
      </c>
      <c r="D44" s="124" t="s">
        <v>197</v>
      </c>
      <c r="E44" s="124">
        <v>1.56</v>
      </c>
      <c r="F44" s="125" t="s">
        <v>113</v>
      </c>
      <c r="G44" s="126">
        <v>0.6</v>
      </c>
      <c r="H44" s="124" t="s">
        <v>198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204</v>
      </c>
      <c r="B45" s="123" t="s">
        <v>196</v>
      </c>
      <c r="C45" s="124">
        <v>0.32900000000000001</v>
      </c>
      <c r="D45" s="124" t="s">
        <v>197</v>
      </c>
      <c r="E45" s="124">
        <v>1.56</v>
      </c>
      <c r="F45" s="125" t="s">
        <v>113</v>
      </c>
      <c r="G45" s="126">
        <v>0.6</v>
      </c>
      <c r="H45" s="124" t="s">
        <v>198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205</v>
      </c>
      <c r="B46" s="123" t="s">
        <v>196</v>
      </c>
      <c r="C46" s="124">
        <v>0.34300000000000003</v>
      </c>
      <c r="D46" s="124" t="s">
        <v>197</v>
      </c>
      <c r="E46" s="124">
        <v>1.56</v>
      </c>
      <c r="F46" s="125" t="s">
        <v>113</v>
      </c>
      <c r="G46" s="126">
        <v>0.6</v>
      </c>
      <c r="H46" s="124" t="s">
        <v>198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206</v>
      </c>
      <c r="B47" s="123" t="s">
        <v>196</v>
      </c>
      <c r="C47" s="124">
        <v>0.32500000000000001</v>
      </c>
      <c r="D47" s="124" t="s">
        <v>197</v>
      </c>
      <c r="E47" s="124">
        <v>1.56</v>
      </c>
      <c r="F47" s="125" t="s">
        <v>113</v>
      </c>
      <c r="G47" s="126">
        <v>0.6</v>
      </c>
      <c r="H47" s="124" t="s">
        <v>198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207</v>
      </c>
      <c r="B48" s="123" t="s">
        <v>196</v>
      </c>
      <c r="C48" s="124">
        <v>0.32</v>
      </c>
      <c r="D48" s="124" t="s">
        <v>197</v>
      </c>
      <c r="E48" s="124">
        <v>1.56</v>
      </c>
      <c r="F48" s="125" t="s">
        <v>113</v>
      </c>
      <c r="G48" s="126">
        <v>0.6</v>
      </c>
      <c r="H48" s="124" t="s">
        <v>198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208</v>
      </c>
      <c r="B49" s="123" t="s">
        <v>196</v>
      </c>
      <c r="C49" s="124">
        <v>0.28199999999999997</v>
      </c>
      <c r="D49" s="124" t="s">
        <v>197</v>
      </c>
      <c r="E49" s="124">
        <v>1.56</v>
      </c>
      <c r="F49" s="125" t="s">
        <v>113</v>
      </c>
      <c r="G49" s="126">
        <v>0.6</v>
      </c>
      <c r="H49" s="124" t="s">
        <v>198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209</v>
      </c>
      <c r="B50" s="123" t="s">
        <v>196</v>
      </c>
      <c r="C50" s="124">
        <v>0.32800000000000001</v>
      </c>
      <c r="D50" s="124" t="s">
        <v>197</v>
      </c>
      <c r="E50" s="124">
        <v>1.56</v>
      </c>
      <c r="F50" s="125" t="s">
        <v>113</v>
      </c>
      <c r="G50" s="126">
        <v>0.6</v>
      </c>
      <c r="H50" s="124" t="s">
        <v>198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210</v>
      </c>
      <c r="B51" s="123" t="s">
        <v>196</v>
      </c>
      <c r="C51" s="124">
        <v>0.32600000000000001</v>
      </c>
      <c r="D51" s="124" t="s">
        <v>197</v>
      </c>
      <c r="E51" s="124">
        <v>1.56</v>
      </c>
      <c r="F51" s="125" t="s">
        <v>113</v>
      </c>
      <c r="G51" s="126">
        <v>0.6</v>
      </c>
      <c r="H51" s="124" t="s">
        <v>198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211</v>
      </c>
      <c r="B52" s="123" t="s">
        <v>196</v>
      </c>
      <c r="C52" s="124">
        <v>0.35899999999999999</v>
      </c>
      <c r="D52" s="124" t="s">
        <v>197</v>
      </c>
      <c r="E52" s="124">
        <v>1.56</v>
      </c>
      <c r="F52" s="125" t="s">
        <v>113</v>
      </c>
      <c r="G52" s="126">
        <v>0.6</v>
      </c>
      <c r="H52" s="124" t="s">
        <v>198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212</v>
      </c>
      <c r="B53" s="123" t="s">
        <v>196</v>
      </c>
      <c r="C53" s="124">
        <v>0.34599999999999997</v>
      </c>
      <c r="D53" s="124" t="s">
        <v>197</v>
      </c>
      <c r="E53" s="124">
        <v>1.56</v>
      </c>
      <c r="F53" s="125" t="s">
        <v>113</v>
      </c>
      <c r="G53" s="126">
        <v>0.6</v>
      </c>
      <c r="H53" s="124" t="s">
        <v>198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213</v>
      </c>
      <c r="B54" s="123" t="s">
        <v>196</v>
      </c>
      <c r="C54" s="124">
        <v>0.32600000000000001</v>
      </c>
      <c r="D54" s="124" t="s">
        <v>197</v>
      </c>
      <c r="E54" s="124">
        <v>1.56</v>
      </c>
      <c r="F54" s="125" t="s">
        <v>113</v>
      </c>
      <c r="G54" s="126">
        <v>0.6</v>
      </c>
      <c r="H54" s="124" t="s">
        <v>198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214</v>
      </c>
      <c r="B55" s="123" t="s">
        <v>196</v>
      </c>
      <c r="C55" s="124">
        <v>0.30499999999999999</v>
      </c>
      <c r="D55" s="124" t="s">
        <v>197</v>
      </c>
      <c r="E55" s="124">
        <v>1.56</v>
      </c>
      <c r="F55" s="125" t="s">
        <v>113</v>
      </c>
      <c r="G55" s="126">
        <v>0.6</v>
      </c>
      <c r="H55" s="124" t="s">
        <v>198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215</v>
      </c>
      <c r="B56" s="123" t="s">
        <v>196</v>
      </c>
      <c r="C56" s="124">
        <v>0.32300000000000001</v>
      </c>
      <c r="D56" s="124" t="s">
        <v>197</v>
      </c>
      <c r="E56" s="124">
        <v>1.56</v>
      </c>
      <c r="F56" s="125" t="s">
        <v>113</v>
      </c>
      <c r="G56" s="126">
        <v>0.6</v>
      </c>
      <c r="H56" s="124" t="s">
        <v>198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216</v>
      </c>
      <c r="B57" s="123" t="s">
        <v>196</v>
      </c>
      <c r="C57" s="124">
        <v>0.36699999999999999</v>
      </c>
      <c r="D57" s="124" t="s">
        <v>197</v>
      </c>
      <c r="E57" s="124">
        <v>1.56</v>
      </c>
      <c r="F57" s="125" t="s">
        <v>113</v>
      </c>
      <c r="G57" s="126">
        <v>0.6</v>
      </c>
      <c r="H57" s="124" t="s">
        <v>198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217</v>
      </c>
      <c r="B58" s="123" t="s">
        <v>196</v>
      </c>
      <c r="C58" s="124">
        <v>0.36</v>
      </c>
      <c r="D58" s="124" t="s">
        <v>197</v>
      </c>
      <c r="E58" s="124">
        <v>1.56</v>
      </c>
      <c r="F58" s="125" t="s">
        <v>113</v>
      </c>
      <c r="G58" s="126">
        <v>0.6</v>
      </c>
      <c r="H58" s="124" t="s">
        <v>198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218</v>
      </c>
      <c r="B59" s="123" t="s">
        <v>196</v>
      </c>
      <c r="C59" s="124">
        <v>0.36799999999999999</v>
      </c>
      <c r="D59" s="124" t="s">
        <v>197</v>
      </c>
      <c r="E59" s="124">
        <v>1.56</v>
      </c>
      <c r="F59" s="125" t="s">
        <v>113</v>
      </c>
      <c r="G59" s="126">
        <v>0.6</v>
      </c>
      <c r="H59" s="124" t="s">
        <v>198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219</v>
      </c>
      <c r="B60" s="123" t="s">
        <v>196</v>
      </c>
      <c r="C60" s="124">
        <v>0.30599999999999999</v>
      </c>
      <c r="D60" s="124" t="s">
        <v>197</v>
      </c>
      <c r="E60" s="124">
        <v>1.56</v>
      </c>
      <c r="F60" s="125" t="s">
        <v>113</v>
      </c>
      <c r="G60" s="126">
        <v>0.6</v>
      </c>
      <c r="H60" s="124" t="s">
        <v>198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220</v>
      </c>
      <c r="B61" s="123" t="s">
        <v>196</v>
      </c>
      <c r="C61" s="124">
        <v>0.313</v>
      </c>
      <c r="D61" s="124" t="s">
        <v>197</v>
      </c>
      <c r="E61" s="124">
        <v>1.56</v>
      </c>
      <c r="F61" s="125" t="s">
        <v>113</v>
      </c>
      <c r="G61" s="126">
        <v>0.6</v>
      </c>
      <c r="H61" s="124" t="s">
        <v>198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221</v>
      </c>
      <c r="B62" s="123" t="s">
        <v>222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198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223</v>
      </c>
      <c r="B63" s="123" t="s">
        <v>224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225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226</v>
      </c>
      <c r="B64" s="123" t="s">
        <v>227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225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228</v>
      </c>
      <c r="B65" s="123" t="s">
        <v>229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225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20</v>
      </c>
      <c r="B66" s="123" t="s">
        <v>230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225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231</v>
      </c>
      <c r="B67" s="123" t="s">
        <v>232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233</v>
      </c>
      <c r="B68" s="123" t="s">
        <v>234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225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235</v>
      </c>
      <c r="B69" s="123" t="s">
        <v>236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225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237</v>
      </c>
      <c r="B70" s="123" t="s">
        <v>238</v>
      </c>
      <c r="C70" s="124">
        <v>0.48</v>
      </c>
      <c r="D70" s="124" t="s">
        <v>112</v>
      </c>
      <c r="E70" s="124">
        <v>2.4</v>
      </c>
      <c r="F70" s="124" t="s">
        <v>239</v>
      </c>
      <c r="G70" s="126">
        <v>0.45</v>
      </c>
      <c r="H70" s="124" t="s">
        <v>225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240</v>
      </c>
      <c r="B71" s="123" t="s">
        <v>241</v>
      </c>
      <c r="C71" s="124">
        <v>0.46</v>
      </c>
      <c r="D71" s="124" t="s">
        <v>242</v>
      </c>
      <c r="E71" s="124">
        <v>1.3</v>
      </c>
      <c r="F71" s="125" t="s">
        <v>113</v>
      </c>
      <c r="G71" s="126">
        <v>0.45</v>
      </c>
      <c r="H71" s="124" t="s">
        <v>225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243</v>
      </c>
      <c r="B72" s="123" t="s">
        <v>244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225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17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113</v>
      </c>
      <c r="G73" s="126">
        <v>0.45</v>
      </c>
      <c r="H73" s="124" t="s">
        <v>225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247</v>
      </c>
      <c r="B74" s="123" t="s">
        <v>248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225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249</v>
      </c>
      <c r="B75" s="123" t="s">
        <v>250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251</v>
      </c>
      <c r="B76" s="123" t="s">
        <v>252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254</v>
      </c>
      <c r="B77" s="123" t="s">
        <v>255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256</v>
      </c>
      <c r="B78" s="123" t="s">
        <v>257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258</v>
      </c>
      <c r="B79" s="123" t="s">
        <v>259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260</v>
      </c>
      <c r="B80" s="123" t="s">
        <v>261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262</v>
      </c>
      <c r="B81" s="123" t="s">
        <v>263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267</v>
      </c>
      <c r="B83" s="123" t="s">
        <v>268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269</v>
      </c>
      <c r="B84" s="123" t="s">
        <v>270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271</v>
      </c>
      <c r="B85" s="123" t="s">
        <v>272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273</v>
      </c>
      <c r="B86" s="123" t="s">
        <v>274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73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35">
      <c r="A89" s="133" t="s">
        <v>279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">
      <c r="A93" s="122" t="s">
        <v>74</v>
      </c>
    </row>
    <row r="94" spans="1:14" x14ac:dyDescent="0.3">
      <c r="A94" s="122" t="s">
        <v>75</v>
      </c>
    </row>
    <row r="95" spans="1:14" x14ac:dyDescent="0.3">
      <c r="A95" s="122" t="s">
        <v>76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280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8.65583372921615</v>
      </c>
      <c r="C6" s="147">
        <f ca="1">IF(OR('Données projet'!B9="",'Données projet'!C9="",'Données projet'!C9=0%),0,Calculateur!S3)</f>
        <v>297.34058997955685</v>
      </c>
      <c r="D6" s="147">
        <f>IF(OR('Données projet'!B9="",'Données projet'!C9="",'Données projet'!C9=0%),0,Calculateur!T3)</f>
        <v>440.06633724144069</v>
      </c>
      <c r="E6" s="147">
        <f ca="1">MIN(C6,D6)</f>
        <v>297.34058997955685</v>
      </c>
      <c r="F6" s="147">
        <f ca="1">E6*B6</f>
        <v>2573.730707810078</v>
      </c>
      <c r="G6" s="147">
        <f ca="1">F6*(100%-'Données projet'!$C$24)*(100%-'Données projet'!$C$25)*(100%-'Données projet'!$C$26)*(100%-'Données projet'!$C$27)</f>
        <v>2200.5397551776168</v>
      </c>
      <c r="H6" s="148">
        <f>IF(OR('Données projet'!B9="",'Données projet'!C9="",'Données projet'!C9=0%),0,AVERAGE(Calculateur!$AC$3:$AC$33)*B6)</f>
        <v>138.4852801033696</v>
      </c>
      <c r="I6" s="149">
        <f>H6*(100%-'Données projet'!$C$24)*(100%-'Données projet'!$C$25)*(100%-'Données projet'!$C$26)*(100%-'Données projet'!$C$27)</f>
        <v>118.40491448838101</v>
      </c>
      <c r="J6" s="150">
        <f>IF(OR('Données projet'!B9="",'Données projet'!C9="",'Données projet'!C9=0%),0,SUM(Calculateur!$V$3:$V$33)*VLOOKUP('Données projet'!$B$9,Paramètres!$A$1:$I$89,9,0)*B6)</f>
        <v>575.83193558622315</v>
      </c>
      <c r="K6" s="151">
        <f>J6*(100%-'Données projet'!$C$24)*(100%-'Données projet'!$C$25)*(100%-'Données projet'!$C$26)*(100%-'Données projet'!$C$27)</f>
        <v>492.33630492622081</v>
      </c>
      <c r="L6" s="152">
        <f ca="1">G6+I6+K6</f>
        <v>2811.2809745922186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5.9035622660993354</v>
      </c>
      <c r="C7" s="147">
        <f ca="1">IF(OR('Données projet'!B10="",'Données projet'!C10="",'Données projet'!C10=0%),0,Calculateur!AN3)</f>
        <v>302.29526572690196</v>
      </c>
      <c r="D7" s="147">
        <f>IF(OR('Données projet'!B10="",'Données projet'!C10="",'Données projet'!C10=0%),0,Calculateur!AO3)</f>
        <v>234.86746802631617</v>
      </c>
      <c r="E7" s="147">
        <f t="shared" ref="E7:E15" ca="1" si="0">MIN(C7,D7)</f>
        <v>234.86746802631617</v>
      </c>
      <c r="F7" s="147">
        <f t="shared" ref="F7:F15" ca="1" si="1">E7*B7</f>
        <v>1386.5547217744522</v>
      </c>
      <c r="G7" s="147">
        <f ca="1">F7*(100%-'Données projet'!$C$24)*(100%-'Données projet'!$C$25)*(100%-'Données projet'!$C$26)*(100%-'Données projet'!$C$27)</f>
        <v>1185.5042871171565</v>
      </c>
      <c r="H7" s="155">
        <f>IF(OR('Données projet'!B10="",'Données projet'!C10="",'Données projet'!C10=0%),0,AVERAGE(Calculateur!$AX$3:$AX$33)*B7)</f>
        <v>17.129058881827646</v>
      </c>
      <c r="I7" s="149">
        <f>H7*(100%-'Données projet'!$C$24)*(100%-'Données projet'!$C$25)*(100%-'Données projet'!$C$26)*(100%-'Données projet'!$C$27)</f>
        <v>14.645345343962637</v>
      </c>
      <c r="J7" s="150">
        <f>IF(OR('Données projet'!B10="",'Données projet'!C10="",'Données projet'!C10=0%),0,SUM(Calculateur!$AQ$3:$AQ$33)*VLOOKUP('Données projet'!$B$10,Paramètres!$A$1:$I$89,9,0)*B7)</f>
        <v>126.97735935662418</v>
      </c>
      <c r="K7" s="151">
        <f>J7*(100%-'Données projet'!$C$24)*(100%-'Données projet'!$C$25)*(100%-'Données projet'!$C$26)*(100%-'Données projet'!$C$27)</f>
        <v>108.56564224991367</v>
      </c>
      <c r="L7" s="152">
        <f t="shared" ref="L7:L15" ca="1" si="2">G7+I7+K7</f>
        <v>1308.7152747110329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1.2719999999999998</v>
      </c>
      <c r="C8" s="147">
        <f ca="1">IF(OR('Données projet'!B11="",'Données projet'!C11="",'Données projet'!C11=0%),0,Calculateur!BI3)</f>
        <v>627.65081154031589</v>
      </c>
      <c r="D8" s="147">
        <f>IF(OR('Données projet'!B11="",'Données projet'!C11="",'Données projet'!C11=0%),0,Calculateur!BJ3)</f>
        <v>288.78083487077618</v>
      </c>
      <c r="E8" s="147">
        <f t="shared" ca="1" si="0"/>
        <v>288.78083487077618</v>
      </c>
      <c r="F8" s="147">
        <f t="shared" ca="1" si="1"/>
        <v>367.32922195562725</v>
      </c>
      <c r="G8" s="147">
        <f ca="1">F8*(100%-'Données projet'!$C$24)*(100%-'Données projet'!$C$25)*(100%-'Données projet'!$C$26)*(100%-'Données projet'!$C$27)</f>
        <v>314.0664847720613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314.0664847720613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Charme</v>
      </c>
      <c r="B9" s="154">
        <f>'Données projet'!D12</f>
        <v>0.31799999999999995</v>
      </c>
      <c r="C9" s="147">
        <f ca="1">IF(OR('Données projet'!B12="",'Données projet'!C12="",'Données projet'!C12=0%),0,Calculateur!CD3)</f>
        <v>655.36321433908199</v>
      </c>
      <c r="D9" s="147">
        <f>IF(OR('Données projet'!B12="",'Données projet'!C12="",'Données projet'!C12=0%),0,Calculateur!CE3)</f>
        <v>300.52980782068698</v>
      </c>
      <c r="E9" s="147">
        <f t="shared" ca="1" si="0"/>
        <v>300.52980782068698</v>
      </c>
      <c r="F9" s="147">
        <f t="shared" ca="1" si="1"/>
        <v>95.56847888697844</v>
      </c>
      <c r="G9" s="147">
        <f ca="1">F9*(100%-'Données projet'!$C$24)*(100%-'Données projet'!$C$25)*(100%-'Données projet'!$C$26)*(100%-'Données projet'!$C$27)</f>
        <v>81.711049448366566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81.711049448366566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4423.1831304271354</v>
      </c>
      <c r="G16" s="166">
        <f t="shared" ca="1" si="3"/>
        <v>3781.8215765152008</v>
      </c>
      <c r="H16" s="167">
        <f t="shared" si="3"/>
        <v>155.61433898519726</v>
      </c>
      <c r="I16" s="167">
        <f t="shared" si="3"/>
        <v>133.05025983234364</v>
      </c>
      <c r="J16" s="168">
        <f t="shared" si="3"/>
        <v>702.80929494284737</v>
      </c>
      <c r="K16" s="168">
        <f t="shared" si="3"/>
        <v>600.90194717613451</v>
      </c>
      <c r="L16" s="169">
        <f t="shared" ca="1" si="3"/>
        <v>4515.7737835236794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291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S29" sqref="S29:U3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292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293</v>
      </c>
      <c r="I4" s="269"/>
      <c r="K4" s="293" t="s">
        <v>294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59</v>
      </c>
      <c r="O7" s="247"/>
      <c r="P7" s="248"/>
      <c r="Q7" s="249"/>
      <c r="R7" s="303" t="s">
        <v>295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296</v>
      </c>
      <c r="C9" s="23"/>
      <c r="D9" s="23"/>
      <c r="E9" s="23"/>
      <c r="F9" s="230"/>
      <c r="G9" s="93" t="s">
        <v>297</v>
      </c>
      <c r="I9" s="195"/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-1802.0386198049262</v>
      </c>
      <c r="U10" s="178">
        <f>'Données projet'!D9</f>
        <v>8.65583372921615</v>
      </c>
      <c r="V10" s="177">
        <f>U10*T10</f>
        <v>-15598.146666657598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-2644.7784294344647</v>
      </c>
      <c r="U11" s="178">
        <f>'Données projet'!D10</f>
        <v>5.9035622660993354</v>
      </c>
      <c r="V11" s="177">
        <f t="shared" ref="V11" si="0">U11*T11</f>
        <v>-15613.614138202769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-10300.872246905117</v>
      </c>
      <c r="U12" s="178">
        <f>'Données projet'!D11</f>
        <v>1.2719999999999998</v>
      </c>
      <c r="V12" s="177">
        <f t="shared" ref="V12:V19" si="1">U12*T12</f>
        <v>-13102.709498063306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-4386.16913444902</v>
      </c>
      <c r="U13" s="178">
        <f>'Données projet'!D12</f>
        <v>0.31799999999999995</v>
      </c>
      <c r="V13" s="177">
        <f t="shared" si="1"/>
        <v>-1394.8017847547881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78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6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50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96"/>
      <c r="H16" s="190"/>
      <c r="I16" s="191"/>
      <c r="J16" s="202"/>
      <c r="K16" s="208"/>
      <c r="L16" s="293" t="s">
        <v>312</v>
      </c>
      <c r="M16" s="294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196</v>
      </c>
      <c r="C17" s="198" t="s">
        <v>196</v>
      </c>
      <c r="D17" s="197" t="s">
        <v>196</v>
      </c>
      <c r="E17" s="193">
        <f>670+(5570.38+893.11)/'Données projet'!D9</f>
        <v>1416.7206744260459</v>
      </c>
      <c r="F17" s="230"/>
      <c r="G17" s="296"/>
      <c r="I17" s="195"/>
      <c r="J17" s="202"/>
      <c r="K17" s="208"/>
      <c r="L17" s="266" t="s">
        <v>313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196</v>
      </c>
      <c r="C18" s="198" t="s">
        <v>196</v>
      </c>
      <c r="D18" s="197" t="s">
        <v>196</v>
      </c>
      <c r="E18" s="193">
        <f>220+430</f>
        <v>650</v>
      </c>
      <c r="F18" s="230"/>
      <c r="G18" s="296"/>
      <c r="J18" s="202"/>
      <c r="K18" s="208"/>
      <c r="L18" s="266" t="s">
        <v>309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196</v>
      </c>
      <c r="C19" s="198" t="s">
        <v>196</v>
      </c>
      <c r="D19" s="197" t="s">
        <v>196</v>
      </c>
      <c r="E19" s="193">
        <f>400+430+15%*E17</f>
        <v>1042.5081011639068</v>
      </c>
      <c r="F19" s="230"/>
      <c r="G19" s="296"/>
      <c r="H19" s="212" t="s">
        <v>78</v>
      </c>
      <c r="I19" s="212" t="s">
        <v>314</v>
      </c>
      <c r="J19" s="93"/>
      <c r="K19" s="173"/>
      <c r="L19" s="293" t="s">
        <v>315</v>
      </c>
      <c r="M19" s="29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196</v>
      </c>
      <c r="C20" s="198" t="s">
        <v>196</v>
      </c>
      <c r="D20" s="197" t="s">
        <v>196</v>
      </c>
      <c r="E20" s="193">
        <f>220+430</f>
        <v>650</v>
      </c>
      <c r="F20" s="230"/>
      <c r="G20" s="296"/>
      <c r="H20" s="190">
        <v>1</v>
      </c>
      <c r="I20" s="191">
        <f>20+(400/'Données projet'!C5+20)+(200/'Données projet'!C5+10)</f>
        <v>86.585365853658544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196</v>
      </c>
      <c r="C21" s="198" t="s">
        <v>196</v>
      </c>
      <c r="D21" s="197" t="s">
        <v>196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196</v>
      </c>
      <c r="C22" s="198" t="s">
        <v>196</v>
      </c>
      <c r="D22" s="197" t="s">
        <v>196</v>
      </c>
      <c r="E22" s="193"/>
      <c r="F22" s="230"/>
      <c r="H22" s="190">
        <v>3</v>
      </c>
      <c r="I22" s="191">
        <f>20+200/'Données projet'!C5+10</f>
        <v>42.195121951219512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14</v>
      </c>
      <c r="B23" s="181">
        <f>'Données projet'!D36</f>
        <v>34.25</v>
      </c>
      <c r="C23" s="193">
        <v>5</v>
      </c>
      <c r="D23" s="182">
        <f>B23*C23</f>
        <v>171.25</v>
      </c>
      <c r="E23" s="193"/>
      <c r="F23" s="230"/>
      <c r="H23" s="190">
        <v>4</v>
      </c>
      <c r="I23" s="191">
        <v>20</v>
      </c>
      <c r="K23" s="208"/>
      <c r="L23" s="295" t="s">
        <v>316</v>
      </c>
      <c r="M23" s="295"/>
      <c r="N23" s="295"/>
      <c r="O23" s="23"/>
      <c r="P23" s="23"/>
      <c r="Q23" s="234"/>
      <c r="R23" s="23"/>
      <c r="S23" s="36" t="s">
        <v>317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-57859.081321337675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19</v>
      </c>
      <c r="B24" s="181">
        <f>'Données projet'!D37</f>
        <v>59.5</v>
      </c>
      <c r="C24" s="193">
        <v>5</v>
      </c>
      <c r="D24" s="182">
        <f t="shared" ref="D24:D42" si="2">B24*C24</f>
        <v>297.5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377.86349959876054</v>
      </c>
      <c r="K24" s="208"/>
      <c r="O24" s="23"/>
      <c r="P24" s="23"/>
      <c r="Q24" s="234"/>
      <c r="R24" s="23"/>
      <c r="S24" s="36" t="s">
        <v>318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60.96</v>
      </c>
      <c r="C25" s="193">
        <v>8.5</v>
      </c>
      <c r="D25" s="182">
        <f t="shared" si="2"/>
        <v>518.16</v>
      </c>
      <c r="E25" s="193"/>
      <c r="F25" s="233"/>
      <c r="H25" s="190">
        <v>6</v>
      </c>
      <c r="I25" s="191">
        <v>20</v>
      </c>
      <c r="K25" s="208"/>
      <c r="L25" s="130" t="s">
        <v>319</v>
      </c>
      <c r="M25" s="130"/>
      <c r="N25" s="130"/>
      <c r="O25" s="130"/>
      <c r="P25" s="192">
        <v>0</v>
      </c>
      <c r="Q25" s="234"/>
      <c r="R25" s="23"/>
      <c r="S25" s="186" t="s">
        <v>320</v>
      </c>
      <c r="T25" s="310">
        <f ca="1">T23-T24</f>
        <v>-57859.081321337675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32</v>
      </c>
      <c r="B26" s="181">
        <f>'Données projet'!D39</f>
        <v>76.42</v>
      </c>
      <c r="C26" s="193">
        <v>15.5</v>
      </c>
      <c r="D26" s="182">
        <f t="shared" si="2"/>
        <v>1184.51</v>
      </c>
      <c r="E26" s="193"/>
      <c r="F26" s="233"/>
      <c r="G26" s="229"/>
      <c r="H26" s="190">
        <v>7</v>
      </c>
      <c r="I26" s="191">
        <v>20</v>
      </c>
      <c r="K26" s="208"/>
      <c r="L26" s="297" t="s">
        <v>321</v>
      </c>
      <c r="M26" s="298"/>
      <c r="N26" s="298"/>
      <c r="O26" s="298"/>
      <c r="P26" s="299"/>
      <c r="Q26" s="234"/>
      <c r="R26" s="23"/>
      <c r="S26" s="186" t="s">
        <v>322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45</v>
      </c>
      <c r="B27" s="181">
        <f>'Données projet'!D40</f>
        <v>503.89</v>
      </c>
      <c r="C27" s="193">
        <v>15.5</v>
      </c>
      <c r="D27" s="182">
        <f t="shared" si="2"/>
        <v>7810.2950000000001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323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324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73362.017417745898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2725.7029338434918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78</v>
      </c>
      <c r="P32" s="85" t="s">
        <v>310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32</v>
      </c>
      <c r="U33" s="1">
        <f>SUM(U30:U32)</f>
        <v>77587.720351589393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19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50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196</v>
      </c>
      <c r="C48" s="198" t="s">
        <v>196</v>
      </c>
      <c r="D48" s="197" t="s">
        <v>196</v>
      </c>
      <c r="E48" s="193">
        <f>670+(2754.09+2027.76)/'Données projet'!D10</f>
        <v>1479.9939976002854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196</v>
      </c>
      <c r="C49" s="198" t="s">
        <v>196</v>
      </c>
      <c r="D49" s="197" t="s">
        <v>196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196</v>
      </c>
      <c r="C50" s="198" t="s">
        <v>196</v>
      </c>
      <c r="D50" s="197" t="s">
        <v>196</v>
      </c>
      <c r="E50" s="193">
        <f>400+430+15%*E48</f>
        <v>1051.9990996400429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196</v>
      </c>
      <c r="C51" s="198" t="s">
        <v>196</v>
      </c>
      <c r="D51" s="197" t="s">
        <v>196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196</v>
      </c>
      <c r="C52" s="198" t="s">
        <v>196</v>
      </c>
      <c r="D52" s="197" t="s">
        <v>196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196</v>
      </c>
      <c r="C53" s="198" t="s">
        <v>196</v>
      </c>
      <c r="D53" s="197" t="s">
        <v>196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50.02</v>
      </c>
      <c r="C54" s="191">
        <v>8.5</v>
      </c>
      <c r="D54" s="179">
        <f>B54*C54</f>
        <v>425.17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32</v>
      </c>
      <c r="B55" s="181">
        <f>'Données projet'!D63</f>
        <v>45.68</v>
      </c>
      <c r="C55" s="191">
        <v>15.5</v>
      </c>
      <c r="D55" s="179">
        <f t="shared" ref="D55:D73" si="4">B55*C55</f>
        <v>708.04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57.27</v>
      </c>
      <c r="C56" s="191">
        <v>15.5</v>
      </c>
      <c r="D56" s="179">
        <f t="shared" si="4"/>
        <v>887.68500000000006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69.17</v>
      </c>
      <c r="C57" s="191">
        <v>15.5</v>
      </c>
      <c r="D57" s="179">
        <f t="shared" si="4"/>
        <v>1072.135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63.69</v>
      </c>
      <c r="C58" s="191">
        <v>29.5</v>
      </c>
      <c r="D58" s="179">
        <f t="shared" si="4"/>
        <v>1878.855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69.790000000000006</v>
      </c>
      <c r="C59" s="191">
        <v>29.5</v>
      </c>
      <c r="D59" s="179">
        <f t="shared" si="4"/>
        <v>2058.8050000000003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400.15</v>
      </c>
      <c r="C60" s="191">
        <v>29.5</v>
      </c>
      <c r="D60" s="179">
        <f t="shared" si="4"/>
        <v>11804.424999999999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21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50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196</v>
      </c>
      <c r="C79" s="198" t="s">
        <v>196</v>
      </c>
      <c r="D79" s="197" t="s">
        <v>196</v>
      </c>
      <c r="E79" s="193">
        <f>670+(1120/0.36)+(1080+6778.8*0.8)/'Données projet'!D11</f>
        <v>8893.5639412997916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196</v>
      </c>
      <c r="C80" s="198" t="s">
        <v>196</v>
      </c>
      <c r="D80" s="197" t="s">
        <v>196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196</v>
      </c>
      <c r="C81" s="198" t="s">
        <v>196</v>
      </c>
      <c r="D81" s="197" t="s">
        <v>196</v>
      </c>
      <c r="E81" s="193">
        <f>400+430+15%*E79</f>
        <v>2164.0345911949689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196</v>
      </c>
      <c r="C82" s="198" t="s">
        <v>196</v>
      </c>
      <c r="D82" s="197" t="s">
        <v>196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196</v>
      </c>
      <c r="C83" s="198" t="s">
        <v>196</v>
      </c>
      <c r="D83" s="197" t="s">
        <v>196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196</v>
      </c>
      <c r="C84" s="198" t="s">
        <v>196</v>
      </c>
      <c r="D84" s="197" t="s">
        <v>196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58</v>
      </c>
      <c r="D85" s="179">
        <f>B85*C85</f>
        <v>2506.1799999999998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58</v>
      </c>
      <c r="D86" s="179">
        <f t="shared" ref="D86:D104" si="6">B86*C86</f>
        <v>2063.64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58</v>
      </c>
      <c r="D87" s="179">
        <f t="shared" si="6"/>
        <v>2605.94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106</v>
      </c>
      <c r="D88" s="179">
        <f t="shared" si="6"/>
        <v>5290.46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106</v>
      </c>
      <c r="D89" s="179">
        <f t="shared" si="6"/>
        <v>5024.3999999999996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106</v>
      </c>
      <c r="D90" s="179">
        <f t="shared" si="6"/>
        <v>6515.82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106</v>
      </c>
      <c r="D91" s="179">
        <f t="shared" si="6"/>
        <v>6556.1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106</v>
      </c>
      <c r="D92" s="179">
        <f t="shared" si="6"/>
        <v>6380.1399999999994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106</v>
      </c>
      <c r="D93" s="179">
        <f t="shared" si="6"/>
        <v>5943.42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106</v>
      </c>
      <c r="D94" s="179">
        <f t="shared" si="6"/>
        <v>5568.18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106</v>
      </c>
      <c r="D95" s="179">
        <f t="shared" si="6"/>
        <v>5824.7000000000007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106</v>
      </c>
      <c r="D96" s="179">
        <f t="shared" si="6"/>
        <v>5937.0599999999995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106</v>
      </c>
      <c r="D97" s="179">
        <f t="shared" si="6"/>
        <v>5843.7800000000007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106</v>
      </c>
      <c r="D98" s="179">
        <f t="shared" si="6"/>
        <v>6315.48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106</v>
      </c>
      <c r="D99" s="179">
        <f t="shared" si="6"/>
        <v>22765.620000000003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106</v>
      </c>
      <c r="D100" s="179">
        <f t="shared" si="6"/>
        <v>12210.14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106</v>
      </c>
      <c r="D101" s="179">
        <f t="shared" si="6"/>
        <v>8238.32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106</v>
      </c>
      <c r="D102" s="179">
        <f t="shared" si="6"/>
        <v>17994.559999999998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23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50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196</v>
      </c>
      <c r="C110" s="198" t="s">
        <v>196</v>
      </c>
      <c r="D110" s="197" t="s">
        <v>196</v>
      </c>
      <c r="E110" s="193">
        <f>670+(6778.8*0.2)/'Données projet'!D12</f>
        <v>4933.396226415096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196</v>
      </c>
      <c r="C111" s="198" t="s">
        <v>196</v>
      </c>
      <c r="D111" s="197" t="s">
        <v>196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196</v>
      </c>
      <c r="C112" s="198" t="s">
        <v>196</v>
      </c>
      <c r="D112" s="197" t="s">
        <v>196</v>
      </c>
      <c r="E112" s="193">
        <f>400+430+15%*E110</f>
        <v>1570.0094339622642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196</v>
      </c>
      <c r="C113" s="198" t="s">
        <v>196</v>
      </c>
      <c r="D113" s="197" t="s">
        <v>196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196</v>
      </c>
      <c r="C114" s="198" t="s">
        <v>196</v>
      </c>
      <c r="D114" s="197" t="s">
        <v>196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196</v>
      </c>
      <c r="C115" s="198" t="s">
        <v>196</v>
      </c>
      <c r="D115" s="197" t="s">
        <v>196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18.5</v>
      </c>
      <c r="D116" s="179">
        <f>B116*C116</f>
        <v>799.38499999999999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18.5</v>
      </c>
      <c r="D117" s="179">
        <f t="shared" ref="D117:D135" si="8">B117*C117</f>
        <v>658.23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18.5</v>
      </c>
      <c r="D118" s="179">
        <f t="shared" si="8"/>
        <v>831.20500000000004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32</v>
      </c>
      <c r="D119" s="179">
        <f t="shared" si="8"/>
        <v>1597.12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32</v>
      </c>
      <c r="D120" s="179">
        <f t="shared" si="8"/>
        <v>1516.8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32</v>
      </c>
      <c r="D121" s="179">
        <f t="shared" si="8"/>
        <v>1967.04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32</v>
      </c>
      <c r="D122" s="179">
        <f t="shared" si="8"/>
        <v>1979.2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32</v>
      </c>
      <c r="D123" s="179">
        <f t="shared" si="8"/>
        <v>1926.08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32</v>
      </c>
      <c r="D124" s="179">
        <f t="shared" si="8"/>
        <v>1794.24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32</v>
      </c>
      <c r="D125" s="179">
        <f t="shared" si="8"/>
        <v>1680.96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32</v>
      </c>
      <c r="D126" s="179">
        <f t="shared" si="8"/>
        <v>1758.4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32</v>
      </c>
      <c r="D127" s="179">
        <f t="shared" si="8"/>
        <v>1792.32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32</v>
      </c>
      <c r="D128" s="179">
        <f t="shared" si="8"/>
        <v>1764.16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32</v>
      </c>
      <c r="D129" s="179">
        <f t="shared" si="8"/>
        <v>1906.56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32</v>
      </c>
      <c r="D130" s="179">
        <f t="shared" si="8"/>
        <v>6872.64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32</v>
      </c>
      <c r="D131" s="179">
        <f t="shared" si="8"/>
        <v>3686.08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32</v>
      </c>
      <c r="D132" s="179">
        <f t="shared" si="8"/>
        <v>2487.04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32</v>
      </c>
      <c r="D133" s="179">
        <f t="shared" si="8"/>
        <v>5432.32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25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50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196</v>
      </c>
      <c r="C141" s="198" t="s">
        <v>196</v>
      </c>
      <c r="D141" s="197" t="s">
        <v>196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196</v>
      </c>
      <c r="C142" s="198" t="s">
        <v>196</v>
      </c>
      <c r="D142" s="197" t="s">
        <v>196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196</v>
      </c>
      <c r="C143" s="198" t="s">
        <v>196</v>
      </c>
      <c r="D143" s="197" t="s">
        <v>196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196</v>
      </c>
      <c r="C144" s="198" t="s">
        <v>196</v>
      </c>
      <c r="D144" s="197" t="s">
        <v>196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196</v>
      </c>
      <c r="C145" s="198" t="s">
        <v>196</v>
      </c>
      <c r="D145" s="197" t="s">
        <v>196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196</v>
      </c>
      <c r="C146" s="198" t="s">
        <v>196</v>
      </c>
      <c r="D146" s="197" t="s">
        <v>196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27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50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196</v>
      </c>
      <c r="C172" s="198" t="s">
        <v>196</v>
      </c>
      <c r="D172" s="197" t="s">
        <v>196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196</v>
      </c>
      <c r="C173" s="198" t="s">
        <v>196</v>
      </c>
      <c r="D173" s="197" t="s">
        <v>196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196</v>
      </c>
      <c r="C174" s="198" t="s">
        <v>196</v>
      </c>
      <c r="D174" s="197" t="s">
        <v>196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196</v>
      </c>
      <c r="C175" s="198" t="s">
        <v>196</v>
      </c>
      <c r="D175" s="197" t="s">
        <v>196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196</v>
      </c>
      <c r="C176" s="198" t="s">
        <v>196</v>
      </c>
      <c r="D176" s="197" t="s">
        <v>196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196</v>
      </c>
      <c r="C177" s="198" t="s">
        <v>196</v>
      </c>
      <c r="D177" s="197" t="s">
        <v>196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28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50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196</v>
      </c>
      <c r="C203" s="198" t="s">
        <v>196</v>
      </c>
      <c r="D203" s="197" t="s">
        <v>196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196</v>
      </c>
      <c r="C204" s="198" t="s">
        <v>196</v>
      </c>
      <c r="D204" s="197" t="s">
        <v>196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196</v>
      </c>
      <c r="C205" s="198" t="s">
        <v>196</v>
      </c>
      <c r="D205" s="197" t="s">
        <v>196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196</v>
      </c>
      <c r="C206" s="198" t="s">
        <v>196</v>
      </c>
      <c r="D206" s="197" t="s">
        <v>196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196</v>
      </c>
      <c r="C207" s="198" t="s">
        <v>196</v>
      </c>
      <c r="D207" s="197" t="s">
        <v>196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196</v>
      </c>
      <c r="C208" s="198" t="s">
        <v>196</v>
      </c>
      <c r="D208" s="197" t="s">
        <v>196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29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50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196</v>
      </c>
      <c r="C234" s="198" t="s">
        <v>196</v>
      </c>
      <c r="D234" s="197" t="s">
        <v>196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196</v>
      </c>
      <c r="C235" s="198" t="s">
        <v>196</v>
      </c>
      <c r="D235" s="197" t="s">
        <v>196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196</v>
      </c>
      <c r="C236" s="198" t="s">
        <v>196</v>
      </c>
      <c r="D236" s="197" t="s">
        <v>196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196</v>
      </c>
      <c r="C237" s="198" t="s">
        <v>196</v>
      </c>
      <c r="D237" s="197" t="s">
        <v>196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196</v>
      </c>
      <c r="C238" s="198" t="s">
        <v>196</v>
      </c>
      <c r="D238" s="197" t="s">
        <v>196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196</v>
      </c>
      <c r="C239" s="198" t="s">
        <v>196</v>
      </c>
      <c r="D239" s="197" t="s">
        <v>196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30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50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196</v>
      </c>
      <c r="C265" s="198" t="s">
        <v>196</v>
      </c>
      <c r="D265" s="197" t="s">
        <v>196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196</v>
      </c>
      <c r="C266" s="198" t="s">
        <v>196</v>
      </c>
      <c r="D266" s="197" t="s">
        <v>196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196</v>
      </c>
      <c r="C267" s="198" t="s">
        <v>196</v>
      </c>
      <c r="D267" s="197" t="s">
        <v>196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196</v>
      </c>
      <c r="C268" s="198" t="s">
        <v>196</v>
      </c>
      <c r="D268" s="197" t="s">
        <v>196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196</v>
      </c>
      <c r="C269" s="198" t="s">
        <v>196</v>
      </c>
      <c r="D269" s="197" t="s">
        <v>196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196</v>
      </c>
      <c r="C270" s="198" t="s">
        <v>196</v>
      </c>
      <c r="D270" s="197" t="s">
        <v>196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31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50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196</v>
      </c>
      <c r="C296" s="198" t="s">
        <v>196</v>
      </c>
      <c r="D296" s="197" t="s">
        <v>196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196</v>
      </c>
      <c r="C297" s="198" t="s">
        <v>196</v>
      </c>
      <c r="D297" s="197" t="s">
        <v>196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196</v>
      </c>
      <c r="C298" s="198" t="s">
        <v>196</v>
      </c>
      <c r="D298" s="197" t="s">
        <v>196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196</v>
      </c>
      <c r="C299" s="198" t="s">
        <v>196</v>
      </c>
      <c r="D299" s="197" t="s">
        <v>196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196</v>
      </c>
      <c r="C300" s="198" t="s">
        <v>196</v>
      </c>
      <c r="D300" s="197" t="s">
        <v>196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196</v>
      </c>
      <c r="C301" s="198" t="s">
        <v>196</v>
      </c>
      <c r="D301" s="197" t="s">
        <v>196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Aurélien Blond</cp:lastModifiedBy>
  <cp:revision/>
  <dcterms:created xsi:type="dcterms:W3CDTF">2021-02-01T08:22:39Z</dcterms:created>
  <dcterms:modified xsi:type="dcterms:W3CDTF">2025-02-13T16:07:09Z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