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DOSSIER STAGIAIRE/LBC/CENTRE (EDL)/2BOUR-123/Dossier avril 2024/"/>
    </mc:Choice>
  </mc:AlternateContent>
  <xr:revisionPtr revIDLastSave="58" documentId="8_{15DADFD5-45B2-43B0-A601-82D65DE0F8B2}" xr6:coauthVersionLast="47" xr6:coauthVersionMax="47" xr10:uidLastSave="{A414249F-7776-40D8-A093-19EEC94F8441}"/>
  <bookViews>
    <workbookView xWindow="-108" yWindow="-108" windowWidth="23256" windowHeight="13896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6" l="1"/>
  <c r="E48" i="6"/>
  <c r="I20" i="6"/>
  <c r="I22" i="6" l="1"/>
  <c r="E51" i="6"/>
  <c r="E50" i="6"/>
  <c r="E49" i="6"/>
  <c r="E20" i="6"/>
  <c r="E19" i="6"/>
  <c r="I24" i="6" s="1"/>
  <c r="E18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V10" i="6" l="1"/>
  <c r="T23" i="6" s="1"/>
  <c r="U30" i="6"/>
  <c r="U31" i="6"/>
  <c r="P67" i="6"/>
  <c r="H19" i="2"/>
  <c r="D20" i="2"/>
  <c r="G20" i="2" s="1"/>
  <c r="P40" i="6"/>
  <c r="U33" i="6" l="1"/>
  <c r="P68" i="6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G162" i="2" l="1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DF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B189" i="2" l="1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HG201" i="2" l="1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190" i="2" a="1"/>
  <c r="FY190" i="2" s="1"/>
  <c r="FY24" i="2" a="1"/>
  <c r="FY24" i="2" s="1"/>
  <c r="FY104" i="2" a="1"/>
  <c r="FY10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AH90" i="2" a="1"/>
  <c r="AH90" i="2" s="1"/>
  <c r="AH62" i="2" a="1"/>
  <c r="AH62" i="2" s="1"/>
  <c r="CS38" i="2" a="1"/>
  <c r="CS38" i="2" s="1"/>
  <c r="FY182" i="2" a="1"/>
  <c r="FY182" i="2" s="1"/>
  <c r="FY30" i="2" a="1"/>
  <c r="FY30" i="2" s="1"/>
  <c r="FY121" i="2" a="1"/>
  <c r="FY121" i="2" s="1"/>
  <c r="FD48" i="2" a="1"/>
  <c r="FD48" i="2" s="1"/>
  <c r="FD43" i="2" a="1"/>
  <c r="FD43" i="2" s="1"/>
  <c r="FD159" i="2" a="1"/>
  <c r="FD15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CS72" i="2" a="1"/>
  <c r="CS72" i="2" s="1"/>
  <c r="BX107" i="2" a="1"/>
  <c r="BX107" i="2" s="1"/>
  <c r="DN187" i="2" a="1"/>
  <c r="DN187" i="2" s="1"/>
  <c r="HJ202" i="2"/>
  <c r="EY202" i="2"/>
  <c r="AX200" i="2"/>
  <c r="FD19" i="2" l="1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tc={9504E0E8-48C6-44D3-8884-5B6F69422789}</author>
    <author>tc={35E77BEB-AF09-44DF-BB9F-C5C77FE54C80}</author>
    <author>tc={FB5B596A-C2EB-4ED7-93D0-EB435B2B081E}</author>
    <author>tc={B45C5BED-22C4-4998-A075-D95710939FBF}</author>
    <author>tc={B3FAB0A9-D6B0-42F7-893C-A7945CD8E0A5}</author>
    <author>tc={3783897A-143A-41D5-9DFB-BE3FBC8605E4}</author>
    <author>tc={119412EC-FFCB-4770-8963-7B77B037215B}</author>
    <author>tc={8DD8D3CE-3478-4340-89AF-CDDB75E2F5CE}</author>
    <author>tc={706D2217-E07B-4544-A27B-2667E5C4F8DC}</author>
    <author>tc={34A5314C-DE89-426A-9F0F-251747E1CF47}</author>
  </authors>
  <commentList>
    <comment ref="E18" authorId="0" shapeId="0" xr:uid="{9504E0E8-48C6-44D3-8884-5B6F69422789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9" authorId="1" shapeId="0" xr:uid="{35E77BEB-AF09-44DF-BB9F-C5C77FE54C80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I19" authorId="2" shapeId="0" xr:uid="{FB5B596A-C2EB-4ED7-93D0-EB435B2B081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Toutes les ans pendant la durée du contrat : frais de gardiennage 20€/ha/an</t>
      </text>
    </comment>
    <comment ref="E20" authorId="3" shapeId="0" xr:uid="{B45C5BED-22C4-4998-A075-D95710939FBF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I20" authorId="4" shapeId="0" xr:uid="{B3FAB0A9-D6B0-42F7-893C-A7945CD8E0A5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1 : diagnostic gestionnaire</t>
      </text>
    </comment>
    <comment ref="I22" authorId="5" shapeId="0" xr:uid="{3783897A-143A-41D5-9DFB-BE3FBC8605E4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3 : rédaction DGD</t>
      </text>
    </comment>
    <comment ref="I24" authorId="6" shapeId="0" xr:uid="{119412EC-FFCB-4770-8963-7B77B037215B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5 : facturation maitrise d'œuvre</t>
      </text>
    </comment>
    <comment ref="E49" authorId="7" shapeId="0" xr:uid="{8DD8D3CE-3478-4340-89AF-CDDB75E2F5C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50" authorId="8" shapeId="0" xr:uid="{706D2217-E07B-4544-A27B-2667E5C4F8DC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51" authorId="9" shapeId="0" xr:uid="{34A5314C-DE89-426A-9F0F-251747E1CF47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</commentList>
</comments>
</file>

<file path=xl/sharedStrings.xml><?xml version="1.0" encoding="utf-8"?>
<sst xmlns="http://schemas.openxmlformats.org/spreadsheetml/2006/main" count="1179" uniqueCount="331">
  <si>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</si>
  <si>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</si>
  <si>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</si>
  <si>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</si>
  <si>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</si>
  <si>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</si>
  <si>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</si>
  <si>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</si>
  <si>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</si>
  <si>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NOM DU PROJET NEOSYLVA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</si>
  <si>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</si>
  <si>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</si>
  <si>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</si>
  <si>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</si>
  <si>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</si>
  <si>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</si>
  <si>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</si>
  <si>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</si>
  <si>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</si>
  <si>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</si>
  <si>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</si>
  <si>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</si>
  <si>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</si>
  <si>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</si>
  <si>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</si>
  <si>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</si>
  <si>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</si>
  <si>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</si>
  <si>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</si>
  <si>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</si>
  <si>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</si>
  <si>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</si>
  <si>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</si>
  <si>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</si>
  <si>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</si>
  <si>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</si>
  <si>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</si>
  <si>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</si>
  <si>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</si>
  <si>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</si>
  <si>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</si>
  <si>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</si>
  <si>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</si>
  <si>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</si>
  <si>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</si>
  <si>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</si>
  <si>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</si>
  <si>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</si>
  <si>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</si>
  <si>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</si>
  <si>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</si>
  <si>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</si>
  <si>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</si>
  <si>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</si>
  <si>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</si>
  <si>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</si>
  <si>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</si>
  <si>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</si>
  <si>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</si>
  <si>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</si>
  <si>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</si>
  <si>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</si>
  <si>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</si>
  <si>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</si>
  <si>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</si>
  <si>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</si>
  <si>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</si>
  <si>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</si>
  <si>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</si>
  <si>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</si>
  <si>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</si>
  <si>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</si>
  <si>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</si>
  <si>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</si>
  <si>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</si>
  <si>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</si>
  <si>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</si>
  <si>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</si>
  <si>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</si>
  <si>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</si>
  <si>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</si>
  <si>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</si>
  <si>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</si>
  <si>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</si>
  <si>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</si>
  <si>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</si>
  <si>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</si>
  <si>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</si>
  <si>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</si>
  <si>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</si>
  <si>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</si>
  <si>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</si>
  <si>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</si>
  <si>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</si>
  <si>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</si>
  <si>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</si>
  <si>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</si>
  <si>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</si>
  <si>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</si>
  <si>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</si>
  <si>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</si>
  <si>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</si>
  <si>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</si>
  <si>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</si>
  <si>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</si>
  <si>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</si>
  <si>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</si>
  <si>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</si>
  <si>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</si>
  <si>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</si>
  <si>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</si>
  <si>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</si>
  <si>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</si>
  <si>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</si>
  <si>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</si>
  <si>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</si>
  <si>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</si>
  <si>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</si>
  <si>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</si>
  <si>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</si>
  <si>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</si>
  <si>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</si>
  <si>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</si>
  <si>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</si>
  <si>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</si>
  <si>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</si>
  <si>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</si>
  <si>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</si>
  <si>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</si>
  <si>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</si>
  <si>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</si>
  <si>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</si>
  <si>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</si>
  <si>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</si>
  <si>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</si>
  <si>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</si>
  <si>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</si>
  <si>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</si>
  <si>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</si>
  <si>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</si>
  <si>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</si>
  <si>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</si>
  <si>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</si>
  <si>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</si>
  <si>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</si>
  <si>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</si>
  <si>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</si>
  <si>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</si>
  <si>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</si>
  <si>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</si>
  <si>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</si>
  <si>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</si>
  <si>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</si>
  <si>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</si>
  <si>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</si>
  <si>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</si>
  <si>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</si>
  <si>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</si>
  <si>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</si>
  <si>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</si>
  <si>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</si>
  <si>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</si>
  <si>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</si>
  <si>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</si>
  <si>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</si>
  <si>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</si>
  <si>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</si>
  <si>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</si>
  <si>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</si>
  <si>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</si>
  <si>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</si>
  <si>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</si>
  <si>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</si>
  <si>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</si>
  <si>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</si>
  <si>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</si>
  <si>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</si>
  <si>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</si>
  <si>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</si>
  <si>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</si>
  <si>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</si>
  <si>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</si>
  <si>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</si>
  <si>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</si>
  <si>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</si>
  <si>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</si>
  <si>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</si>
  <si>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</si>
  <si>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</si>
  <si>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</si>
  <si>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</si>
  <si>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</si>
  <si>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</si>
  <si>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</si>
  <si>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</si>
  <si>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</si>
  <si>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</si>
  <si>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</si>
  <si>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</si>
  <si>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</si>
  <si>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</si>
  <si>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</si>
  <si>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</si>
  <si>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</si>
  <si>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</si>
  <si>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</si>
  <si>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</si>
  <si>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</si>
  <si>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</si>
  <si>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</si>
  <si>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</si>
  <si>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</si>
  <si>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</si>
  <si>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</si>
  <si>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</si>
  <si>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</si>
  <si>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</si>
  <si>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</si>
  <si>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</si>
  <si>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</si>
  <si>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</si>
  <si>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</si>
  <si>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</si>
  <si>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</si>
  <si>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</si>
  <si>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</si>
  <si>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</si>
  <si>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</si>
  <si>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</si>
  <si>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</si>
  <si>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</si>
  <si>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</si>
  <si>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</si>
  <si>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</si>
  <si>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</si>
  <si>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</si>
  <si>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</si>
  <si>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</si>
  <si>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</si>
  <si>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</si>
  <si>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</si>
  <si>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</si>
  <si>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</si>
  <si>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</si>
  <si>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</si>
  <si>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</si>
  <si>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</si>
  <si>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</si>
  <si>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</si>
  <si>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</si>
  <si>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</si>
  <si>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</si>
  <si>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</si>
  <si>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</si>
  <si>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</si>
  <si>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</si>
  <si>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</si>
  <si>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</si>
  <si>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</si>
  <si>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</si>
  <si>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</si>
  <si>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</si>
  <si>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</si>
  <si>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</si>
  <si>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</si>
  <si>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</si>
  <si>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</si>
  <si>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</si>
  <si>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</si>
  <si>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</si>
  <si>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</si>
  <si>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</si>
  <si>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</si>
  <si>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</si>
  <si>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</si>
  <si>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</si>
  <si>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</si>
  <si>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</si>
  <si>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</si>
  <si>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</si>
  <si>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</si>
  <si>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</si>
  <si>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</si>
  <si>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</si>
  <si>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</si>
  <si>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</si>
  <si>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</si>
  <si>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</si>
  <si>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</si>
  <si>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</si>
  <si>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</si>
  <si>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</si>
  <si>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</si>
  <si>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</si>
  <si>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</si>
  <si>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</si>
  <si>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</si>
  <si>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</si>
  <si>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</si>
  <si>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</si>
  <si>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</si>
  <si>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</si>
  <si>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</si>
  <si>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</si>
  <si>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</si>
  <si>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</si>
  <si>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</si>
  <si>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</si>
  <si>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</si>
  <si>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</si>
  <si>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</si>
  <si>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</si>
  <si>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</si>
  <si>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 xml:space="preserve">Ajout coût maitrise d'œuvre + étude de cas en année 1 </t>
  </si>
  <si>
    <t>Volume (m³/ha)</t>
  </si>
  <si>
    <t>Ajout coût rédaction DGD en année 2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</si>
  <si>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</si>
  <si>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</si>
  <si>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</si>
  <si>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</si>
  <si>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</si>
  <si>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</si>
  <si>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</si>
  <si>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</si>
  <si>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</si>
  <si>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</si>
  <si>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</si>
  <si>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>Coût total du projet Néosylva sur les 5 premières années</t>
  </si>
  <si>
    <t>Cout plantation + entretien</t>
  </si>
  <si>
    <t>Cout gestionnaire</t>
  </si>
  <si>
    <t>Frais notariés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</si>
</sst>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2.0360484678650539</c:v>
                </c:pt>
                <c:pt idx="2">
                  <c:v>2.6732564892559605</c:v>
                </c:pt>
                <c:pt idx="3">
                  <c:v>3.5107063373439913</c:v>
                </c:pt>
                <c:pt idx="4">
                  <c:v>4.6115665173429541</c:v>
                </c:pt>
                <c:pt idx="5">
                  <c:v>6.0590043820974993</c:v>
                </c:pt>
                <c:pt idx="6">
                  <c:v>7.962538733207654</c:v>
                </c:pt>
                <c:pt idx="7">
                  <c:v>10.466416484886262</c:v>
                </c:pt>
                <c:pt idx="8">
                  <c:v>13.760660097642491</c:v>
                </c:pt>
                <c:pt idx="9">
                  <c:v>18.095639642152722</c:v>
                </c:pt>
                <c:pt idx="10">
                  <c:v>23.80129701446997</c:v>
                </c:pt>
                <c:pt idx="11">
                  <c:v>31.312511388641202</c:v>
                </c:pt>
                <c:pt idx="12">
                  <c:v>41.202572754834129</c:v>
                </c:pt>
                <c:pt idx="13">
                  <c:v>54.227361766041078</c:v>
                </c:pt>
                <c:pt idx="14">
                  <c:v>71.383668589285392</c:v>
                </c:pt>
                <c:pt idx="15">
                  <c:v>93.986186481305097</c:v>
                </c:pt>
                <c:pt idx="16">
                  <c:v>123.76917396624582</c:v>
                </c:pt>
                <c:pt idx="17">
                  <c:v>163.02070732605469</c:v>
                </c:pt>
                <c:pt idx="18">
                  <c:v>132.98183441071282</c:v>
                </c:pt>
                <c:pt idx="19">
                  <c:v>156.02067025769352</c:v>
                </c:pt>
                <c:pt idx="20">
                  <c:v>178.97858984538223</c:v>
                </c:pt>
                <c:pt idx="21">
                  <c:v>201.8674445177727</c:v>
                </c:pt>
                <c:pt idx="22">
                  <c:v>224.6961704893466</c:v>
                </c:pt>
                <c:pt idx="23">
                  <c:v>247.47173636577645</c:v>
                </c:pt>
                <c:pt idx="24">
                  <c:v>197.00250389344876</c:v>
                </c:pt>
                <c:pt idx="25">
                  <c:v>221.03853914852459</c:v>
                </c:pt>
                <c:pt idx="26">
                  <c:v>245.01456261029759</c:v>
                </c:pt>
                <c:pt idx="27">
                  <c:v>268.937271707604</c:v>
                </c:pt>
                <c:pt idx="28">
                  <c:v>292.81207401219939</c:v>
                </c:pt>
                <c:pt idx="29">
                  <c:v>316.6434228832116</c:v>
                </c:pt>
                <c:pt idx="30">
                  <c:v>269.35300846866886</c:v>
                </c:pt>
                <c:pt idx="31">
                  <c:v>292.10419610311448</c:v>
                </c:pt>
                <c:pt idx="32">
                  <c:v>314.81582036526123</c:v>
                </c:pt>
                <c:pt idx="33">
                  <c:v>337.49113521169841</c:v>
                </c:pt>
                <c:pt idx="34">
                  <c:v>360.13292171154058</c:v>
                </c:pt>
                <c:pt idx="35">
                  <c:v>382.7435828005319</c:v>
                </c:pt>
                <c:pt idx="36">
                  <c:v>405.32521445817457</c:v>
                </c:pt>
                <c:pt idx="37">
                  <c:v>329.4126064318221</c:v>
                </c:pt>
                <c:pt idx="38">
                  <c:v>350.53333414543209</c:v>
                </c:pt>
                <c:pt idx="39">
                  <c:v>371.62616153000363</c:v>
                </c:pt>
                <c:pt idx="40">
                  <c:v>392.69289393638411</c:v>
                </c:pt>
                <c:pt idx="41">
                  <c:v>413.73512729115561</c:v>
                </c:pt>
                <c:pt idx="42">
                  <c:v>434.75428202454617</c:v>
                </c:pt>
                <c:pt idx="43">
                  <c:v>455.75163009422175</c:v>
                </c:pt>
                <c:pt idx="44">
                  <c:v>476.72831676952774</c:v>
                </c:pt>
                <c:pt idx="45">
                  <c:v>396.35779730493226</c:v>
                </c:pt>
                <c:pt idx="46">
                  <c:v>414.98937924648521</c:v>
                </c:pt>
                <c:pt idx="47">
                  <c:v>433.6029274137598</c:v>
                </c:pt>
                <c:pt idx="48">
                  <c:v>452.19932449243839</c:v>
                </c:pt>
                <c:pt idx="49">
                  <c:v>470.77937468285745</c:v>
                </c:pt>
                <c:pt idx="50">
                  <c:v>489.34381356425803</c:v>
                </c:pt>
                <c:pt idx="51">
                  <c:v>507.89331638456366</c:v>
                </c:pt>
                <c:pt idx="52">
                  <c:v>526.42850507644698</c:v>
                </c:pt>
                <c:pt idx="53">
                  <c:v>447.55932636655098</c:v>
                </c:pt>
                <c:pt idx="54">
                  <c:v>464.23574904580914</c:v>
                </c:pt>
                <c:pt idx="55">
                  <c:v>480.89940004934442</c:v>
                </c:pt>
                <c:pt idx="56">
                  <c:v>497.55078403848285</c:v>
                </c:pt>
                <c:pt idx="57">
                  <c:v>514.19036915679942</c:v>
                </c:pt>
                <c:pt idx="58">
                  <c:v>530.81859079314563</c:v>
                </c:pt>
                <c:pt idx="59">
                  <c:v>547.43585484879611</c:v>
                </c:pt>
                <c:pt idx="60">
                  <c:v>564.04254058742856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2.8272102084997344</c:v>
                </c:pt>
                <c:pt idx="2">
                  <c:v>3.5788566901737902</c:v>
                </c:pt>
                <c:pt idx="3">
                  <c:v>4.531117706493057</c:v>
                </c:pt>
                <c:pt idx="4">
                  <c:v>5.7377335509034753</c:v>
                </c:pt>
                <c:pt idx="5">
                  <c:v>7.2668895236956779</c:v>
                </c:pt>
                <c:pt idx="6">
                  <c:v>9.2051109085193712</c:v>
                </c:pt>
                <c:pt idx="7">
                  <c:v>11.662211246066207</c:v>
                </c:pt>
                <c:pt idx="8">
                  <c:v>14.777579498070502</c:v>
                </c:pt>
                <c:pt idx="9">
                  <c:v>18.728169317879601</c:v>
                </c:pt>
                <c:pt idx="10">
                  <c:v>23.738652410648331</c:v>
                </c:pt>
                <c:pt idx="11">
                  <c:v>31.12626639247307</c:v>
                </c:pt>
                <c:pt idx="12">
                  <c:v>38.464964372941715</c:v>
                </c:pt>
                <c:pt idx="13">
                  <c:v>45.765480575487345</c:v>
                </c:pt>
                <c:pt idx="14">
                  <c:v>53.034801453682995</c:v>
                </c:pt>
                <c:pt idx="15">
                  <c:v>60.277824781565108</c:v>
                </c:pt>
                <c:pt idx="16">
                  <c:v>70.231581273775319</c:v>
                </c:pt>
                <c:pt idx="17">
                  <c:v>80.149089629029859</c:v>
                </c:pt>
                <c:pt idx="18">
                  <c:v>90.035480308255856</c:v>
                </c:pt>
                <c:pt idx="19">
                  <c:v>99.894659637488587</c:v>
                </c:pt>
                <c:pt idx="20">
                  <c:v>109.72969694198616</c:v>
                </c:pt>
                <c:pt idx="21">
                  <c:v>83.859901104581667</c:v>
                </c:pt>
                <c:pt idx="22">
                  <c:v>93.735681241434392</c:v>
                </c:pt>
                <c:pt idx="23">
                  <c:v>103.58548385887735</c:v>
                </c:pt>
                <c:pt idx="24">
                  <c:v>113.41213176407327</c:v>
                </c:pt>
                <c:pt idx="25">
                  <c:v>123.2179171969117</c:v>
                </c:pt>
                <c:pt idx="26">
                  <c:v>109.72969694198621</c:v>
                </c:pt>
                <c:pt idx="27">
                  <c:v>119.54306466746482</c:v>
                </c:pt>
                <c:pt idx="28">
                  <c:v>129.33679508789001</c:v>
                </c:pt>
                <c:pt idx="29">
                  <c:v>139.11258684370458</c:v>
                </c:pt>
                <c:pt idx="30">
                  <c:v>148.8718798484274</c:v>
                </c:pt>
                <c:pt idx="31">
                  <c:v>133.24917866009699</c:v>
                </c:pt>
                <c:pt idx="32">
                  <c:v>142.0420473531201</c:v>
                </c:pt>
                <c:pt idx="33">
                  <c:v>150.82187042131599</c:v>
                </c:pt>
                <c:pt idx="34">
                  <c:v>159.58951541202768</c:v>
                </c:pt>
                <c:pt idx="35">
                  <c:v>168.34574659970926</c:v>
                </c:pt>
                <c:pt idx="36">
                  <c:v>152.52761887470737</c:v>
                </c:pt>
                <c:pt idx="37">
                  <c:v>161.04966060230026</c:v>
                </c:pt>
                <c:pt idx="38">
                  <c:v>169.56102628246933</c:v>
                </c:pt>
                <c:pt idx="39">
                  <c:v>178.06232809976677</c:v>
                </c:pt>
                <c:pt idx="40">
                  <c:v>186.55411491856776</c:v>
                </c:pt>
                <c:pt idx="41">
                  <c:v>170.04708058296916</c:v>
                </c:pt>
                <c:pt idx="42">
                  <c:v>177.81956828372503</c:v>
                </c:pt>
                <c:pt idx="43">
                  <c:v>185.58409039382227</c:v>
                </c:pt>
                <c:pt idx="44">
                  <c:v>193.34102766077947</c:v>
                </c:pt>
                <c:pt idx="45">
                  <c:v>201.0907277386975</c:v>
                </c:pt>
                <c:pt idx="46">
                  <c:v>185.34156577928113</c:v>
                </c:pt>
                <c:pt idx="47">
                  <c:v>192.61412738977921</c:v>
                </c:pt>
                <c:pt idx="48">
                  <c:v>199.88030093828698</c:v>
                </c:pt>
                <c:pt idx="49">
                  <c:v>207.14035174929197</c:v>
                </c:pt>
                <c:pt idx="50">
                  <c:v>214.39452500136431</c:v>
                </c:pt>
                <c:pt idx="51">
                  <c:v>198.91183713251783</c:v>
                </c:pt>
                <c:pt idx="52">
                  <c:v>205.20492267834973</c:v>
                </c:pt>
                <c:pt idx="53">
                  <c:v>211.49354608688316</c:v>
                </c:pt>
                <c:pt idx="54">
                  <c:v>217.77785897700315</c:v>
                </c:pt>
                <c:pt idx="55">
                  <c:v>224.05800348821421</c:v>
                </c:pt>
                <c:pt idx="56">
                  <c:v>209.55905099136103</c:v>
                </c:pt>
                <c:pt idx="57">
                  <c:v>215.60299864573798</c:v>
                </c:pt>
                <c:pt idx="58">
                  <c:v>221.6430479019896</c:v>
                </c:pt>
                <c:pt idx="59">
                  <c:v>227.67932016371932</c:v>
                </c:pt>
                <c:pt idx="60">
                  <c:v>233.71192986094175</c:v>
                </c:pt>
                <c:pt idx="61">
                  <c:v>219.71064874291369</c:v>
                </c:pt>
                <c:pt idx="62">
                  <c:v>225.02381820970086</c:v>
                </c:pt>
                <c:pt idx="63">
                  <c:v>230.334113128403</c:v>
                </c:pt>
                <c:pt idx="64">
                  <c:v>235.641609242801</c:v>
                </c:pt>
                <c:pt idx="65">
                  <c:v>240.94637860003536</c:v>
                </c:pt>
                <c:pt idx="66">
                  <c:v>227.92069413364405</c:v>
                </c:pt>
                <c:pt idx="67">
                  <c:v>232.98820644971886</c:v>
                </c:pt>
                <c:pt idx="68">
                  <c:v>238.05320186844804</c:v>
                </c:pt>
                <c:pt idx="69">
                  <c:v>243.1157415962266</c:v>
                </c:pt>
                <c:pt idx="70">
                  <c:v>248.17588407773675</c:v>
                </c:pt>
                <c:pt idx="71">
                  <c:v>235.40041910588843</c:v>
                </c:pt>
                <c:pt idx="72">
                  <c:v>239.49988976533083</c:v>
                </c:pt>
                <c:pt idx="73">
                  <c:v>243.59776231305094</c:v>
                </c:pt>
                <c:pt idx="74">
                  <c:v>247.69406748216684</c:v>
                </c:pt>
                <c:pt idx="75">
                  <c:v>251.78883490429243</c:v>
                </c:pt>
                <c:pt idx="76">
                  <c:v>241.18744081547288</c:v>
                </c:pt>
                <c:pt idx="77">
                  <c:v>245.04369450396993</c:v>
                </c:pt>
                <c:pt idx="78">
                  <c:v>248.89856916975472</c:v>
                </c:pt>
                <c:pt idx="79">
                  <c:v>252.75208922948948</c:v>
                </c:pt>
                <c:pt idx="80">
                  <c:v>256.60427829304331</c:v>
                </c:pt>
                <c:pt idx="81">
                  <c:v>246.73037039602514</c:v>
                </c:pt>
                <c:pt idx="82">
                  <c:v>250.10293857751753</c:v>
                </c:pt>
                <c:pt idx="83">
                  <c:v>253.47447536439972</c:v>
                </c:pt>
                <c:pt idx="84">
                  <c:v>256.84499644168284</c:v>
                </c:pt>
                <c:pt idx="85">
                  <c:v>260.21451704825046</c:v>
                </c:pt>
                <c:pt idx="86">
                  <c:v>251.54800828294844</c:v>
                </c:pt>
                <c:pt idx="87">
                  <c:v>254.91910787155098</c:v>
                </c:pt>
                <c:pt idx="88">
                  <c:v>258.28919833503375</c:v>
                </c:pt>
                <c:pt idx="89">
                  <c:v>261.65829472678655</c:v>
                </c:pt>
                <c:pt idx="90">
                  <c:v>265.02641168010274</c:v>
                </c:pt>
                <c:pt idx="91">
                  <c:v>256.36355503466274</c:v>
                </c:pt>
                <c:pt idx="92">
                  <c:v>259.73321764902863</c:v>
                </c:pt>
                <c:pt idx="93">
                  <c:v>263.10189251350153</c:v>
                </c:pt>
                <c:pt idx="94">
                  <c:v>266.46959408660342</c:v>
                </c:pt>
                <c:pt idx="95">
                  <c:v>269.83633643082231</c:v>
                </c:pt>
                <c:pt idx="96">
                  <c:v>260.21451704825046</c:v>
                </c:pt>
                <c:pt idx="97">
                  <c:v>263.8236243007521</c:v>
                </c:pt>
                <c:pt idx="98">
                  <c:v>267.43161774582046</c:v>
                </c:pt>
                <c:pt idx="99">
                  <c:v>271.03851456134913</c:v>
                </c:pt>
                <c:pt idx="100">
                  <c:v>274.64433142982551</c:v>
                </c:pt>
                <c:pt idx="101">
                  <c:v>261.41767763687125</c:v>
                </c:pt>
                <c:pt idx="102">
                  <c:v>261.41767763687125</c:v>
                </c:pt>
                <c:pt idx="103">
                  <c:v>261.41767763687125</c:v>
                </c:pt>
                <c:pt idx="104">
                  <c:v>261.41767763687125</c:v>
                </c:pt>
                <c:pt idx="105">
                  <c:v>261.41767763687125</c:v>
                </c:pt>
                <c:pt idx="106">
                  <c:v>261.41767763687125</c:v>
                </c:pt>
                <c:pt idx="107">
                  <c:v>261.41767763687125</c:v>
                </c:pt>
                <c:pt idx="108">
                  <c:v>261.41767763687125</c:v>
                </c:pt>
                <c:pt idx="109">
                  <c:v>261.41767763687125</c:v>
                </c:pt>
                <c:pt idx="110">
                  <c:v>261.41767763687125</c:v>
                </c:pt>
                <c:pt idx="111">
                  <c:v>261.41767763687125</c:v>
                </c:pt>
                <c:pt idx="112">
                  <c:v>261.41767763687125</c:v>
                </c:pt>
                <c:pt idx="113">
                  <c:v>261.41767763687125</c:v>
                </c:pt>
                <c:pt idx="114">
                  <c:v>261.41767763687125</c:v>
                </c:pt>
                <c:pt idx="115">
                  <c:v>261.41767763687125</c:v>
                </c:pt>
                <c:pt idx="116">
                  <c:v>261.41767763687125</c:v>
                </c:pt>
                <c:pt idx="117">
                  <c:v>261.41767763687125</c:v>
                </c:pt>
                <c:pt idx="118">
                  <c:v>261.41767763687125</c:v>
                </c:pt>
                <c:pt idx="119">
                  <c:v>261.41767763687125</c:v>
                </c:pt>
                <c:pt idx="120">
                  <c:v>261.41767763687125</c:v>
                </c:pt>
                <c:pt idx="121">
                  <c:v>261.41767763687125</c:v>
                </c:pt>
                <c:pt idx="122">
                  <c:v>261.41767763687125</c:v>
                </c:pt>
                <c:pt idx="123">
                  <c:v>261.41767763687125</c:v>
                </c:pt>
                <c:pt idx="124">
                  <c:v>261.41767763687125</c:v>
                </c:pt>
                <c:pt idx="125">
                  <c:v>261.41767763687125</c:v>
                </c:pt>
                <c:pt idx="126">
                  <c:v>261.41767763687125</c:v>
                </c:pt>
                <c:pt idx="127">
                  <c:v>261.41767763687125</c:v>
                </c:pt>
                <c:pt idx="128">
                  <c:v>261.41767763687125</c:v>
                </c:pt>
                <c:pt idx="129">
                  <c:v>261.41767763687125</c:v>
                </c:pt>
                <c:pt idx="130">
                  <c:v>261.41767763687125</c:v>
                </c:pt>
                <c:pt idx="131">
                  <c:v>261.41767763687125</c:v>
                </c:pt>
                <c:pt idx="132">
                  <c:v>261.41767763687125</c:v>
                </c:pt>
                <c:pt idx="133">
                  <c:v>261.41767763687125</c:v>
                </c:pt>
                <c:pt idx="134">
                  <c:v>261.41767763687125</c:v>
                </c:pt>
                <c:pt idx="135">
                  <c:v>261.41767763687125</c:v>
                </c:pt>
                <c:pt idx="136">
                  <c:v>261.41767763687125</c:v>
                </c:pt>
                <c:pt idx="137">
                  <c:v>261.41767763687125</c:v>
                </c:pt>
                <c:pt idx="138">
                  <c:v>261.41767763687125</c:v>
                </c:pt>
                <c:pt idx="139">
                  <c:v>261.41767763687125</c:v>
                </c:pt>
                <c:pt idx="140">
                  <c:v>261.41767763687125</c:v>
                </c:pt>
                <c:pt idx="141">
                  <c:v>261.41767763687125</c:v>
                </c:pt>
                <c:pt idx="142">
                  <c:v>261.41767763687125</c:v>
                </c:pt>
                <c:pt idx="143">
                  <c:v>261.41767763687125</c:v>
                </c:pt>
                <c:pt idx="144">
                  <c:v>261.41767763687125</c:v>
                </c:pt>
                <c:pt idx="145">
                  <c:v>261.41767763687125</c:v>
                </c:pt>
                <c:pt idx="146">
                  <c:v>261.41767763687125</c:v>
                </c:pt>
                <c:pt idx="147">
                  <c:v>261.41767763687125</c:v>
                </c:pt>
                <c:pt idx="148">
                  <c:v>261.41767763687125</c:v>
                </c:pt>
                <c:pt idx="149">
                  <c:v>261.41767763687125</c:v>
                </c:pt>
                <c:pt idx="150">
                  <c:v>261.41767763687125</c:v>
                </c:pt>
                <c:pt idx="151">
                  <c:v>261.41767763687125</c:v>
                </c:pt>
                <c:pt idx="152">
                  <c:v>261.41767763687125</c:v>
                </c:pt>
                <c:pt idx="153">
                  <c:v>261.41767763687125</c:v>
                </c:pt>
                <c:pt idx="154">
                  <c:v>261.41767763687125</c:v>
                </c:pt>
                <c:pt idx="155">
                  <c:v>261.41767763687125</c:v>
                </c:pt>
                <c:pt idx="156">
                  <c:v>261.41767763687125</c:v>
                </c:pt>
                <c:pt idx="157">
                  <c:v>261.41767763687125</c:v>
                </c:pt>
                <c:pt idx="158">
                  <c:v>261.41767763687125</c:v>
                </c:pt>
                <c:pt idx="159">
                  <c:v>261.41767763687125</c:v>
                </c:pt>
                <c:pt idx="160">
                  <c:v>261.41767763687125</c:v>
                </c:pt>
                <c:pt idx="161">
                  <c:v>261.41767763687125</c:v>
                </c:pt>
                <c:pt idx="162">
                  <c:v>261.41767763687125</c:v>
                </c:pt>
                <c:pt idx="163">
                  <c:v>261.41767763687125</c:v>
                </c:pt>
                <c:pt idx="164">
                  <c:v>261.41767763687125</c:v>
                </c:pt>
                <c:pt idx="165">
                  <c:v>261.41767763687125</c:v>
                </c:pt>
                <c:pt idx="166">
                  <c:v>261.41767763687125</c:v>
                </c:pt>
                <c:pt idx="167">
                  <c:v>261.41767763687125</c:v>
                </c:pt>
                <c:pt idx="168">
                  <c:v>261.41767763687125</c:v>
                </c:pt>
                <c:pt idx="169">
                  <c:v>261.41767763687125</c:v>
                </c:pt>
                <c:pt idx="170">
                  <c:v>261.41767763687125</c:v>
                </c:pt>
                <c:pt idx="171">
                  <c:v>261.41767763687125</c:v>
                </c:pt>
                <c:pt idx="172">
                  <c:v>261.41767763687125</c:v>
                </c:pt>
                <c:pt idx="173">
                  <c:v>261.41767763687125</c:v>
                </c:pt>
                <c:pt idx="174">
                  <c:v>261.41767763687125</c:v>
                </c:pt>
                <c:pt idx="175">
                  <c:v>261.41767763687125</c:v>
                </c:pt>
                <c:pt idx="176">
                  <c:v>261.41767763687125</c:v>
                </c:pt>
                <c:pt idx="177">
                  <c:v>261.41767763687125</c:v>
                </c:pt>
                <c:pt idx="178">
                  <c:v>261.41767763687125</c:v>
                </c:pt>
                <c:pt idx="179">
                  <c:v>261.41767763687125</c:v>
                </c:pt>
                <c:pt idx="180">
                  <c:v>261.41767763687125</c:v>
                </c:pt>
                <c:pt idx="181">
                  <c:v>261.41767763687125</c:v>
                </c:pt>
                <c:pt idx="182">
                  <c:v>261.41767763687125</c:v>
                </c:pt>
                <c:pt idx="183">
                  <c:v>261.41767763687125</c:v>
                </c:pt>
                <c:pt idx="184">
                  <c:v>261.41767763687125</c:v>
                </c:pt>
                <c:pt idx="185">
                  <c:v>261.41767763687125</c:v>
                </c:pt>
                <c:pt idx="186">
                  <c:v>261.41767763687125</c:v>
                </c:pt>
                <c:pt idx="187">
                  <c:v>261.41767763687125</c:v>
                </c:pt>
                <c:pt idx="188">
                  <c:v>261.41767763687125</c:v>
                </c:pt>
                <c:pt idx="189">
                  <c:v>261.41767763687125</c:v>
                </c:pt>
                <c:pt idx="190">
                  <c:v>261.41767763687125</c:v>
                </c:pt>
                <c:pt idx="191">
                  <c:v>261.41767763687125</c:v>
                </c:pt>
                <c:pt idx="192">
                  <c:v>261.41767763687125</c:v>
                </c:pt>
                <c:pt idx="193">
                  <c:v>261.41767763687125</c:v>
                </c:pt>
                <c:pt idx="194">
                  <c:v>261.41767763687125</c:v>
                </c:pt>
                <c:pt idx="195">
                  <c:v>261.41767763687125</c:v>
                </c:pt>
                <c:pt idx="196">
                  <c:v>261.41767763687125</c:v>
                </c:pt>
                <c:pt idx="197">
                  <c:v>261.41767763687125</c:v>
                </c:pt>
                <c:pt idx="198">
                  <c:v>261.41767763687125</c:v>
                </c:pt>
                <c:pt idx="199">
                  <c:v>261.41767763687125</c:v>
                </c:pt>
                <c:pt idx="200">
                  <c:v>261.41767763687125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urélien Blond" id="{44742679-F0FE-4A90-9B5E-C90754FE466F}" userId="S::ablond@neosylva.fr::c795548a-de0d-4e00-b0df-a7f250496ac4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8" dT="2024-11-27T17:07:34.75" personId="{44742679-F0FE-4A90-9B5E-C90754FE466F}" id="{9504E0E8-48C6-44D3-8884-5B6F69422789}">
    <text>A recopier sur toutes les essences.
Correspond aux frais fixes d’entretien mécanique + répulsif gibier</text>
  </threadedComment>
  <threadedComment ref="E19" dT="2024-11-27T17:08:05.48" personId="{44742679-F0FE-4A90-9B5E-C90754FE466F}" id="{35E77BEB-AF09-44DF-BB9F-C5C77FE54C80}">
    <text xml:space="preserve">A recopier sur toutes les essences
Correspond aux frais fixes entretien manuel + répulsif gibier + regarnis
</text>
  </threadedComment>
  <threadedComment ref="I19" dT="2025-03-20T16:48:00.39" personId="{44742679-F0FE-4A90-9B5E-C90754FE466F}" id="{FB5B596A-C2EB-4ED7-93D0-EB435B2B081E}">
    <text>Toutes les ans pendant la durée du contrat : frais de gardiennage 20€/ha/an</text>
  </threadedComment>
  <threadedComment ref="E20" dT="2024-11-27T17:07:34.75" personId="{44742679-F0FE-4A90-9B5E-C90754FE466F}" id="{B45C5BED-22C4-4998-A075-D95710939FBF}">
    <text>A recopier sur toutes les essences.
Correspond aux frais fixes d’entretien mécanique + répulsif gibier</text>
  </threadedComment>
  <threadedComment ref="I20" dT="2024-11-27T17:08:22.16" personId="{44742679-F0FE-4A90-9B5E-C90754FE466F}" id="{B3FAB0A9-D6B0-42F7-893C-A7945CD8E0A5}">
    <text>Année 1 : diagnostic gestionnaire</text>
  </threadedComment>
  <threadedComment ref="I22" dT="2024-11-27T17:08:31.44" personId="{44742679-F0FE-4A90-9B5E-C90754FE466F}" id="{3783897A-143A-41D5-9DFB-BE3FBC8605E4}">
    <text>Année 3 : rédaction DGD</text>
  </threadedComment>
  <threadedComment ref="I24" dT="2024-11-27T17:08:41.71" personId="{44742679-F0FE-4A90-9B5E-C90754FE466F}" id="{119412EC-FFCB-4770-8963-7B77B037215B}">
    <text>Année 5 : facturation maitrise d'œuvre</text>
  </threadedComment>
  <threadedComment ref="E49" dT="2024-11-27T17:07:34.75" personId="{44742679-F0FE-4A90-9B5E-C90754FE466F}" id="{8DD8D3CE-3478-4340-89AF-CDDB75E2F5CE}">
    <text>A recopier sur toutes les essences.
Correspond aux frais fixes d’entretien mécanique + répulsif gibier</text>
  </threadedComment>
  <threadedComment ref="E50" dT="2024-11-27T17:08:05.48" personId="{44742679-F0FE-4A90-9B5E-C90754FE466F}" id="{706D2217-E07B-4544-A27B-2667E5C4F8DC}">
    <text xml:space="preserve">A recopier sur toutes les essences
Correspond aux frais fixes entretien manuel + répulsif gibier + regarnis
</text>
  </threadedComment>
  <threadedComment ref="E51" dT="2024-11-27T17:07:34.75" personId="{44742679-F0FE-4A90-9B5E-C90754FE466F}" id="{34A5314C-DE89-426A-9F0F-251747E1CF47}">
    <text>A recopier sur toutes les essences.
Correspond aux frais fixes d’entretien mécanique + répulsif gibier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G33" sqref="G33"/>
    </sheetView>
  </sheetViews>
  <sheetFormatPr baseColWidth="10" defaultColWidth="11.44140625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50" zoomScale="80" zoomScaleNormal="80" workbookViewId="0">
      <selection activeCell="B67" sqref="B67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2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7</v>
      </c>
      <c r="B5" s="268"/>
      <c r="C5" s="24">
        <v>6.1</v>
      </c>
      <c r="D5" s="269" t="s">
        <v>8</v>
      </c>
      <c r="E5" s="270"/>
      <c r="F5" s="90"/>
      <c r="G5" s="218"/>
      <c r="H5" s="218"/>
      <c r="I5" s="218" t="s">
        <v>9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10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11</v>
      </c>
      <c r="C8" s="26" t="s">
        <v>12</v>
      </c>
      <c r="D8" s="27" t="s">
        <v>13</v>
      </c>
      <c r="E8" s="28" t="s">
        <v>14</v>
      </c>
      <c r="F8" s="29" t="s">
        <v>15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</v>
      </c>
      <c r="B9" s="31" t="s">
        <v>230</v>
      </c>
      <c r="C9" s="32">
        <v>0.9</v>
      </c>
      <c r="D9" s="33">
        <f t="shared" ref="D9:D18" si="0">C9*$C$5</f>
        <v>5.49</v>
      </c>
      <c r="E9" s="34">
        <v>60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18</v>
      </c>
      <c r="B10" s="31" t="s">
        <v>142</v>
      </c>
      <c r="C10" s="32">
        <v>0.1</v>
      </c>
      <c r="D10" s="33">
        <f t="shared" si="0"/>
        <v>0.61</v>
      </c>
      <c r="E10" s="34">
        <v>90</v>
      </c>
      <c r="F10" s="35" t="str">
        <f t="array" ref="F10">IF(E10="","",IF(INDEX(A:A,MAX(IF(ISNUMBER($A$62:$A$81),ROW($A$62:$A$81),"")))&lt;&gt;E10,"Corrigez : révolution incorrecte","OK"))</f>
        <v>Corrigez : révolution incorrecte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19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20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21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22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23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24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25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26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27</v>
      </c>
      <c r="C19" s="37">
        <f>SUM(C9:C18)</f>
        <v>1</v>
      </c>
      <c r="D19" s="38">
        <f>SUM(D9:D18)</f>
        <v>6.1000000000000005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15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28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29</v>
      </c>
      <c r="B24" s="42" t="s">
        <v>30</v>
      </c>
      <c r="C24" s="43">
        <v>0</v>
      </c>
      <c r="D24" s="44" t="s">
        <v>31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32</v>
      </c>
      <c r="B25" s="42" t="s">
        <v>33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34</v>
      </c>
      <c r="B26" s="42" t="s">
        <v>35</v>
      </c>
      <c r="C26" s="43">
        <v>0.15</v>
      </c>
      <c r="D26" s="44" t="s">
        <v>36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37</v>
      </c>
      <c r="B27" s="42" t="s">
        <v>38</v>
      </c>
      <c r="C27" s="43">
        <v>0</v>
      </c>
      <c r="D27" s="44" t="s">
        <v>39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40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</v>
      </c>
      <c r="B32" s="47" t="str">
        <f>IF(B9="","",B9)</f>
        <v>Pin maritime</v>
      </c>
      <c r="D32" s="229" t="s">
        <v>41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42</v>
      </c>
      <c r="C34" s="259" t="s">
        <v>43</v>
      </c>
      <c r="D34" s="259"/>
      <c r="E34" s="260" t="s">
        <v>44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45</v>
      </c>
      <c r="B35" s="36" t="s">
        <v>46</v>
      </c>
      <c r="C35" s="48" t="s">
        <v>47</v>
      </c>
      <c r="D35" s="48" t="s">
        <v>48</v>
      </c>
      <c r="E35" s="36" t="s">
        <v>49</v>
      </c>
      <c r="F35" s="36" t="s">
        <v>50</v>
      </c>
      <c r="G35" s="36" t="s">
        <v>51</v>
      </c>
      <c r="H35" s="36" t="s">
        <v>52</v>
      </c>
      <c r="I35" s="48" t="s">
        <v>53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17</v>
      </c>
      <c r="B36" s="60">
        <v>122.32</v>
      </c>
      <c r="C36" s="60">
        <v>1</v>
      </c>
      <c r="D36" s="60">
        <v>40.76</v>
      </c>
      <c r="E36" s="51">
        <v>0</v>
      </c>
      <c r="F36" s="51">
        <v>1</v>
      </c>
      <c r="G36" s="51">
        <v>0</v>
      </c>
      <c r="H36" s="51">
        <v>0</v>
      </c>
      <c r="I36" s="49">
        <f>IFERROR(B36/A36,"")</f>
        <v>7.1952941176470588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23</v>
      </c>
      <c r="B37" s="60">
        <v>187.68</v>
      </c>
      <c r="C37" s="60">
        <v>2</v>
      </c>
      <c r="D37" s="60">
        <v>57.75</v>
      </c>
      <c r="E37" s="51">
        <v>0.1</v>
      </c>
      <c r="F37" s="51">
        <v>0.8</v>
      </c>
      <c r="G37" s="51">
        <v>0</v>
      </c>
      <c r="H37" s="51">
        <v>0.1</v>
      </c>
      <c r="I37" s="53">
        <f t="shared" ref="I37:I55" si="1">IF(A37&lt;&gt;0,(B37-(B36-D36))/(A37-A36),"")</f>
        <v>17.686666666666667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29</v>
      </c>
      <c r="B38" s="60">
        <v>241.61</v>
      </c>
      <c r="C38" s="60">
        <v>3</v>
      </c>
      <c r="D38" s="60">
        <v>54.64</v>
      </c>
      <c r="E38" s="51">
        <v>0.1</v>
      </c>
      <c r="F38" s="51">
        <v>0.8</v>
      </c>
      <c r="G38" s="51">
        <v>0</v>
      </c>
      <c r="H38" s="51">
        <v>0.1</v>
      </c>
      <c r="I38" s="53">
        <f t="shared" si="1"/>
        <v>18.613333333333333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36</v>
      </c>
      <c r="B39" s="60">
        <v>311.13</v>
      </c>
      <c r="C39" s="60">
        <v>4</v>
      </c>
      <c r="D39" s="60">
        <v>76.069999999999993</v>
      </c>
      <c r="E39" s="51">
        <v>0.3</v>
      </c>
      <c r="F39" s="51">
        <v>0.5</v>
      </c>
      <c r="G39" s="51">
        <v>0</v>
      </c>
      <c r="H39" s="51">
        <v>0.2</v>
      </c>
      <c r="I39" s="49">
        <f t="shared" si="1"/>
        <v>17.737142857142853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44</v>
      </c>
      <c r="B40" s="60">
        <v>367.35</v>
      </c>
      <c r="C40" s="60">
        <v>5</v>
      </c>
      <c r="D40" s="60">
        <v>77.91</v>
      </c>
      <c r="E40" s="51">
        <v>0.3</v>
      </c>
      <c r="F40" s="51">
        <v>0.5</v>
      </c>
      <c r="G40" s="51">
        <v>0</v>
      </c>
      <c r="H40" s="51">
        <v>0.2</v>
      </c>
      <c r="I40" s="49">
        <f t="shared" si="1"/>
        <v>16.536250000000003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52</v>
      </c>
      <c r="B41" s="60">
        <v>406.59</v>
      </c>
      <c r="C41" s="60">
        <v>6</v>
      </c>
      <c r="D41" s="60">
        <v>75.37</v>
      </c>
      <c r="E41" s="51">
        <v>0.7</v>
      </c>
      <c r="F41" s="51">
        <v>0.3</v>
      </c>
      <c r="G41" s="51">
        <v>0</v>
      </c>
      <c r="H41" s="51">
        <v>0</v>
      </c>
      <c r="I41" s="53">
        <f t="shared" si="1"/>
        <v>14.64374999999999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60</v>
      </c>
      <c r="B42" s="60">
        <v>436.34</v>
      </c>
      <c r="C42" s="60">
        <v>7</v>
      </c>
      <c r="D42" s="60">
        <v>436.34</v>
      </c>
      <c r="E42" s="51">
        <v>0.7</v>
      </c>
      <c r="F42" s="51">
        <v>0.3</v>
      </c>
      <c r="G42" s="51">
        <v>0</v>
      </c>
      <c r="H42" s="51">
        <v>0</v>
      </c>
      <c r="I42" s="53">
        <f t="shared" si="1"/>
        <v>13.14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18</v>
      </c>
      <c r="B58" s="52" t="str">
        <f>IF(B10="","",B10)</f>
        <v>Chêne rouge d'Amérique</v>
      </c>
      <c r="D58" s="229" t="s">
        <v>41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42</v>
      </c>
      <c r="C60" s="259" t="s">
        <v>43</v>
      </c>
      <c r="D60" s="259"/>
      <c r="E60" s="260" t="s">
        <v>44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45</v>
      </c>
      <c r="B61" s="36" t="s">
        <v>46</v>
      </c>
      <c r="C61" s="48" t="s">
        <v>47</v>
      </c>
      <c r="D61" s="48" t="s">
        <v>48</v>
      </c>
      <c r="E61" s="36" t="s">
        <v>49</v>
      </c>
      <c r="F61" s="36" t="s">
        <v>50</v>
      </c>
      <c r="G61" s="36" t="s">
        <v>51</v>
      </c>
      <c r="H61" s="36" t="s">
        <v>52</v>
      </c>
      <c r="I61" s="48" t="s">
        <v>53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10</v>
      </c>
      <c r="B62" s="60">
        <v>11.538461538461538</v>
      </c>
      <c r="C62" s="60">
        <v>1</v>
      </c>
      <c r="D62" s="60">
        <v>0</v>
      </c>
      <c r="E62" s="51">
        <v>0</v>
      </c>
      <c r="F62" s="51">
        <v>0.5</v>
      </c>
      <c r="G62" s="51">
        <v>0</v>
      </c>
      <c r="H62" s="51">
        <v>0.5</v>
      </c>
      <c r="I62" s="53">
        <f>IFERROR(B62/A62,"")</f>
        <v>1.1538461538461537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15</v>
      </c>
      <c r="B63" s="60">
        <v>30.128205128205128</v>
      </c>
      <c r="C63" s="60">
        <v>2</v>
      </c>
      <c r="D63" s="60">
        <v>0</v>
      </c>
      <c r="E63" s="51">
        <v>0</v>
      </c>
      <c r="F63" s="51">
        <v>0.5</v>
      </c>
      <c r="G63" s="51">
        <v>0</v>
      </c>
      <c r="H63" s="51">
        <v>0.5</v>
      </c>
      <c r="I63" s="49">
        <f>IF(A63&lt;&gt;0,(B63-(B62-D62))/(A63-A62),"")</f>
        <v>3.7179487179487181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20</v>
      </c>
      <c r="B64" s="60">
        <v>55.769230769230759</v>
      </c>
      <c r="C64" s="60">
        <v>3</v>
      </c>
      <c r="D64" s="60">
        <v>18.589743589743588</v>
      </c>
      <c r="E64" s="51">
        <v>0</v>
      </c>
      <c r="F64" s="51">
        <v>0.5</v>
      </c>
      <c r="G64" s="51">
        <v>0</v>
      </c>
      <c r="H64" s="51">
        <v>0.5</v>
      </c>
      <c r="I64" s="49">
        <f>IF(A64&lt;&gt;0,(B64-(B63-D63))/(A64-A63),"")</f>
        <v>5.128205128205126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25</v>
      </c>
      <c r="B65" s="60">
        <v>62.820512820512818</v>
      </c>
      <c r="C65" s="60">
        <v>4</v>
      </c>
      <c r="D65" s="60">
        <v>12.179487179487179</v>
      </c>
      <c r="E65" s="51">
        <v>0</v>
      </c>
      <c r="F65" s="51">
        <v>0.5</v>
      </c>
      <c r="G65" s="51">
        <v>0</v>
      </c>
      <c r="H65" s="51">
        <v>0.5</v>
      </c>
      <c r="I65" s="49">
        <f>IF(A65&lt;&gt;0,(B65-(B64-D64))/(A65-A64),"")</f>
        <v>5.1282051282051295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30</v>
      </c>
      <c r="B66" s="60">
        <v>76.282051282051285</v>
      </c>
      <c r="C66" s="60">
        <v>5</v>
      </c>
      <c r="D66" s="60">
        <v>12.820512820512819</v>
      </c>
      <c r="E66" s="51">
        <v>0</v>
      </c>
      <c r="F66" s="51">
        <v>0.5</v>
      </c>
      <c r="G66" s="51">
        <v>0</v>
      </c>
      <c r="H66" s="51">
        <v>0.5</v>
      </c>
      <c r="I66" s="49">
        <f t="shared" ref="I66:I81" si="2">IF(A66&lt;&gt;0,(B66-(B65-D65))/(A66-A65),"")</f>
        <v>5.1282051282051295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35</v>
      </c>
      <c r="B67" s="60">
        <v>86.538461538461533</v>
      </c>
      <c r="C67" s="60">
        <v>6</v>
      </c>
      <c r="D67" s="60">
        <v>12.820512820512819</v>
      </c>
      <c r="E67" s="51">
        <v>0.6</v>
      </c>
      <c r="F67" s="51">
        <v>0.2</v>
      </c>
      <c r="G67" s="51">
        <v>0</v>
      </c>
      <c r="H67" s="51">
        <v>0.2</v>
      </c>
      <c r="I67" s="49">
        <f t="shared" si="2"/>
        <v>4.6153846153846132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40</v>
      </c>
      <c r="B68" s="60">
        <v>96.153846153846146</v>
      </c>
      <c r="C68" s="60">
        <v>7</v>
      </c>
      <c r="D68" s="60">
        <v>12.820512820512819</v>
      </c>
      <c r="E68" s="51">
        <v>0.6</v>
      </c>
      <c r="F68" s="51">
        <v>0.2</v>
      </c>
      <c r="G68" s="51">
        <v>0</v>
      </c>
      <c r="H68" s="51">
        <v>0.2</v>
      </c>
      <c r="I68" s="49">
        <f t="shared" si="2"/>
        <v>4.4871794871794863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45</v>
      </c>
      <c r="B69" s="50">
        <v>103.84615384615384</v>
      </c>
      <c r="C69" s="50">
        <v>8</v>
      </c>
      <c r="D69" s="50">
        <v>12.179487179487179</v>
      </c>
      <c r="E69" s="51">
        <v>0.6</v>
      </c>
      <c r="F69" s="51">
        <v>0.3</v>
      </c>
      <c r="G69" s="51">
        <v>0</v>
      </c>
      <c r="H69" s="51">
        <v>0.1</v>
      </c>
      <c r="I69" s="49">
        <f t="shared" si="2"/>
        <v>4.1025641025641022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50</v>
      </c>
      <c r="B70" s="50">
        <v>110.89743589743588</v>
      </c>
      <c r="C70" s="50">
        <v>9</v>
      </c>
      <c r="D70" s="50">
        <v>11.538461538461538</v>
      </c>
      <c r="E70" s="51">
        <v>0.6</v>
      </c>
      <c r="F70" s="51">
        <v>0.3</v>
      </c>
      <c r="G70" s="51">
        <v>0</v>
      </c>
      <c r="H70" s="51">
        <v>0.1</v>
      </c>
      <c r="I70" s="49">
        <f t="shared" si="2"/>
        <v>3.8461538461538454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55</v>
      </c>
      <c r="B71" s="50">
        <v>116.02564102564102</v>
      </c>
      <c r="C71" s="50">
        <v>10</v>
      </c>
      <c r="D71" s="50">
        <v>10.897435897435898</v>
      </c>
      <c r="E71" s="51">
        <v>0.6</v>
      </c>
      <c r="F71" s="51">
        <v>0.3</v>
      </c>
      <c r="G71" s="51">
        <v>0</v>
      </c>
      <c r="H71" s="51">
        <v>0.1</v>
      </c>
      <c r="I71" s="49">
        <f t="shared" si="2"/>
        <v>3.3333333333333344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60</v>
      </c>
      <c r="B72" s="50">
        <v>121.15384615384616</v>
      </c>
      <c r="C72" s="50">
        <v>11</v>
      </c>
      <c r="D72" s="50">
        <v>10.256410256410255</v>
      </c>
      <c r="E72" s="51">
        <v>0.6</v>
      </c>
      <c r="F72" s="51">
        <v>0.3</v>
      </c>
      <c r="G72" s="51">
        <v>0</v>
      </c>
      <c r="H72" s="51">
        <v>0.1</v>
      </c>
      <c r="I72" s="49">
        <f t="shared" si="2"/>
        <v>3.2051282051282071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65</v>
      </c>
      <c r="B73" s="50">
        <v>125</v>
      </c>
      <c r="C73" s="50">
        <v>12</v>
      </c>
      <c r="D73" s="50">
        <v>9.615384615384615</v>
      </c>
      <c r="E73" s="51">
        <v>0.6</v>
      </c>
      <c r="F73" s="51">
        <v>0.3</v>
      </c>
      <c r="G73" s="51">
        <v>0</v>
      </c>
      <c r="H73" s="51">
        <v>0.1</v>
      </c>
      <c r="I73" s="49">
        <f t="shared" si="2"/>
        <v>2.8205128205128176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70</v>
      </c>
      <c r="B74" s="50">
        <v>128.84615384615384</v>
      </c>
      <c r="C74" s="50">
        <v>13</v>
      </c>
      <c r="D74" s="50">
        <v>8.9743589743589745</v>
      </c>
      <c r="E74" s="51">
        <v>0.6</v>
      </c>
      <c r="F74" s="51">
        <v>0.3</v>
      </c>
      <c r="G74" s="51">
        <v>0</v>
      </c>
      <c r="H74" s="51">
        <v>0.1</v>
      </c>
      <c r="I74" s="49">
        <f t="shared" si="2"/>
        <v>2.6923076923076907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75</v>
      </c>
      <c r="B75" s="50">
        <v>130.76923076923075</v>
      </c>
      <c r="C75" s="50">
        <v>14</v>
      </c>
      <c r="D75" s="50">
        <v>7.6923076923076916</v>
      </c>
      <c r="E75" s="51">
        <v>0.6</v>
      </c>
      <c r="F75" s="51">
        <v>0.3</v>
      </c>
      <c r="G75" s="51">
        <v>0</v>
      </c>
      <c r="H75" s="51">
        <v>0.1</v>
      </c>
      <c r="I75" s="49">
        <f t="shared" si="2"/>
        <v>2.1794871794871766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>
        <v>80</v>
      </c>
      <c r="B76" s="50">
        <v>133.33333333333334</v>
      </c>
      <c r="C76" s="50">
        <v>15</v>
      </c>
      <c r="D76" s="50">
        <v>7.0512820512820511</v>
      </c>
      <c r="E76" s="51">
        <v>0.6</v>
      </c>
      <c r="F76" s="51">
        <v>0.3</v>
      </c>
      <c r="G76" s="51">
        <v>0</v>
      </c>
      <c r="H76" s="51">
        <v>0.1</v>
      </c>
      <c r="I76" s="49">
        <f t="shared" si="2"/>
        <v>2.0512820512820582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>
        <v>85</v>
      </c>
      <c r="B77" s="50">
        <v>135.25641025641025</v>
      </c>
      <c r="C77" s="50">
        <v>16</v>
      </c>
      <c r="D77" s="50">
        <v>6.4102564102564097</v>
      </c>
      <c r="E77" s="51">
        <v>0.6</v>
      </c>
      <c r="F77" s="51">
        <v>0.3</v>
      </c>
      <c r="G77" s="51">
        <v>0</v>
      </c>
      <c r="H77" s="51">
        <v>0.1</v>
      </c>
      <c r="I77" s="49">
        <f t="shared" si="2"/>
        <v>1.7948717948717898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>
        <v>90</v>
      </c>
      <c r="B78" s="50">
        <v>137.82051282051282</v>
      </c>
      <c r="C78" s="50">
        <v>17</v>
      </c>
      <c r="D78" s="50">
        <v>6.4102564102564097</v>
      </c>
      <c r="E78" s="51">
        <v>0.6</v>
      </c>
      <c r="F78" s="51">
        <v>0.3</v>
      </c>
      <c r="G78" s="51">
        <v>0</v>
      </c>
      <c r="H78" s="51">
        <v>0.1</v>
      </c>
      <c r="I78" s="49">
        <f t="shared" si="2"/>
        <v>1.7948717948717956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>
        <v>95</v>
      </c>
      <c r="B79" s="50">
        <v>140.38461538461539</v>
      </c>
      <c r="C79" s="50">
        <v>18</v>
      </c>
      <c r="D79" s="50">
        <v>7.0512820512820511</v>
      </c>
      <c r="E79" s="51">
        <v>0.6</v>
      </c>
      <c r="F79" s="51">
        <v>0.3</v>
      </c>
      <c r="G79" s="51">
        <v>0</v>
      </c>
      <c r="H79" s="51">
        <v>0.1</v>
      </c>
      <c r="I79" s="49">
        <f t="shared" si="2"/>
        <v>1.7948717948717956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>
        <v>100</v>
      </c>
      <c r="B80" s="50">
        <v>142.94871794871793</v>
      </c>
      <c r="C80" s="50">
        <v>19</v>
      </c>
      <c r="D80" s="50">
        <v>7.0512820512820511</v>
      </c>
      <c r="E80" s="51">
        <v>0.6</v>
      </c>
      <c r="F80" s="51">
        <v>0.3</v>
      </c>
      <c r="G80" s="51">
        <v>0</v>
      </c>
      <c r="H80" s="51">
        <v>0.1</v>
      </c>
      <c r="I80" s="49">
        <f t="shared" si="2"/>
        <v>1.9230769230769169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19</v>
      </c>
      <c r="B84" s="52" t="str">
        <f>IF(B11="","",B11)</f>
        <v/>
      </c>
      <c r="D84" s="229" t="s">
        <v>41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42</v>
      </c>
      <c r="C86" s="259" t="s">
        <v>43</v>
      </c>
      <c r="D86" s="259"/>
      <c r="E86" s="260" t="s">
        <v>44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45</v>
      </c>
      <c r="B87" s="36" t="s">
        <v>46</v>
      </c>
      <c r="C87" s="48" t="s">
        <v>47</v>
      </c>
      <c r="D87" s="48" t="s">
        <v>48</v>
      </c>
      <c r="E87" s="36" t="s">
        <v>49</v>
      </c>
      <c r="F87" s="36" t="s">
        <v>50</v>
      </c>
      <c r="G87" s="36" t="s">
        <v>51</v>
      </c>
      <c r="H87" s="36" t="s">
        <v>52</v>
      </c>
      <c r="I87" s="48" t="s">
        <v>53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20</v>
      </c>
      <c r="B110" s="52" t="str">
        <f>IF(B12="","",B12)</f>
        <v/>
      </c>
      <c r="D110" s="229" t="s">
        <v>41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42</v>
      </c>
      <c r="C112" s="259" t="s">
        <v>43</v>
      </c>
      <c r="D112" s="259"/>
      <c r="E112" s="260" t="s">
        <v>44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45</v>
      </c>
      <c r="B113" s="36" t="s">
        <v>46</v>
      </c>
      <c r="C113" s="48" t="s">
        <v>47</v>
      </c>
      <c r="D113" s="48" t="s">
        <v>48</v>
      </c>
      <c r="E113" s="36" t="s">
        <v>49</v>
      </c>
      <c r="F113" s="36" t="s">
        <v>50</v>
      </c>
      <c r="G113" s="36" t="s">
        <v>51</v>
      </c>
      <c r="H113" s="36" t="s">
        <v>52</v>
      </c>
      <c r="I113" s="48" t="s">
        <v>53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21</v>
      </c>
      <c r="B136" s="52" t="str">
        <f>IF(B13="","",B13)</f>
        <v/>
      </c>
      <c r="D136" s="229" t="s">
        <v>41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42</v>
      </c>
      <c r="C138" s="259" t="s">
        <v>43</v>
      </c>
      <c r="D138" s="259"/>
      <c r="E138" s="260" t="s">
        <v>44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45</v>
      </c>
      <c r="B139" s="36" t="s">
        <v>46</v>
      </c>
      <c r="C139" s="48" t="s">
        <v>47</v>
      </c>
      <c r="D139" s="48" t="s">
        <v>48</v>
      </c>
      <c r="E139" s="36" t="s">
        <v>49</v>
      </c>
      <c r="F139" s="36" t="s">
        <v>50</v>
      </c>
      <c r="G139" s="36" t="s">
        <v>51</v>
      </c>
      <c r="H139" s="36" t="s">
        <v>52</v>
      </c>
      <c r="I139" s="48" t="s">
        <v>53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22</v>
      </c>
      <c r="B162" s="52" t="str">
        <f>IF(B14="","",B14)</f>
        <v/>
      </c>
      <c r="D162" s="229" t="s">
        <v>41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42</v>
      </c>
      <c r="C164" s="259" t="s">
        <v>43</v>
      </c>
      <c r="D164" s="259"/>
      <c r="E164" s="260" t="s">
        <v>44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45</v>
      </c>
      <c r="B165" s="36" t="s">
        <v>46</v>
      </c>
      <c r="C165" s="48" t="s">
        <v>47</v>
      </c>
      <c r="D165" s="48" t="s">
        <v>48</v>
      </c>
      <c r="E165" s="36" t="s">
        <v>49</v>
      </c>
      <c r="F165" s="36" t="s">
        <v>50</v>
      </c>
      <c r="G165" s="36" t="s">
        <v>51</v>
      </c>
      <c r="H165" s="36" t="s">
        <v>52</v>
      </c>
      <c r="I165" s="48" t="s">
        <v>53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23</v>
      </c>
      <c r="B188" s="52" t="str">
        <f>IF(B15="","",B15)</f>
        <v/>
      </c>
      <c r="D188" s="229" t="s">
        <v>41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42</v>
      </c>
      <c r="C190" s="259" t="s">
        <v>43</v>
      </c>
      <c r="D190" s="259"/>
      <c r="E190" s="260" t="s">
        <v>44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45</v>
      </c>
      <c r="B191" s="36" t="s">
        <v>46</v>
      </c>
      <c r="C191" s="48" t="s">
        <v>47</v>
      </c>
      <c r="D191" s="48" t="s">
        <v>48</v>
      </c>
      <c r="E191" s="36" t="s">
        <v>49</v>
      </c>
      <c r="F191" s="36" t="s">
        <v>50</v>
      </c>
      <c r="G191" s="36" t="s">
        <v>51</v>
      </c>
      <c r="H191" s="36" t="s">
        <v>52</v>
      </c>
      <c r="I191" s="48" t="s">
        <v>53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24</v>
      </c>
      <c r="B214" s="52" t="str">
        <f>IF(B16="","",B16)</f>
        <v/>
      </c>
      <c r="D214" s="229" t="s">
        <v>41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42</v>
      </c>
      <c r="C216" s="259" t="s">
        <v>43</v>
      </c>
      <c r="D216" s="259"/>
      <c r="E216" s="260" t="s">
        <v>44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45</v>
      </c>
      <c r="B217" s="36" t="s">
        <v>46</v>
      </c>
      <c r="C217" s="48" t="s">
        <v>47</v>
      </c>
      <c r="D217" s="48" t="s">
        <v>48</v>
      </c>
      <c r="E217" s="36" t="s">
        <v>49</v>
      </c>
      <c r="F217" s="36" t="s">
        <v>50</v>
      </c>
      <c r="G217" s="36" t="s">
        <v>51</v>
      </c>
      <c r="H217" s="36" t="s">
        <v>52</v>
      </c>
      <c r="I217" s="48" t="s">
        <v>53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25</v>
      </c>
      <c r="B240" s="52" t="str">
        <f>IF(B17="","",B17)</f>
        <v/>
      </c>
      <c r="D240" s="229" t="s">
        <v>41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42</v>
      </c>
      <c r="C242" s="259" t="s">
        <v>43</v>
      </c>
      <c r="D242" s="259"/>
      <c r="E242" s="260" t="s">
        <v>44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45</v>
      </c>
      <c r="B243" s="36" t="s">
        <v>46</v>
      </c>
      <c r="C243" s="48" t="s">
        <v>47</v>
      </c>
      <c r="D243" s="48" t="s">
        <v>48</v>
      </c>
      <c r="E243" s="36" t="s">
        <v>49</v>
      </c>
      <c r="F243" s="36" t="s">
        <v>50</v>
      </c>
      <c r="G243" s="36" t="s">
        <v>51</v>
      </c>
      <c r="H243" s="36" t="s">
        <v>52</v>
      </c>
      <c r="I243" s="48" t="s">
        <v>53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26</v>
      </c>
      <c r="B266" s="52" t="str">
        <f>IF(B18="","",B18)</f>
        <v/>
      </c>
      <c r="D266" s="229" t="s">
        <v>41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42</v>
      </c>
      <c r="C268" s="259" t="s">
        <v>43</v>
      </c>
      <c r="D268" s="259"/>
      <c r="E268" s="260" t="s">
        <v>44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45</v>
      </c>
      <c r="B269" s="36" t="s">
        <v>46</v>
      </c>
      <c r="C269" s="48" t="s">
        <v>47</v>
      </c>
      <c r="D269" s="48" t="s">
        <v>48</v>
      </c>
      <c r="E269" s="36" t="s">
        <v>49</v>
      </c>
      <c r="F269" s="36" t="s">
        <v>50</v>
      </c>
      <c r="G269" s="36" t="s">
        <v>51</v>
      </c>
      <c r="H269" s="36" t="s">
        <v>52</v>
      </c>
      <c r="I269" s="48" t="s">
        <v>53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54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55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56</v>
      </c>
      <c r="C7" s="100" t="s">
        <v>57</v>
      </c>
      <c r="D7" s="215"/>
      <c r="E7" s="101"/>
      <c r="F7" s="26" t="s">
        <v>56</v>
      </c>
      <c r="G7" s="100" t="s">
        <v>58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59</v>
      </c>
      <c r="D8" s="23"/>
      <c r="E8" s="105">
        <v>4</v>
      </c>
      <c r="F8" s="61">
        <v>1</v>
      </c>
      <c r="G8" s="102" t="s">
        <v>60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61</v>
      </c>
      <c r="D9" s="23"/>
      <c r="E9" s="105">
        <v>5</v>
      </c>
      <c r="F9" s="61">
        <v>0</v>
      </c>
      <c r="G9" s="103" t="s">
        <v>62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63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64</v>
      </c>
      <c r="D13" s="216"/>
      <c r="E13" s="99"/>
      <c r="F13" s="107"/>
      <c r="G13" s="98" t="s">
        <v>65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66</v>
      </c>
      <c r="D14" s="216"/>
      <c r="E14" s="99"/>
      <c r="F14" s="107"/>
      <c r="G14" s="98" t="s">
        <v>67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56</v>
      </c>
      <c r="C15" s="4"/>
      <c r="D15" s="23"/>
      <c r="E15" s="4"/>
      <c r="F15" s="4"/>
      <c r="G15" s="2" t="s">
        <v>279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69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70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71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72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rouge d'Amérique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73</v>
      </c>
      <c r="B2" s="72" t="s">
        <v>74</v>
      </c>
      <c r="C2" s="5" t="s">
        <v>75</v>
      </c>
      <c r="D2" s="5" t="s">
        <v>76</v>
      </c>
      <c r="E2" s="5" t="s">
        <v>77</v>
      </c>
      <c r="F2" s="5" t="s">
        <v>78</v>
      </c>
      <c r="G2" s="5" t="s">
        <v>79</v>
      </c>
      <c r="H2" s="66" t="s">
        <v>80</v>
      </c>
      <c r="I2" s="68" t="s">
        <v>77</v>
      </c>
      <c r="J2" s="69" t="s">
        <v>78</v>
      </c>
      <c r="K2" s="6" t="s">
        <v>81</v>
      </c>
      <c r="L2" s="6" t="s">
        <v>82</v>
      </c>
      <c r="M2" s="6" t="s">
        <v>82</v>
      </c>
      <c r="N2" s="6" t="s">
        <v>83</v>
      </c>
      <c r="O2" s="6" t="s">
        <v>84</v>
      </c>
      <c r="P2" s="6" t="s">
        <v>85</v>
      </c>
      <c r="Q2" s="6" t="s">
        <v>79</v>
      </c>
      <c r="R2" s="6" t="s">
        <v>86</v>
      </c>
      <c r="S2" s="6" t="s">
        <v>87</v>
      </c>
      <c r="T2" s="6" t="s">
        <v>88</v>
      </c>
      <c r="U2" s="7" t="s">
        <v>89</v>
      </c>
      <c r="V2" s="8" t="s">
        <v>90</v>
      </c>
      <c r="W2" s="7" t="s">
        <v>49</v>
      </c>
      <c r="X2" s="7" t="s">
        <v>50</v>
      </c>
      <c r="Y2" s="7" t="s">
        <v>91</v>
      </c>
      <c r="Z2" s="8" t="s">
        <v>92</v>
      </c>
      <c r="AA2" s="8" t="s">
        <v>93</v>
      </c>
      <c r="AB2" s="8" t="s">
        <v>94</v>
      </c>
      <c r="AC2" s="9" t="s">
        <v>95</v>
      </c>
      <c r="AD2" s="69" t="s">
        <v>77</v>
      </c>
      <c r="AE2" s="69" t="s">
        <v>78</v>
      </c>
      <c r="AF2" s="6" t="s">
        <v>81</v>
      </c>
      <c r="AG2" s="6" t="s">
        <v>82</v>
      </c>
      <c r="AH2" s="6" t="s">
        <v>82</v>
      </c>
      <c r="AI2" s="6" t="s">
        <v>83</v>
      </c>
      <c r="AJ2" s="6" t="s">
        <v>84</v>
      </c>
      <c r="AK2" s="6" t="s">
        <v>85</v>
      </c>
      <c r="AL2" s="6" t="s">
        <v>79</v>
      </c>
      <c r="AM2" s="6" t="s">
        <v>86</v>
      </c>
      <c r="AN2" s="6" t="s">
        <v>87</v>
      </c>
      <c r="AO2" s="6" t="s">
        <v>88</v>
      </c>
      <c r="AP2" s="7" t="s">
        <v>89</v>
      </c>
      <c r="AQ2" s="8" t="s">
        <v>90</v>
      </c>
      <c r="AR2" s="7" t="s">
        <v>49</v>
      </c>
      <c r="AS2" s="7" t="s">
        <v>50</v>
      </c>
      <c r="AT2" s="8" t="s">
        <v>96</v>
      </c>
      <c r="AU2" s="8" t="s">
        <v>92</v>
      </c>
      <c r="AV2" s="8" t="s">
        <v>93</v>
      </c>
      <c r="AW2" s="8" t="s">
        <v>94</v>
      </c>
      <c r="AX2" s="8" t="s">
        <v>95</v>
      </c>
      <c r="AY2" s="68" t="s">
        <v>77</v>
      </c>
      <c r="AZ2" s="69" t="s">
        <v>78</v>
      </c>
      <c r="BA2" s="6" t="s">
        <v>81</v>
      </c>
      <c r="BB2" s="6" t="s">
        <v>82</v>
      </c>
      <c r="BC2" s="6" t="s">
        <v>82</v>
      </c>
      <c r="BD2" s="6" t="s">
        <v>83</v>
      </c>
      <c r="BE2" s="6" t="s">
        <v>84</v>
      </c>
      <c r="BF2" s="6" t="s">
        <v>85</v>
      </c>
      <c r="BG2" s="6" t="s">
        <v>79</v>
      </c>
      <c r="BH2" s="6" t="s">
        <v>86</v>
      </c>
      <c r="BI2" s="6" t="s">
        <v>87</v>
      </c>
      <c r="BJ2" s="6" t="s">
        <v>88</v>
      </c>
      <c r="BK2" s="7" t="s">
        <v>89</v>
      </c>
      <c r="BL2" s="8" t="s">
        <v>90</v>
      </c>
      <c r="BM2" s="7" t="s">
        <v>49</v>
      </c>
      <c r="BN2" s="7" t="s">
        <v>50</v>
      </c>
      <c r="BO2" s="8" t="s">
        <v>96</v>
      </c>
      <c r="BP2" s="8" t="s">
        <v>92</v>
      </c>
      <c r="BQ2" s="8" t="s">
        <v>93</v>
      </c>
      <c r="BR2" s="8" t="s">
        <v>94</v>
      </c>
      <c r="BS2" s="9" t="s">
        <v>95</v>
      </c>
      <c r="BT2" s="68" t="s">
        <v>77</v>
      </c>
      <c r="BU2" s="69" t="s">
        <v>78</v>
      </c>
      <c r="BV2" s="6" t="s">
        <v>81</v>
      </c>
      <c r="BW2" s="6" t="s">
        <v>82</v>
      </c>
      <c r="BX2" s="6" t="s">
        <v>82</v>
      </c>
      <c r="BY2" s="6" t="s">
        <v>83</v>
      </c>
      <c r="BZ2" s="6" t="s">
        <v>84</v>
      </c>
      <c r="CA2" s="6" t="s">
        <v>85</v>
      </c>
      <c r="CB2" s="6" t="s">
        <v>79</v>
      </c>
      <c r="CC2" s="6" t="s">
        <v>86</v>
      </c>
      <c r="CD2" s="6" t="s">
        <v>87</v>
      </c>
      <c r="CE2" s="6" t="s">
        <v>88</v>
      </c>
      <c r="CF2" s="7" t="s">
        <v>89</v>
      </c>
      <c r="CG2" s="8" t="s">
        <v>90</v>
      </c>
      <c r="CH2" s="7" t="s">
        <v>49</v>
      </c>
      <c r="CI2" s="7" t="s">
        <v>50</v>
      </c>
      <c r="CJ2" s="8" t="s">
        <v>96</v>
      </c>
      <c r="CK2" s="8" t="s">
        <v>92</v>
      </c>
      <c r="CL2" s="8" t="s">
        <v>93</v>
      </c>
      <c r="CM2" s="8" t="s">
        <v>94</v>
      </c>
      <c r="CN2" s="9" t="s">
        <v>95</v>
      </c>
      <c r="CO2" s="68" t="s">
        <v>77</v>
      </c>
      <c r="CP2" s="69" t="s">
        <v>78</v>
      </c>
      <c r="CQ2" s="6" t="s">
        <v>81</v>
      </c>
      <c r="CR2" s="6" t="s">
        <v>82</v>
      </c>
      <c r="CS2" s="6" t="s">
        <v>82</v>
      </c>
      <c r="CT2" s="6" t="s">
        <v>83</v>
      </c>
      <c r="CU2" s="6" t="s">
        <v>84</v>
      </c>
      <c r="CV2" s="6" t="s">
        <v>85</v>
      </c>
      <c r="CW2" s="6" t="s">
        <v>79</v>
      </c>
      <c r="CX2" s="6" t="s">
        <v>86</v>
      </c>
      <c r="CY2" s="6" t="s">
        <v>87</v>
      </c>
      <c r="CZ2" s="6" t="s">
        <v>88</v>
      </c>
      <c r="DA2" s="7" t="s">
        <v>89</v>
      </c>
      <c r="DB2" s="8" t="s">
        <v>90</v>
      </c>
      <c r="DC2" s="7" t="s">
        <v>49</v>
      </c>
      <c r="DD2" s="7" t="s">
        <v>50</v>
      </c>
      <c r="DE2" s="8" t="s">
        <v>96</v>
      </c>
      <c r="DF2" s="8" t="s">
        <v>92</v>
      </c>
      <c r="DG2" s="8" t="s">
        <v>93</v>
      </c>
      <c r="DH2" s="8" t="s">
        <v>94</v>
      </c>
      <c r="DI2" s="9" t="s">
        <v>95</v>
      </c>
      <c r="DJ2" s="68" t="s">
        <v>77</v>
      </c>
      <c r="DK2" s="69" t="s">
        <v>78</v>
      </c>
      <c r="DL2" s="6" t="s">
        <v>81</v>
      </c>
      <c r="DM2" s="6" t="s">
        <v>82</v>
      </c>
      <c r="DN2" s="6" t="s">
        <v>82</v>
      </c>
      <c r="DO2" s="6" t="s">
        <v>83</v>
      </c>
      <c r="DP2" s="6" t="s">
        <v>84</v>
      </c>
      <c r="DQ2" s="6" t="s">
        <v>85</v>
      </c>
      <c r="DR2" s="6" t="s">
        <v>79</v>
      </c>
      <c r="DS2" s="6" t="s">
        <v>86</v>
      </c>
      <c r="DT2" s="6" t="s">
        <v>87</v>
      </c>
      <c r="DU2" s="6" t="s">
        <v>88</v>
      </c>
      <c r="DV2" s="7" t="s">
        <v>89</v>
      </c>
      <c r="DW2" s="8" t="s">
        <v>90</v>
      </c>
      <c r="DX2" s="7" t="s">
        <v>49</v>
      </c>
      <c r="DY2" s="7" t="s">
        <v>50</v>
      </c>
      <c r="DZ2" s="8" t="s">
        <v>96</v>
      </c>
      <c r="EA2" s="8" t="s">
        <v>92</v>
      </c>
      <c r="EB2" s="8" t="s">
        <v>93</v>
      </c>
      <c r="EC2" s="8" t="s">
        <v>94</v>
      </c>
      <c r="ED2" s="9" t="s">
        <v>95</v>
      </c>
      <c r="EE2" s="68" t="s">
        <v>77</v>
      </c>
      <c r="EF2" s="69" t="s">
        <v>78</v>
      </c>
      <c r="EG2" s="6" t="s">
        <v>81</v>
      </c>
      <c r="EH2" s="6" t="s">
        <v>82</v>
      </c>
      <c r="EI2" s="6" t="s">
        <v>82</v>
      </c>
      <c r="EJ2" s="6" t="s">
        <v>83</v>
      </c>
      <c r="EK2" s="6" t="s">
        <v>84</v>
      </c>
      <c r="EL2" s="6" t="s">
        <v>85</v>
      </c>
      <c r="EM2" s="6" t="s">
        <v>79</v>
      </c>
      <c r="EN2" s="6" t="s">
        <v>86</v>
      </c>
      <c r="EO2" s="6" t="s">
        <v>87</v>
      </c>
      <c r="EP2" s="6" t="s">
        <v>88</v>
      </c>
      <c r="EQ2" s="7" t="s">
        <v>89</v>
      </c>
      <c r="ER2" s="8" t="s">
        <v>90</v>
      </c>
      <c r="ES2" s="7" t="s">
        <v>49</v>
      </c>
      <c r="ET2" s="7" t="s">
        <v>50</v>
      </c>
      <c r="EU2" s="8" t="s">
        <v>96</v>
      </c>
      <c r="EV2" s="8" t="s">
        <v>92</v>
      </c>
      <c r="EW2" s="8" t="s">
        <v>93</v>
      </c>
      <c r="EX2" s="8" t="s">
        <v>94</v>
      </c>
      <c r="EY2" s="9" t="s">
        <v>95</v>
      </c>
      <c r="EZ2" s="68" t="s">
        <v>77</v>
      </c>
      <c r="FA2" s="69" t="s">
        <v>78</v>
      </c>
      <c r="FB2" s="6" t="s">
        <v>81</v>
      </c>
      <c r="FC2" s="6" t="s">
        <v>82</v>
      </c>
      <c r="FD2" s="6" t="s">
        <v>82</v>
      </c>
      <c r="FE2" s="6" t="s">
        <v>83</v>
      </c>
      <c r="FF2" s="6" t="s">
        <v>84</v>
      </c>
      <c r="FG2" s="6" t="s">
        <v>85</v>
      </c>
      <c r="FH2" s="6" t="s">
        <v>79</v>
      </c>
      <c r="FI2" s="6" t="s">
        <v>86</v>
      </c>
      <c r="FJ2" s="6" t="s">
        <v>87</v>
      </c>
      <c r="FK2" s="6" t="s">
        <v>88</v>
      </c>
      <c r="FL2" s="7" t="s">
        <v>89</v>
      </c>
      <c r="FM2" s="8" t="s">
        <v>90</v>
      </c>
      <c r="FN2" s="7" t="s">
        <v>49</v>
      </c>
      <c r="FO2" s="7" t="s">
        <v>50</v>
      </c>
      <c r="FP2" s="8" t="s">
        <v>97</v>
      </c>
      <c r="FQ2" s="8" t="s">
        <v>92</v>
      </c>
      <c r="FR2" s="8" t="s">
        <v>93</v>
      </c>
      <c r="FS2" s="8" t="s">
        <v>94</v>
      </c>
      <c r="FT2" s="9" t="s">
        <v>95</v>
      </c>
      <c r="FU2" s="68" t="s">
        <v>77</v>
      </c>
      <c r="FV2" s="69" t="s">
        <v>78</v>
      </c>
      <c r="FW2" s="6" t="s">
        <v>81</v>
      </c>
      <c r="FX2" s="6" t="s">
        <v>82</v>
      </c>
      <c r="FY2" s="6" t="s">
        <v>82</v>
      </c>
      <c r="FZ2" s="6" t="s">
        <v>83</v>
      </c>
      <c r="GA2" s="6" t="s">
        <v>84</v>
      </c>
      <c r="GB2" s="6" t="s">
        <v>85</v>
      </c>
      <c r="GC2" s="6" t="s">
        <v>79</v>
      </c>
      <c r="GD2" s="6" t="s">
        <v>86</v>
      </c>
      <c r="GE2" s="6" t="s">
        <v>87</v>
      </c>
      <c r="GF2" s="6" t="s">
        <v>88</v>
      </c>
      <c r="GG2" s="7" t="s">
        <v>89</v>
      </c>
      <c r="GH2" s="8" t="s">
        <v>90</v>
      </c>
      <c r="GI2" s="7" t="s">
        <v>49</v>
      </c>
      <c r="GJ2" s="7" t="s">
        <v>50</v>
      </c>
      <c r="GK2" s="8" t="s">
        <v>96</v>
      </c>
      <c r="GL2" s="8" t="s">
        <v>92</v>
      </c>
      <c r="GM2" s="8" t="s">
        <v>93</v>
      </c>
      <c r="GN2" s="8" t="s">
        <v>94</v>
      </c>
      <c r="GO2" s="8" t="s">
        <v>95</v>
      </c>
      <c r="GP2" s="68" t="s">
        <v>77</v>
      </c>
      <c r="GQ2" s="69" t="s">
        <v>78</v>
      </c>
      <c r="GR2" s="6" t="s">
        <v>81</v>
      </c>
      <c r="GS2" s="6" t="s">
        <v>82</v>
      </c>
      <c r="GT2" s="6" t="s">
        <v>82</v>
      </c>
      <c r="GU2" s="6" t="s">
        <v>83</v>
      </c>
      <c r="GV2" s="6" t="s">
        <v>84</v>
      </c>
      <c r="GW2" s="6" t="s">
        <v>85</v>
      </c>
      <c r="GX2" s="6" t="s">
        <v>79</v>
      </c>
      <c r="GY2" s="6" t="s">
        <v>86</v>
      </c>
      <c r="GZ2" s="6" t="s">
        <v>87</v>
      </c>
      <c r="HA2" s="6" t="s">
        <v>88</v>
      </c>
      <c r="HB2" s="7" t="s">
        <v>89</v>
      </c>
      <c r="HC2" s="8" t="s">
        <v>90</v>
      </c>
      <c r="HD2" s="7" t="s">
        <v>49</v>
      </c>
      <c r="HE2" s="7" t="s">
        <v>50</v>
      </c>
      <c r="HF2" s="8" t="s">
        <v>96</v>
      </c>
      <c r="HG2" s="8" t="s">
        <v>92</v>
      </c>
      <c r="HH2" s="8" t="s">
        <v>93</v>
      </c>
      <c r="HI2" s="8" t="s">
        <v>94</v>
      </c>
      <c r="HJ2" s="9" t="s">
        <v>95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212.70058550761718</v>
      </c>
      <c r="T3" s="59">
        <f>IF('Données projet'!E9&gt;30,$R$33-$H$33,LOOKUP('Données projet'!$E$9,$A$3:$A$203,R3:R203)-LOOKUP('Données projet'!$E$9,$A$3:$A$203,$H$3:$H$203))</f>
        <v>208.28274083874896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74.715815024475376</v>
      </c>
      <c r="AO3" s="59">
        <f>IF('Données projet'!E10&gt;30,$AM$33-$H$33,LOOKUP('Données projet'!$E$10,$A$3:$A$203,AM3:AM203)-LOOKUP('Données projet'!$E$10,$A$3:$A$203,$H$3:$H$203))</f>
        <v>87.801612218507501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7.1952941176470588</v>
      </c>
      <c r="N4" s="13">
        <f>IF('Données projet'!$A$36&gt;35,N3+M4-V3,IF(A4&lt;'Données projet'!$A$36,$K$205^A4,IF(A4='Données projet'!$A$36,'Données projet'!$B$36,N3+M4-V3)))</f>
        <v>1.3267648858502221</v>
      </c>
      <c r="O4" s="13">
        <f>N4*VLOOKUP('Données projet'!$B$9,Paramètres!$A$1:$I$89,3,0)*VLOOKUP('Données projet'!$B$9,Paramètres!$A$1:$I$89,5,0)</f>
        <v>0.79340540173843288</v>
      </c>
      <c r="P4" s="13">
        <f>EXP(-1.0587+0.8836*LN(O4)+0.284)</f>
        <v>0.37561764201183739</v>
      </c>
      <c r="Q4" s="20">
        <f t="shared" ref="Q4:Q34" si="2">(O4+P4)*0.475*44/12</f>
        <v>2.0360484678650539</v>
      </c>
      <c r="R4" s="59">
        <f t="shared" si="0"/>
        <v>295.36938180119836</v>
      </c>
      <c r="S4" s="59">
        <f ca="1">AVERAGE(OFFSET($R$3,0,0,'Données projet'!$E$9+1,1))-AVERAGE(OFFSET($H$3,0,0,'Données projet'!$E$9+1,1))</f>
        <v>212.70058550761718</v>
      </c>
      <c r="T4" s="59">
        <f>$T$3</f>
        <v>208.28274083874896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1.1538461538461537</v>
      </c>
      <c r="AI4" s="13">
        <f>IF('Données projet'!$A$62&gt;35,AI3+AH4-AQ3,IF(A4&lt;'Données projet'!$A$62,$AF$205^A4,IF(A4='Données projet'!$A$62,'Données projet'!$B$62,AI3+AH4-AQ3)))</f>
        <v>1.2770702581475548</v>
      </c>
      <c r="AJ4" s="13">
        <f>AI4*VLOOKUP('Données projet'!$B$10,Paramètres!$A$1:$I$89,3,0)*VLOOKUP('Données projet'!$B$10,Paramètres!$A$1:$I$89,5,0)</f>
        <v>1.1156485775177041</v>
      </c>
      <c r="AK4" s="13">
        <f>EXP(-1.0587+0.8836*LN(AJ4)+0.284)</f>
        <v>0.50763001109458361</v>
      </c>
      <c r="AL4" s="20">
        <f t="shared" ref="AL4:AL67" si="4">(AJ4+AK4)*0.475*44/12</f>
        <v>2.8272102084997344</v>
      </c>
      <c r="AM4" s="59">
        <f t="shared" ref="AM4:AM67" si="5">AL4+(AD4+AE4)*44/12</f>
        <v>296.16054354183302</v>
      </c>
      <c r="AN4" s="59">
        <f ca="1">AVERAGE(OFFSET($AM$3,0,0,'Données projet'!$E$10+1,1))-AVERAGE(OFFSET($H$3,0,0,'Données projet'!$E$10+1,1))</f>
        <v>74.715815024475376</v>
      </c>
      <c r="AO4" s="59">
        <f>$AO$3</f>
        <v>87.801612218507501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7.1952941176470588</v>
      </c>
      <c r="N5" s="13">
        <f>IF('Données projet'!$A$36&gt;35,N4+M5-V4,IF(A5&lt;'Données projet'!$A$36,$K$205^A5,IF(A5='Données projet'!$A$36,'Données projet'!$B$36,N4+M5-V4)))</f>
        <v>1.7603050623251528</v>
      </c>
      <c r="O5" s="13">
        <f>N5*VLOOKUP('Données projet'!$B$9,Paramètres!$A$1:$I$89,3,0)*VLOOKUP('Données projet'!$B$9,Paramètres!$A$1:$I$89,5,0)</f>
        <v>1.0526624272704415</v>
      </c>
      <c r="P5" s="13">
        <f t="shared" ref="P5:P68" si="33">EXP(-1.0587+0.8836*LN(O5)+0.284)</f>
        <v>0.48222168139326793</v>
      </c>
      <c r="Q5" s="20">
        <f t="shared" si="2"/>
        <v>2.6732564892559605</v>
      </c>
      <c r="R5" s="59">
        <f t="shared" si="0"/>
        <v>296.00658982258926</v>
      </c>
      <c r="S5" s="59">
        <f ca="1">AVERAGE(OFFSET($R$3,0,0,'Données projet'!$E$9+1,1))-AVERAGE(OFFSET($H$3,0,0,'Données projet'!$E$9+1,1))</f>
        <v>212.70058550761718</v>
      </c>
      <c r="T5" s="59">
        <f t="shared" ref="T5:T68" si="34">$T$3</f>
        <v>208.28274083874896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1.1538461538461537</v>
      </c>
      <c r="AI5" s="13">
        <f>IF('Données projet'!$A$62&gt;35,AI4+AH5-AQ4,IF(A5&lt;'Données projet'!$A$62,$AF$205^A5,IF(A5='Données projet'!$A$62,'Données projet'!$B$62,AI4+AH5-AQ4)))</f>
        <v>1.6309084442450623</v>
      </c>
      <c r="AJ5" s="13">
        <f>AI5*VLOOKUP('Données projet'!$B$10,Paramètres!$A$1:$I$89,3,0)*VLOOKUP('Données projet'!$B$10,Paramètres!$A$1:$I$89,5,0)</f>
        <v>1.4247616168924866</v>
      </c>
      <c r="AK5" s="13">
        <f t="shared" ref="AK5:AK68" si="35">EXP(-1.0587+0.8836*LN(AJ5)+0.284)</f>
        <v>0.63008432961878058</v>
      </c>
      <c r="AL5" s="20">
        <f t="shared" si="4"/>
        <v>3.5788566901737902</v>
      </c>
      <c r="AM5" s="59">
        <f t="shared" si="5"/>
        <v>296.91219002350709</v>
      </c>
      <c r="AN5" s="59">
        <f ca="1">AVERAGE(OFFSET($AM$3,0,0,'Données projet'!$E$10+1,1))-AVERAGE(OFFSET($H$3,0,0,'Données projet'!$E$10+1,1))</f>
        <v>74.715815024475376</v>
      </c>
      <c r="AO5" s="59">
        <f t="shared" ref="AO5:AO68" si="36">$AO$3</f>
        <v>87.801612218507501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7.1952941176470588</v>
      </c>
      <c r="N6" s="13">
        <f>IF('Données projet'!$A$36&gt;35,N5+M6-V5,IF(A6&lt;'Données projet'!$A$36,$K$205^A6,IF(A6='Données projet'!$A$36,'Données projet'!$B$36,N5+M6-V5)))</f>
        <v>2.3355109450773996</v>
      </c>
      <c r="O6" s="13">
        <f>N6*VLOOKUP('Données projet'!$B$9,Paramètres!$A$1:$I$89,3,0)*VLOOKUP('Données projet'!$B$9,Paramètres!$A$1:$I$89,5,0)</f>
        <v>1.3966355451562853</v>
      </c>
      <c r="P6" s="13">
        <f t="shared" si="33"/>
        <v>0.61908101217040834</v>
      </c>
      <c r="Q6" s="20">
        <f t="shared" si="2"/>
        <v>3.5107063373439913</v>
      </c>
      <c r="R6" s="59">
        <f t="shared" si="0"/>
        <v>296.84403967067732</v>
      </c>
      <c r="S6" s="59">
        <f ca="1">AVERAGE(OFFSET($R$3,0,0,'Données projet'!$E$9+1,1))-AVERAGE(OFFSET($H$3,0,0,'Données projet'!$E$9+1,1))</f>
        <v>212.70058550761718</v>
      </c>
      <c r="T6" s="59">
        <f t="shared" si="34"/>
        <v>208.28274083874896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1.1538461538461537</v>
      </c>
      <c r="AI6" s="13">
        <f>IF('Données projet'!$A$62&gt;35,AI5+AH6-AQ5,IF(A6&lt;'Données projet'!$A$62,$AF$205^A6,IF(A6='Données projet'!$A$62,'Données projet'!$B$62,AI5+AH6-AQ5)))</f>
        <v>2.082784667907069</v>
      </c>
      <c r="AJ6" s="13">
        <f>AI6*VLOOKUP('Données projet'!$B$10,Paramètres!$A$1:$I$89,3,0)*VLOOKUP('Données projet'!$B$10,Paramètres!$A$1:$I$89,5,0)</f>
        <v>1.8195206858836157</v>
      </c>
      <c r="AK6" s="13">
        <f t="shared" si="35"/>
        <v>0.78207799727029237</v>
      </c>
      <c r="AL6" s="20">
        <f t="shared" si="4"/>
        <v>4.531117706493057</v>
      </c>
      <c r="AM6" s="59">
        <f t="shared" si="5"/>
        <v>297.86445103982635</v>
      </c>
      <c r="AN6" s="59">
        <f ca="1">AVERAGE(OFFSET($AM$3,0,0,'Données projet'!$E$10+1,1))-AVERAGE(OFFSET($H$3,0,0,'Données projet'!$E$10+1,1))</f>
        <v>74.715815024475376</v>
      </c>
      <c r="AO6" s="59">
        <f t="shared" si="36"/>
        <v>87.801612218507501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7.1952941176470588</v>
      </c>
      <c r="N7" s="13">
        <f>IF('Données projet'!$A$36&gt;35,N6+M7-V6,IF(A7&lt;'Données projet'!$A$36,$K$205^A7,IF(A7='Données projet'!$A$36,'Données projet'!$B$36,N6+M7-V6)))</f>
        <v>3.09867391244756</v>
      </c>
      <c r="O7" s="13">
        <f>N7*VLOOKUP('Données projet'!$B$9,Paramètres!$A$1:$I$89,3,0)*VLOOKUP('Données projet'!$B$9,Paramètres!$A$1:$I$89,5,0)</f>
        <v>1.8530069996436409</v>
      </c>
      <c r="P7" s="13">
        <f t="shared" si="33"/>
        <v>0.79478238830446668</v>
      </c>
      <c r="Q7" s="20">
        <f t="shared" si="2"/>
        <v>4.6115665173429541</v>
      </c>
      <c r="R7" s="59">
        <f t="shared" si="0"/>
        <v>297.94489985067628</v>
      </c>
      <c r="S7" s="59">
        <f ca="1">AVERAGE(OFFSET($R$3,0,0,'Données projet'!$E$9+1,1))-AVERAGE(OFFSET($H$3,0,0,'Données projet'!$E$9+1,1))</f>
        <v>212.70058550761718</v>
      </c>
      <c r="T7" s="59">
        <f t="shared" si="34"/>
        <v>208.28274083874896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1.1538461538461537</v>
      </c>
      <c r="AI7" s="13">
        <f>IF('Données projet'!$A$62&gt;35,AI6+AH7-AQ6,IF(A7&lt;'Données projet'!$A$62,$AF$205^A7,IF(A7='Données projet'!$A$62,'Données projet'!$B$62,AI6+AH7-AQ6)))</f>
        <v>2.6598623535098493</v>
      </c>
      <c r="AJ7" s="13">
        <f>AI7*VLOOKUP('Données projet'!$B$10,Paramètres!$A$1:$I$89,3,0)*VLOOKUP('Données projet'!$B$10,Paramètres!$A$1:$I$89,5,0)</f>
        <v>2.3236557520262049</v>
      </c>
      <c r="AK7" s="13">
        <f t="shared" si="35"/>
        <v>0.97073671739205902</v>
      </c>
      <c r="AL7" s="20">
        <f t="shared" si="4"/>
        <v>5.7377335509034753</v>
      </c>
      <c r="AM7" s="59">
        <f t="shared" si="5"/>
        <v>299.07106688423681</v>
      </c>
      <c r="AN7" s="59">
        <f ca="1">AVERAGE(OFFSET($AM$3,0,0,'Données projet'!$E$10+1,1))-AVERAGE(OFFSET($H$3,0,0,'Données projet'!$E$10+1,1))</f>
        <v>74.715815024475376</v>
      </c>
      <c r="AO7" s="59">
        <f t="shared" si="36"/>
        <v>87.801612218507501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7.1952941176470588</v>
      </c>
      <c r="N8" s="13">
        <f>IF('Données projet'!$A$36&gt;35,N7+M8-V7,IF(A8&lt;'Données projet'!$A$36,$K$205^A8,IF(A8='Données projet'!$A$36,'Données projet'!$B$36,N7+M8-V7)))</f>
        <v>4.1112117397355483</v>
      </c>
      <c r="O8" s="13">
        <f>N8*VLOOKUP('Données projet'!$B$9,Paramètres!$A$1:$I$89,3,0)*VLOOKUP('Données projet'!$B$9,Paramètres!$A$1:$I$89,5,0)</f>
        <v>2.4585046203618579</v>
      </c>
      <c r="P8" s="13">
        <f t="shared" si="33"/>
        <v>1.0203495703161323</v>
      </c>
      <c r="Q8" s="20">
        <f t="shared" si="2"/>
        <v>6.0590043820974993</v>
      </c>
      <c r="R8" s="59">
        <f t="shared" si="0"/>
        <v>299.39233771543081</v>
      </c>
      <c r="S8" s="59">
        <f ca="1">AVERAGE(OFFSET($R$3,0,0,'Données projet'!$E$9+1,1))-AVERAGE(OFFSET($H$3,0,0,'Données projet'!$E$9+1,1))</f>
        <v>212.70058550761718</v>
      </c>
      <c r="T8" s="59">
        <f t="shared" si="34"/>
        <v>208.28274083874896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1.1538461538461537</v>
      </c>
      <c r="AI8" s="13">
        <f>IF('Données projet'!$A$62&gt;35,AI7+AH8-AQ7,IF(A8&lt;'Données projet'!$A$62,$AF$205^A8,IF(A8='Données projet'!$A$62,'Données projet'!$B$62,AI7+AH8-AQ7)))</f>
        <v>3.3968311024337861</v>
      </c>
      <c r="AJ8" s="13">
        <f>AI8*VLOOKUP('Données projet'!$B$10,Paramètres!$A$1:$I$89,3,0)*VLOOKUP('Données projet'!$B$10,Paramètres!$A$1:$I$89,5,0)</f>
        <v>2.9674716510861558</v>
      </c>
      <c r="AK8" s="13">
        <f t="shared" si="35"/>
        <v>1.2049051089305018</v>
      </c>
      <c r="AL8" s="20">
        <f t="shared" si="4"/>
        <v>7.2668895236956779</v>
      </c>
      <c r="AM8" s="59">
        <f t="shared" si="5"/>
        <v>300.600222857029</v>
      </c>
      <c r="AN8" s="59">
        <f ca="1">AVERAGE(OFFSET($AM$3,0,0,'Données projet'!$E$10+1,1))-AVERAGE(OFFSET($H$3,0,0,'Données projet'!$E$10+1,1))</f>
        <v>74.715815024475376</v>
      </c>
      <c r="AO8" s="59">
        <f t="shared" si="36"/>
        <v>87.801612218507501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7.1952941176470588</v>
      </c>
      <c r="N9" s="13">
        <f>IF('Données projet'!$A$36&gt;35,N8+M9-V8,IF(A9&lt;'Données projet'!$A$36,$K$205^A9,IF(A9='Données projet'!$A$36,'Données projet'!$B$36,N8+M9-V8)))</f>
        <v>5.4546113745763272</v>
      </c>
      <c r="O9" s="13">
        <f>N9*VLOOKUP('Données projet'!$B$9,Paramètres!$A$1:$I$89,3,0)*VLOOKUP('Données projet'!$B$9,Paramètres!$A$1:$I$89,5,0)</f>
        <v>3.2618576019966441</v>
      </c>
      <c r="P9" s="13">
        <f t="shared" si="33"/>
        <v>1.3099349720938758</v>
      </c>
      <c r="Q9" s="20">
        <f t="shared" si="2"/>
        <v>7.962538733207654</v>
      </c>
      <c r="R9" s="59">
        <f t="shared" si="0"/>
        <v>301.29587206654099</v>
      </c>
      <c r="S9" s="59">
        <f ca="1">AVERAGE(OFFSET($R$3,0,0,'Données projet'!$E$9+1,1))-AVERAGE(OFFSET($H$3,0,0,'Données projet'!$E$9+1,1))</f>
        <v>212.70058550761718</v>
      </c>
      <c r="T9" s="59">
        <f t="shared" si="34"/>
        <v>208.28274083874896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1.1538461538461537</v>
      </c>
      <c r="AI9" s="13">
        <f>IF('Données projet'!$A$62&gt;35,AI8+AH9-AQ8,IF(A9&lt;'Données projet'!$A$62,$AF$205^A9,IF(A9='Données projet'!$A$62,'Données projet'!$B$62,AI8+AH9-AQ8)))</f>
        <v>4.3379919728687586</v>
      </c>
      <c r="AJ9" s="13">
        <f>AI9*VLOOKUP('Données projet'!$B$10,Paramètres!$A$1:$I$89,3,0)*VLOOKUP('Données projet'!$B$10,Paramètres!$A$1:$I$89,5,0)</f>
        <v>3.789669787498148</v>
      </c>
      <c r="AK9" s="13">
        <f t="shared" si="35"/>
        <v>1.4955613561493386</v>
      </c>
      <c r="AL9" s="20">
        <f t="shared" si="4"/>
        <v>9.2051109085193712</v>
      </c>
      <c r="AM9" s="59">
        <f t="shared" si="5"/>
        <v>302.53844424185269</v>
      </c>
      <c r="AN9" s="59">
        <f ca="1">AVERAGE(OFFSET($AM$3,0,0,'Données projet'!$E$10+1,1))-AVERAGE(OFFSET($H$3,0,0,'Données projet'!$E$10+1,1))</f>
        <v>74.715815024475376</v>
      </c>
      <c r="AO9" s="59">
        <f t="shared" si="36"/>
        <v>87.801612218507501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7.1952941176470588</v>
      </c>
      <c r="N10" s="13">
        <f>IF('Données projet'!$A$36&gt;35,N9+M10-V9,IF(A10&lt;'Données projet'!$A$36,$K$205^A10,IF(A10='Données projet'!$A$36,'Données projet'!$B$36,N9+M10-V9)))</f>
        <v>7.2369868377470841</v>
      </c>
      <c r="O10" s="13">
        <f>N10*VLOOKUP('Données projet'!$B$9,Paramètres!$A$1:$I$89,3,0)*VLOOKUP('Données projet'!$B$9,Paramètres!$A$1:$I$89,5,0)</f>
        <v>4.3277181289727569</v>
      </c>
      <c r="P10" s="13">
        <f t="shared" si="33"/>
        <v>1.6817076039762937</v>
      </c>
      <c r="Q10" s="20">
        <f t="shared" si="2"/>
        <v>10.466416484886262</v>
      </c>
      <c r="R10" s="59">
        <f t="shared" si="0"/>
        <v>303.7997498182196</v>
      </c>
      <c r="S10" s="59">
        <f ca="1">AVERAGE(OFFSET($R$3,0,0,'Données projet'!$E$9+1,1))-AVERAGE(OFFSET($H$3,0,0,'Données projet'!$E$9+1,1))</f>
        <v>212.70058550761718</v>
      </c>
      <c r="T10" s="59">
        <f t="shared" si="34"/>
        <v>208.28274083874896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1.1538461538461537</v>
      </c>
      <c r="AI10" s="13">
        <f>IF('Données projet'!$A$62&gt;35,AI9+AH10-AQ9,IF(A10&lt;'Données projet'!$A$62,$AF$205^A10,IF(A10='Données projet'!$A$62,'Données projet'!$B$62,AI9+AH10-AQ9)))</f>
        <v>5.5399205286335267</v>
      </c>
      <c r="AJ10" s="13">
        <f>AI10*VLOOKUP('Données projet'!$B$10,Paramètres!$A$1:$I$89,3,0)*VLOOKUP('Données projet'!$B$10,Paramètres!$A$1:$I$89,5,0)</f>
        <v>4.8396745738142499</v>
      </c>
      <c r="AK10" s="13">
        <f t="shared" si="35"/>
        <v>1.8563318832572566</v>
      </c>
      <c r="AL10" s="20">
        <f t="shared" si="4"/>
        <v>11.662211246066207</v>
      </c>
      <c r="AM10" s="59">
        <f t="shared" si="5"/>
        <v>304.99554457939951</v>
      </c>
      <c r="AN10" s="59">
        <f ca="1">AVERAGE(OFFSET($AM$3,0,0,'Données projet'!$E$10+1,1))-AVERAGE(OFFSET($H$3,0,0,'Données projet'!$E$10+1,1))</f>
        <v>74.715815024475376</v>
      </c>
      <c r="AO10" s="59">
        <f t="shared" si="36"/>
        <v>87.801612218507501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7.1952941176470588</v>
      </c>
      <c r="N11" s="13">
        <f>IF('Données projet'!$A$36&gt;35,N10+M11-V10,IF(A11&lt;'Données projet'!$A$36,$K$205^A11,IF(A11='Données projet'!$A$36,'Données projet'!$B$36,N10+M11-V10)))</f>
        <v>9.6017800156830688</v>
      </c>
      <c r="O11" s="13">
        <f>N11*VLOOKUP('Données projet'!$B$9,Paramètres!$A$1:$I$89,3,0)*VLOOKUP('Données projet'!$B$9,Paramètres!$A$1:$I$89,5,0)</f>
        <v>5.7418644493784763</v>
      </c>
      <c r="P11" s="13">
        <f t="shared" si="33"/>
        <v>2.1589930229521412</v>
      </c>
      <c r="Q11" s="20">
        <f t="shared" si="2"/>
        <v>13.760660097642491</v>
      </c>
      <c r="R11" s="59">
        <f t="shared" si="0"/>
        <v>307.09399343097579</v>
      </c>
      <c r="S11" s="59">
        <f ca="1">AVERAGE(OFFSET($R$3,0,0,'Données projet'!$E$9+1,1))-AVERAGE(OFFSET($H$3,0,0,'Données projet'!$E$9+1,1))</f>
        <v>212.70058550761718</v>
      </c>
      <c r="T11" s="59">
        <f t="shared" si="34"/>
        <v>208.28274083874896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1.1538461538461537</v>
      </c>
      <c r="AI11" s="13">
        <f>IF('Données projet'!$A$62&gt;35,AI10+AH11-AQ10,IF(A11&lt;'Données projet'!$A$62,$AF$205^A11,IF(A11='Données projet'!$A$62,'Données projet'!$B$62,AI10+AH11-AQ10)))</f>
        <v>7.0748677396189548</v>
      </c>
      <c r="AJ11" s="13">
        <f>AI11*VLOOKUP('Données projet'!$B$10,Paramètres!$A$1:$I$89,3,0)*VLOOKUP('Données projet'!$B$10,Paramètres!$A$1:$I$89,5,0)</f>
        <v>6.1806044573311194</v>
      </c>
      <c r="AK11" s="13">
        <f t="shared" si="35"/>
        <v>2.304130182709359</v>
      </c>
      <c r="AL11" s="20">
        <f t="shared" si="4"/>
        <v>14.777579498070502</v>
      </c>
      <c r="AM11" s="59">
        <f t="shared" si="5"/>
        <v>308.11091283140382</v>
      </c>
      <c r="AN11" s="59">
        <f ca="1">AVERAGE(OFFSET($AM$3,0,0,'Données projet'!$E$10+1,1))-AVERAGE(OFFSET($H$3,0,0,'Données projet'!$E$10+1,1))</f>
        <v>74.715815024475376</v>
      </c>
      <c r="AO11" s="59">
        <f t="shared" si="36"/>
        <v>87.801612218507501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7.1952941176470588</v>
      </c>
      <c r="N12" s="13">
        <f>IF('Données projet'!$A$36&gt;35,N11+M12-V11,IF(A12&lt;'Données projet'!$A$36,$K$205^A12,IF(A12='Données projet'!$A$36,'Données projet'!$B$36,N11+M12-V11)))</f>
        <v>12.739304566466691</v>
      </c>
      <c r="O12" s="13">
        <f>N12*VLOOKUP('Données projet'!$B$9,Paramètres!$A$1:$I$89,3,0)*VLOOKUP('Données projet'!$B$9,Paramètres!$A$1:$I$89,5,0)</f>
        <v>7.6181041307470823</v>
      </c>
      <c r="P12" s="13">
        <f t="shared" si="33"/>
        <v>2.7717368121157255</v>
      </c>
      <c r="Q12" s="20">
        <f t="shared" si="2"/>
        <v>18.095639642152722</v>
      </c>
      <c r="R12" s="59">
        <f t="shared" si="0"/>
        <v>311.42897297548603</v>
      </c>
      <c r="S12" s="59">
        <f ca="1">AVERAGE(OFFSET($R$3,0,0,'Données projet'!$E$9+1,1))-AVERAGE(OFFSET($H$3,0,0,'Données projet'!$E$9+1,1))</f>
        <v>212.70058550761718</v>
      </c>
      <c r="T12" s="59">
        <f t="shared" si="34"/>
        <v>208.28274083874896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1.1538461538461537</v>
      </c>
      <c r="AI12" s="13">
        <f>IF('Données projet'!$A$62&gt;35,AI11+AH12-AQ11,IF(A12&lt;'Données projet'!$A$62,$AF$205^A12,IF(A12='Données projet'!$A$62,'Données projet'!$B$62,AI11+AH12-AQ11)))</f>
        <v>9.0351031705949865</v>
      </c>
      <c r="AJ12" s="13">
        <f>AI12*VLOOKUP('Données projet'!$B$10,Paramètres!$A$1:$I$89,3,0)*VLOOKUP('Données projet'!$B$10,Paramètres!$A$1:$I$89,5,0)</f>
        <v>7.893066129831781</v>
      </c>
      <c r="AK12" s="13">
        <f t="shared" si="35"/>
        <v>2.8599497464627262</v>
      </c>
      <c r="AL12" s="20">
        <f t="shared" si="4"/>
        <v>18.728169317879601</v>
      </c>
      <c r="AM12" s="59">
        <f t="shared" si="5"/>
        <v>312.06150265121289</v>
      </c>
      <c r="AN12" s="59">
        <f ca="1">AVERAGE(OFFSET($AM$3,0,0,'Données projet'!$E$10+1,1))-AVERAGE(OFFSET($H$3,0,0,'Données projet'!$E$10+1,1))</f>
        <v>74.715815024475376</v>
      </c>
      <c r="AO12" s="59">
        <f t="shared" si="36"/>
        <v>87.801612218507501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7.1952941176470588</v>
      </c>
      <c r="N13" s="13">
        <f>IF('Données projet'!$A$36&gt;35,N12+M13-V12,IF(A13&lt;'Données projet'!$A$36,$K$205^A13,IF(A13='Données projet'!$A$36,'Données projet'!$B$36,N12+M13-V12)))</f>
        <v>16.902061968939393</v>
      </c>
      <c r="O13" s="13">
        <f>N13*VLOOKUP('Données projet'!$B$9,Paramètres!$A$1:$I$89,3,0)*VLOOKUP('Données projet'!$B$9,Paramètres!$A$1:$I$89,5,0)</f>
        <v>10.107433057425759</v>
      </c>
      <c r="P13" s="13">
        <f t="shared" si="33"/>
        <v>3.5583834102125023</v>
      </c>
      <c r="Q13" s="20">
        <f t="shared" si="2"/>
        <v>23.80129701446997</v>
      </c>
      <c r="R13" s="59">
        <f t="shared" si="0"/>
        <v>317.1346303478033</v>
      </c>
      <c r="S13" s="59">
        <f ca="1">AVERAGE(OFFSET($R$3,0,0,'Données projet'!$E$9+1,1))-AVERAGE(OFFSET($H$3,0,0,'Données projet'!$E$9+1,1))</f>
        <v>212.70058550761718</v>
      </c>
      <c r="T13" s="59">
        <f t="shared" si="34"/>
        <v>208.28274083874896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11.538461538461538</v>
      </c>
      <c r="AG13" s="12">
        <f>VLOOKUP(A13,'Données projet'!$A$61:$I$81,9,0)</f>
        <v>1.1538461538461537</v>
      </c>
      <c r="AH13" s="12">
        <f t="array" ref="AH13">INDEX(AG:AG,MIN(IF(ISNUMBER(AG13:AG209),ROW(AG13:AG209),"")))</f>
        <v>1.1538461538461537</v>
      </c>
      <c r="AI13" s="13">
        <f>IF('Données projet'!$A$62&gt;35,AI12+AH13-AQ12,IF(A13&lt;'Données projet'!$A$62,$AF$205^A13,IF(A13='Données projet'!$A$62,'Données projet'!$B$62,AI12+AH13-AQ12)))</f>
        <v>11.538461538461538</v>
      </c>
      <c r="AJ13" s="13">
        <f>AI13*VLOOKUP('Données projet'!$B$10,Paramètres!$A$1:$I$89,3,0)*VLOOKUP('Données projet'!$B$10,Paramètres!$A$1:$I$89,5,0)</f>
        <v>10.08</v>
      </c>
      <c r="AK13" s="13">
        <f t="shared" si="35"/>
        <v>3.5498482740564596</v>
      </c>
      <c r="AL13" s="20">
        <f t="shared" si="4"/>
        <v>23.738652410648331</v>
      </c>
      <c r="AM13" s="59">
        <f t="shared" si="5"/>
        <v>317.07198574398166</v>
      </c>
      <c r="AN13" s="59">
        <f ca="1">AVERAGE(OFFSET($AM$3,0,0,'Données projet'!$E$10+1,1))-AVERAGE(OFFSET($H$3,0,0,'Données projet'!$E$10+1,1))</f>
        <v>74.715815024475376</v>
      </c>
      <c r="AO13" s="59">
        <f t="shared" si="36"/>
        <v>87.801612218507501</v>
      </c>
      <c r="AP13" s="15">
        <f>IF(ISNA(VLOOKUP(A13,'Données projet'!$A$61:$I$81,3,0)),0,VLOOKUP(A13,'Données projet'!$A$61:$I$81,3,0))</f>
        <v>1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0.215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7.1952941176470588</v>
      </c>
      <c r="N14" s="13">
        <f>IF('Données projet'!$A$36&gt;35,N13+M14-V13,IF(A14&lt;'Données projet'!$A$36,$K$205^A14,IF(A14='Données projet'!$A$36,'Données projet'!$B$36,N13+M14-V13)))</f>
        <v>22.425062318853254</v>
      </c>
      <c r="O14" s="13">
        <f>N14*VLOOKUP('Données projet'!$B$9,Paramètres!$A$1:$I$89,3,0)*VLOOKUP('Données projet'!$B$9,Paramètres!$A$1:$I$89,5,0)</f>
        <v>13.410187266674248</v>
      </c>
      <c r="P14" s="13">
        <f t="shared" si="33"/>
        <v>4.5682881717800319</v>
      </c>
      <c r="Q14" s="20">
        <f t="shared" si="2"/>
        <v>31.312511388641202</v>
      </c>
      <c r="R14" s="59">
        <f t="shared" si="0"/>
        <v>324.64584472197453</v>
      </c>
      <c r="S14" s="59">
        <f ca="1">AVERAGE(OFFSET($R$3,0,0,'Données projet'!$E$9+1,1))-AVERAGE(OFFSET($H$3,0,0,'Données projet'!$E$9+1,1))</f>
        <v>212.70058550761718</v>
      </c>
      <c r="T14" s="59">
        <f t="shared" si="34"/>
        <v>208.28274083874896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3.7179487179487181</v>
      </c>
      <c r="AI14" s="13">
        <f>IF('Données projet'!$A$62&gt;35,AI13+AH14-AQ13,IF(A14&lt;'Données projet'!$A$62,$AF$205^A14,IF(A14='Données projet'!$A$62,'Données projet'!$B$62,AI13+AH14-AQ13)))</f>
        <v>15.256410256410255</v>
      </c>
      <c r="AJ14" s="13">
        <f>AI14*VLOOKUP('Données projet'!$B$10,Paramètres!$A$1:$I$89,3,0)*VLOOKUP('Données projet'!$B$10,Paramètres!$A$1:$I$89,5,0)</f>
        <v>13.327999999999999</v>
      </c>
      <c r="AK14" s="13">
        <f t="shared" si="35"/>
        <v>4.5435405124247303</v>
      </c>
      <c r="AL14" s="20">
        <f t="shared" si="4"/>
        <v>31.12626639247307</v>
      </c>
      <c r="AM14" s="59">
        <f t="shared" si="5"/>
        <v>324.45959972580636</v>
      </c>
      <c r="AN14" s="59">
        <f ca="1">AVERAGE(OFFSET($AM$3,0,0,'Données projet'!$E$10+1,1))-AVERAGE(OFFSET($H$3,0,0,'Données projet'!$E$10+1,1))</f>
        <v>74.715815024475376</v>
      </c>
      <c r="AO14" s="59">
        <f t="shared" si="36"/>
        <v>87.801612218507501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7.1952941176470588</v>
      </c>
      <c r="N15" s="13">
        <f>IF('Données projet'!$A$36&gt;35,N14+M15-V14,IF(A15&lt;'Données projet'!$A$36,$K$205^A15,IF(A15='Données projet'!$A$36,'Données projet'!$B$36,N14+M15-V14)))</f>
        <v>29.752785247657449</v>
      </c>
      <c r="O15" s="13">
        <f>N15*VLOOKUP('Données projet'!$B$9,Paramètres!$A$1:$I$89,3,0)*VLOOKUP('Données projet'!$B$9,Paramètres!$A$1:$I$89,5,0)</f>
        <v>17.792165578099155</v>
      </c>
      <c r="P15" s="13">
        <f t="shared" si="33"/>
        <v>5.8648139940544119</v>
      </c>
      <c r="Q15" s="20">
        <f t="shared" si="2"/>
        <v>41.202572754834129</v>
      </c>
      <c r="R15" s="59">
        <f t="shared" si="0"/>
        <v>334.53590608816745</v>
      </c>
      <c r="S15" s="59">
        <f ca="1">AVERAGE(OFFSET($R$3,0,0,'Données projet'!$E$9+1,1))-AVERAGE(OFFSET($H$3,0,0,'Données projet'!$E$9+1,1))</f>
        <v>212.70058550761718</v>
      </c>
      <c r="T15" s="59">
        <f t="shared" si="34"/>
        <v>208.28274083874896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3.7179487179487181</v>
      </c>
      <c r="AI15" s="13">
        <f>IF('Données projet'!$A$62&gt;35,AI14+AH15-AQ14,IF(A15&lt;'Données projet'!$A$62,$AF$205^A15,IF(A15='Données projet'!$A$62,'Données projet'!$B$62,AI14+AH15-AQ14)))</f>
        <v>18.974358974358974</v>
      </c>
      <c r="AJ15" s="13">
        <f>AI15*VLOOKUP('Données projet'!$B$10,Paramètres!$A$1:$I$89,3,0)*VLOOKUP('Données projet'!$B$10,Paramètres!$A$1:$I$89,5,0)</f>
        <v>16.576000000000004</v>
      </c>
      <c r="AK15" s="13">
        <f t="shared" si="35"/>
        <v>5.5091470083875844</v>
      </c>
      <c r="AL15" s="20">
        <f t="shared" si="4"/>
        <v>38.464964372941715</v>
      </c>
      <c r="AM15" s="59">
        <f t="shared" si="5"/>
        <v>331.79829770627504</v>
      </c>
      <c r="AN15" s="59">
        <f ca="1">AVERAGE(OFFSET($AM$3,0,0,'Données projet'!$E$10+1,1))-AVERAGE(OFFSET($H$3,0,0,'Données projet'!$E$10+1,1))</f>
        <v>74.715815024475376</v>
      </c>
      <c r="AO15" s="59">
        <f t="shared" si="36"/>
        <v>87.801612218507501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7.1952941176470588</v>
      </c>
      <c r="N16" s="13">
        <f>IF('Données projet'!$A$36&gt;35,N15+M16-V15,IF(A16&lt;'Données projet'!$A$36,$K$205^A16,IF(A16='Données projet'!$A$36,'Données projet'!$B$36,N15+M16-V15)))</f>
        <v>39.474950722834407</v>
      </c>
      <c r="O16" s="13">
        <f>N16*VLOOKUP('Données projet'!$B$9,Paramètres!$A$1:$I$89,3,0)*VLOOKUP('Données projet'!$B$9,Paramètres!$A$1:$I$89,5,0)</f>
        <v>23.606020532254977</v>
      </c>
      <c r="P16" s="13">
        <f t="shared" si="33"/>
        <v>7.5293067975293804</v>
      </c>
      <c r="Q16" s="20">
        <f t="shared" si="2"/>
        <v>54.227361766041078</v>
      </c>
      <c r="R16" s="59">
        <f t="shared" si="0"/>
        <v>347.56069509937441</v>
      </c>
      <c r="S16" s="59">
        <f ca="1">AVERAGE(OFFSET($R$3,0,0,'Données projet'!$E$9+1,1))-AVERAGE(OFFSET($H$3,0,0,'Données projet'!$E$9+1,1))</f>
        <v>212.70058550761718</v>
      </c>
      <c r="T16" s="59">
        <f t="shared" si="34"/>
        <v>208.28274083874896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3.7179487179487181</v>
      </c>
      <c r="AI16" s="13">
        <f>IF('Données projet'!$A$62&gt;35,AI15+AH16-AQ15,IF(A16&lt;'Données projet'!$A$62,$AF$205^A16,IF(A16='Données projet'!$A$62,'Données projet'!$B$62,AI15+AH16-AQ15)))</f>
        <v>22.692307692307693</v>
      </c>
      <c r="AJ16" s="13">
        <f>AI16*VLOOKUP('Données projet'!$B$10,Paramètres!$A$1:$I$89,3,0)*VLOOKUP('Données projet'!$B$10,Paramètres!$A$1:$I$89,5,0)</f>
        <v>19.824000000000002</v>
      </c>
      <c r="AK16" s="13">
        <f t="shared" si="35"/>
        <v>6.4528309524329259</v>
      </c>
      <c r="AL16" s="20">
        <f t="shared" si="4"/>
        <v>45.765480575487345</v>
      </c>
      <c r="AM16" s="59">
        <f t="shared" si="5"/>
        <v>339.09881390882066</v>
      </c>
      <c r="AN16" s="59">
        <f ca="1">AVERAGE(OFFSET($AM$3,0,0,'Données projet'!$E$10+1,1))-AVERAGE(OFFSET($H$3,0,0,'Données projet'!$E$10+1,1))</f>
        <v>74.715815024475376</v>
      </c>
      <c r="AO16" s="59">
        <f t="shared" si="36"/>
        <v>87.801612218507501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7.1952941176470588</v>
      </c>
      <c r="N17" s="13">
        <f>IF('Données projet'!$A$36&gt;35,N16+M17-V16,IF(A17&lt;'Données projet'!$A$36,$K$205^A17,IF(A17='Données projet'!$A$36,'Données projet'!$B$36,N16+M17-V16)))</f>
        <v>52.373978489724536</v>
      </c>
      <c r="O17" s="13">
        <f>N17*VLOOKUP('Données projet'!$B$9,Paramètres!$A$1:$I$89,3,0)*VLOOKUP('Données projet'!$B$9,Paramètres!$A$1:$I$89,5,0)</f>
        <v>31.319639136855276</v>
      </c>
      <c r="P17" s="13">
        <f t="shared" si="33"/>
        <v>9.6661992876148126</v>
      </c>
      <c r="Q17" s="20">
        <f t="shared" si="2"/>
        <v>71.383668589285392</v>
      </c>
      <c r="R17" s="59">
        <f t="shared" si="0"/>
        <v>364.71700192261869</v>
      </c>
      <c r="S17" s="59">
        <f ca="1">AVERAGE(OFFSET($R$3,0,0,'Données projet'!$E$9+1,1))-AVERAGE(OFFSET($H$3,0,0,'Données projet'!$E$9+1,1))</f>
        <v>212.70058550761718</v>
      </c>
      <c r="T17" s="59">
        <f t="shared" si="34"/>
        <v>208.28274083874896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3.7179487179487181</v>
      </c>
      <c r="AI17" s="13">
        <f>IF('Données projet'!$A$62&gt;35,AI16+AH17-AQ16,IF(A17&lt;'Données projet'!$A$62,$AF$205^A17,IF(A17='Données projet'!$A$62,'Données projet'!$B$62,AI16+AH17-AQ16)))</f>
        <v>26.410256410256412</v>
      </c>
      <c r="AJ17" s="13">
        <f>AI17*VLOOKUP('Données projet'!$B$10,Paramètres!$A$1:$I$89,3,0)*VLOOKUP('Données projet'!$B$10,Paramètres!$A$1:$I$89,5,0)</f>
        <v>23.072000000000006</v>
      </c>
      <c r="AK17" s="13">
        <f t="shared" si="35"/>
        <v>7.3786037054639166</v>
      </c>
      <c r="AL17" s="20">
        <f t="shared" si="4"/>
        <v>53.034801453682995</v>
      </c>
      <c r="AM17" s="59">
        <f t="shared" si="5"/>
        <v>346.36813478701629</v>
      </c>
      <c r="AN17" s="59">
        <f ca="1">AVERAGE(OFFSET($AM$3,0,0,'Données projet'!$E$10+1,1))-AVERAGE(OFFSET($H$3,0,0,'Données projet'!$E$10+1,1))</f>
        <v>74.715815024475376</v>
      </c>
      <c r="AO17" s="59">
        <f t="shared" si="36"/>
        <v>87.801612218507501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7.1952941176470588</v>
      </c>
      <c r="N18" s="13">
        <f>IF('Données projet'!$A$36&gt;35,N17+M18-V17,IF(A18&lt;'Données projet'!$A$36,$K$205^A18,IF(A18='Données projet'!$A$36,'Données projet'!$B$36,N17+M18-V17)))</f>
        <v>69.487955592441367</v>
      </c>
      <c r="O18" s="13">
        <f>N18*VLOOKUP('Données projet'!$B$9,Paramètres!$A$1:$I$89,3,0)*VLOOKUP('Données projet'!$B$9,Paramètres!$A$1:$I$89,5,0)</f>
        <v>41.553797444279937</v>
      </c>
      <c r="P18" s="13">
        <f t="shared" si="33"/>
        <v>12.409563214842624</v>
      </c>
      <c r="Q18" s="20">
        <f t="shared" si="2"/>
        <v>93.986186481305097</v>
      </c>
      <c r="R18" s="59">
        <f t="shared" si="0"/>
        <v>387.3195198146384</v>
      </c>
      <c r="S18" s="59">
        <f ca="1">AVERAGE(OFFSET($R$3,0,0,'Données projet'!$E$9+1,1))-AVERAGE(OFFSET($H$3,0,0,'Données projet'!$E$9+1,1))</f>
        <v>212.70058550761718</v>
      </c>
      <c r="T18" s="59">
        <f t="shared" si="34"/>
        <v>208.28274083874896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30.128205128205128</v>
      </c>
      <c r="AG18" s="12">
        <f>VLOOKUP(A18,'Données projet'!$A$61:$I$81,9,0)</f>
        <v>3.7179487179487181</v>
      </c>
      <c r="AH18" s="12">
        <f t="array" ref="AH18">INDEX(AG:AG,MIN(IF(ISNUMBER(AG18:AG214),ROW(AG18:AG214),"")))</f>
        <v>3.7179487179487181</v>
      </c>
      <c r="AI18" s="13">
        <f>IF('Données projet'!$A$62&gt;35,AI17+AH18-AQ17,IF(A18&lt;'Données projet'!$A$62,$AF$205^A18,IF(A18='Données projet'!$A$62,'Données projet'!$B$62,AI17+AH18-AQ17)))</f>
        <v>30.128205128205131</v>
      </c>
      <c r="AJ18" s="13">
        <f>AI18*VLOOKUP('Données projet'!$B$10,Paramètres!$A$1:$I$89,3,0)*VLOOKUP('Données projet'!$B$10,Paramètres!$A$1:$I$89,5,0)</f>
        <v>26.320000000000007</v>
      </c>
      <c r="AK18" s="13">
        <f t="shared" si="35"/>
        <v>8.2892773865445566</v>
      </c>
      <c r="AL18" s="20">
        <f t="shared" si="4"/>
        <v>60.277824781565108</v>
      </c>
      <c r="AM18" s="59">
        <f t="shared" si="5"/>
        <v>353.61115811489844</v>
      </c>
      <c r="AN18" s="59">
        <f ca="1">AVERAGE(OFFSET($AM$3,0,0,'Données projet'!$E$10+1,1))-AVERAGE(OFFSET($H$3,0,0,'Données projet'!$E$10+1,1))</f>
        <v>74.715815024475376</v>
      </c>
      <c r="AO18" s="59">
        <f t="shared" si="36"/>
        <v>87.801612218507501</v>
      </c>
      <c r="AP18" s="15">
        <f>IF(ISNA(VLOOKUP(A18,'Données projet'!$A$61:$I$81,3,0)),0,VLOOKUP(A18,'Données projet'!$A$61:$I$81,3,0))</f>
        <v>2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0.215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7.1952941176470588</v>
      </c>
      <c r="N19" s="13">
        <f>IF('Données projet'!$A$36&gt;35,N18+M19-V18,IF(A19&lt;'Données projet'!$A$36,$K$205^A19,IF(A19='Données projet'!$A$36,'Données projet'!$B$36,N18+M19-V18)))</f>
        <v>92.194179469570756</v>
      </c>
      <c r="O19" s="13">
        <f>N19*VLOOKUP('Données projet'!$B$9,Paramètres!$A$1:$I$89,3,0)*VLOOKUP('Données projet'!$B$9,Paramètres!$A$1:$I$89,5,0)</f>
        <v>55.13211932280332</v>
      </c>
      <c r="P19" s="13">
        <f t="shared" si="33"/>
        <v>15.931521231978957</v>
      </c>
      <c r="Q19" s="20">
        <f t="shared" si="2"/>
        <v>123.76917396624582</v>
      </c>
      <c r="R19" s="59">
        <f t="shared" si="0"/>
        <v>417.10250729957914</v>
      </c>
      <c r="S19" s="59">
        <f ca="1">AVERAGE(OFFSET($R$3,0,0,'Données projet'!$E$9+1,1))-AVERAGE(OFFSET($H$3,0,0,'Données projet'!$E$9+1,1))</f>
        <v>212.70058550761718</v>
      </c>
      <c r="T19" s="59">
        <f t="shared" si="34"/>
        <v>208.28274083874896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5.128205128205126</v>
      </c>
      <c r="AI19" s="13">
        <f>IF('Données projet'!$A$62&gt;35,AI18+AH19-AQ18,IF(A19&lt;'Données projet'!$A$62,$AF$205^A19,IF(A19='Données projet'!$A$62,'Données projet'!$B$62,AI18+AH19-AQ18)))</f>
        <v>35.256410256410255</v>
      </c>
      <c r="AJ19" s="13">
        <f>AI19*VLOOKUP('Données projet'!$B$10,Paramètres!$A$1:$I$89,3,0)*VLOOKUP('Données projet'!$B$10,Paramètres!$A$1:$I$89,5,0)</f>
        <v>30.8</v>
      </c>
      <c r="AK19" s="13">
        <f t="shared" si="35"/>
        <v>9.5243528844642995</v>
      </c>
      <c r="AL19" s="20">
        <f t="shared" si="4"/>
        <v>70.231581273775319</v>
      </c>
      <c r="AM19" s="59">
        <f t="shared" si="5"/>
        <v>363.56491460710862</v>
      </c>
      <c r="AN19" s="59">
        <f ca="1">AVERAGE(OFFSET($AM$3,0,0,'Données projet'!$E$10+1,1))-AVERAGE(OFFSET($H$3,0,0,'Données projet'!$E$10+1,1))</f>
        <v>74.715815024475376</v>
      </c>
      <c r="AO19" s="59">
        <f t="shared" si="36"/>
        <v>87.801612218507501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122.32</v>
      </c>
      <c r="L20" s="12">
        <f>VLOOKUP(A20,'Données projet'!$A$35:$I$55,9,0)</f>
        <v>7.1952941176470588</v>
      </c>
      <c r="M20" s="12">
        <f t="array" ref="M20">INDEX(L:L,MIN(IF(ISNUMBER(L20:L216),ROW(L20:L216),"")))</f>
        <v>7.1952941176470588</v>
      </c>
      <c r="N20" s="13">
        <f>IF('Données projet'!$A$36&gt;35,N19+M20-V19,IF(A20&lt;'Données projet'!$A$36,$K$205^A20,IF(A20='Données projet'!$A$36,'Données projet'!$B$36,N19+M20-V19)))</f>
        <v>122.32</v>
      </c>
      <c r="O20" s="13">
        <f>N20*VLOOKUP('Données projet'!$B$9,Paramètres!$A$1:$I$89,3,0)*VLOOKUP('Données projet'!$B$9,Paramètres!$A$1:$I$89,5,0)</f>
        <v>73.147360000000006</v>
      </c>
      <c r="P20" s="13">
        <f t="shared" si="33"/>
        <v>20.453046120222783</v>
      </c>
      <c r="Q20" s="20">
        <f t="shared" si="2"/>
        <v>163.02070732605469</v>
      </c>
      <c r="R20" s="59">
        <f t="shared" si="0"/>
        <v>456.35404065938803</v>
      </c>
      <c r="S20" s="59">
        <f ca="1">AVERAGE(OFFSET($R$3,0,0,'Données projet'!$E$9+1,1))-AVERAGE(OFFSET($H$3,0,0,'Données projet'!$E$9+1,1))</f>
        <v>212.70058550761718</v>
      </c>
      <c r="T20" s="59">
        <f t="shared" si="34"/>
        <v>208.28274083874896</v>
      </c>
      <c r="U20" s="15">
        <f>IF(ISNA(VLOOKUP(A20,'Données projet'!$A$35:$I$55,3,0)),0,VLOOKUP(A20,'Données projet'!$A$35:$I$55,3,0))</f>
        <v>1</v>
      </c>
      <c r="V20" s="15">
        <f>IF(ISNA(VLOOKUP(A20,'Données projet'!$A$35:$I$55,4,0)),0,VLOOKUP(A20,'Données projet'!$A$35:$I$55,4,0))</f>
        <v>40.76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0.45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14.49315281448583</v>
      </c>
      <c r="AB20" s="21">
        <f>EXP(-LN(2)/2)*AB19+(1-EXP(-LN(2)/2))/(LN(2)/2)*V20*Y20*VLOOKUP('Données projet'!$B$9,Paramètres!$A$1:$I$89,3,0)*0.475*44/12</f>
        <v>0</v>
      </c>
      <c r="AC20" s="22">
        <f t="shared" si="3"/>
        <v>14.49315281448583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5.128205128205126</v>
      </c>
      <c r="AI20" s="13">
        <f>IF('Données projet'!$A$62&gt;35,AI19+AH20-AQ19,IF(A20&lt;'Données projet'!$A$62,$AF$205^A20,IF(A20='Données projet'!$A$62,'Données projet'!$B$62,AI19+AH20-AQ19)))</f>
        <v>40.38461538461538</v>
      </c>
      <c r="AJ20" s="13">
        <f>AI20*VLOOKUP('Données projet'!$B$10,Paramètres!$A$1:$I$89,3,0)*VLOOKUP('Données projet'!$B$10,Paramètres!$A$1:$I$89,5,0)</f>
        <v>35.28</v>
      </c>
      <c r="AK20" s="13">
        <f t="shared" si="35"/>
        <v>10.73861605494538</v>
      </c>
      <c r="AL20" s="20">
        <f t="shared" si="4"/>
        <v>80.149089629029859</v>
      </c>
      <c r="AM20" s="59">
        <f t="shared" si="5"/>
        <v>373.48242296236316</v>
      </c>
      <c r="AN20" s="59">
        <f ca="1">AVERAGE(OFFSET($AM$3,0,0,'Données projet'!$E$10+1,1))-AVERAGE(OFFSET($H$3,0,0,'Données projet'!$E$10+1,1))</f>
        <v>74.715815024475376</v>
      </c>
      <c r="AO20" s="59">
        <f t="shared" si="36"/>
        <v>87.801612218507501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17.686666666666667</v>
      </c>
      <c r="N21" s="13">
        <f>IF('Données projet'!$A$36&gt;35,N20+M21-V20,IF(A21&lt;'Données projet'!$A$36,$K$205^A21,IF(A21='Données projet'!$A$36,'Données projet'!$B$36,N20+M21-V20)))</f>
        <v>99.24666666666667</v>
      </c>
      <c r="O21" s="13">
        <f>N21*VLOOKUP('Données projet'!$B$9,Paramètres!$A$1:$I$89,3,0)*VLOOKUP('Données projet'!$B$9,Paramètres!$A$1:$I$89,5,0)</f>
        <v>59.34950666666667</v>
      </c>
      <c r="P21" s="13">
        <f t="shared" si="33"/>
        <v>17.003699693551216</v>
      </c>
      <c r="Q21" s="20">
        <f t="shared" si="2"/>
        <v>132.98183441071282</v>
      </c>
      <c r="R21" s="59">
        <f t="shared" si="0"/>
        <v>426.31516774404611</v>
      </c>
      <c r="S21" s="59">
        <f ca="1">AVERAGE(OFFSET($R$3,0,0,'Données projet'!$E$9+1,1))-AVERAGE(OFFSET($H$3,0,0,'Données projet'!$E$9+1,1))</f>
        <v>212.70058550761718</v>
      </c>
      <c r="T21" s="59">
        <f t="shared" si="34"/>
        <v>208.28274083874896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14.096836788611933</v>
      </c>
      <c r="AB21" s="21">
        <f>EXP(-LN(2)/2)*AB20+(1-EXP(-LN(2)/2))/(LN(2)/2)*V21*Y21*VLOOKUP('Données projet'!$B$9,Paramètres!$A$1:$I$89,3,0)*0.475*44/12</f>
        <v>0</v>
      </c>
      <c r="AC21" s="22">
        <f t="shared" si="3"/>
        <v>14.096836788611933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5.128205128205126</v>
      </c>
      <c r="AI21" s="13">
        <f>IF('Données projet'!$A$62&gt;35,AI20+AH21-AQ20,IF(A21&lt;'Données projet'!$A$62,$AF$205^A21,IF(A21='Données projet'!$A$62,'Données projet'!$B$62,AI20+AH21-AQ20)))</f>
        <v>45.512820512820504</v>
      </c>
      <c r="AJ21" s="13">
        <f>AI21*VLOOKUP('Données projet'!$B$10,Paramètres!$A$1:$I$89,3,0)*VLOOKUP('Données projet'!$B$10,Paramètres!$A$1:$I$89,5,0)</f>
        <v>39.76</v>
      </c>
      <c r="AK21" s="13">
        <f t="shared" si="35"/>
        <v>11.935012617180398</v>
      </c>
      <c r="AL21" s="20">
        <f t="shared" si="4"/>
        <v>90.035480308255856</v>
      </c>
      <c r="AM21" s="59">
        <f t="shared" si="5"/>
        <v>383.36881364158916</v>
      </c>
      <c r="AN21" s="59">
        <f ca="1">AVERAGE(OFFSET($AM$3,0,0,'Données projet'!$E$10+1,1))-AVERAGE(OFFSET($H$3,0,0,'Données projet'!$E$10+1,1))</f>
        <v>74.715815024475376</v>
      </c>
      <c r="AO21" s="59">
        <f t="shared" si="36"/>
        <v>87.801612218507501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17.686666666666667</v>
      </c>
      <c r="N22" s="13">
        <f>IF('Données projet'!$A$36&gt;35,N21+M22-V21,IF(A22&lt;'Données projet'!$A$36,$K$205^A22,IF(A22='Données projet'!$A$36,'Données projet'!$B$36,N21+M22-V21)))</f>
        <v>116.93333333333334</v>
      </c>
      <c r="O22" s="13">
        <f>N22*VLOOKUP('Données projet'!$B$9,Paramètres!$A$1:$I$89,3,0)*VLOOKUP('Données projet'!$B$9,Paramètres!$A$1:$I$89,5,0)</f>
        <v>69.92613333333334</v>
      </c>
      <c r="P22" s="13">
        <f t="shared" si="33"/>
        <v>19.655112747639016</v>
      </c>
      <c r="Q22" s="20">
        <f t="shared" si="2"/>
        <v>156.02067025769352</v>
      </c>
      <c r="R22" s="59">
        <f t="shared" si="0"/>
        <v>449.35400359102687</v>
      </c>
      <c r="S22" s="59">
        <f ca="1">AVERAGE(OFFSET($R$3,0,0,'Données projet'!$E$9+1,1))-AVERAGE(OFFSET($H$3,0,0,'Données projet'!$E$9+1,1))</f>
        <v>212.70058550761718</v>
      </c>
      <c r="T22" s="59">
        <f t="shared" si="34"/>
        <v>208.28274083874896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13.711358045306911</v>
      </c>
      <c r="AB22" s="21">
        <f>EXP(-LN(2)/2)*AB21+(1-EXP(-LN(2)/2))/(LN(2)/2)*V22*Y22*VLOOKUP('Données projet'!$B$9,Paramètres!$A$1:$I$89,3,0)*0.475*44/12</f>
        <v>0</v>
      </c>
      <c r="AC22" s="22">
        <f t="shared" si="3"/>
        <v>13.711358045306911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5.128205128205126</v>
      </c>
      <c r="AI22" s="13">
        <f>IF('Données projet'!$A$62&gt;35,AI21+AH22-AQ21,IF(A22&lt;'Données projet'!$A$62,$AF$205^A22,IF(A22='Données projet'!$A$62,'Données projet'!$B$62,AI21+AH22-AQ21)))</f>
        <v>50.641025641025628</v>
      </c>
      <c r="AJ22" s="13">
        <f>AI22*VLOOKUP('Données projet'!$B$10,Paramètres!$A$1:$I$89,3,0)*VLOOKUP('Données projet'!$B$10,Paramètres!$A$1:$I$89,5,0)</f>
        <v>44.239999999999995</v>
      </c>
      <c r="AK22" s="13">
        <f t="shared" si="35"/>
        <v>13.1157854377925</v>
      </c>
      <c r="AL22" s="20">
        <f t="shared" si="4"/>
        <v>99.894659637488587</v>
      </c>
      <c r="AM22" s="59">
        <f t="shared" si="5"/>
        <v>393.2279929708219</v>
      </c>
      <c r="AN22" s="59">
        <f ca="1">AVERAGE(OFFSET($AM$3,0,0,'Données projet'!$E$10+1,1))-AVERAGE(OFFSET($H$3,0,0,'Données projet'!$E$10+1,1))</f>
        <v>74.715815024475376</v>
      </c>
      <c r="AO22" s="59">
        <f t="shared" si="36"/>
        <v>87.801612218507501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17.686666666666667</v>
      </c>
      <c r="N23" s="13">
        <f>IF('Données projet'!$A$36&gt;35,N22+M23-V22,IF(A23&lt;'Données projet'!$A$36,$K$205^A23,IF(A23='Données projet'!$A$36,'Données projet'!$B$36,N22+M23-V22)))</f>
        <v>134.62</v>
      </c>
      <c r="O23" s="13">
        <f>N23*VLOOKUP('Données projet'!$B$9,Paramètres!$A$1:$I$89,3,0)*VLOOKUP('Données projet'!$B$9,Paramètres!$A$1:$I$89,5,0)</f>
        <v>80.502760000000009</v>
      </c>
      <c r="P23" s="13">
        <f t="shared" si="33"/>
        <v>22.260066705482632</v>
      </c>
      <c r="Q23" s="20">
        <f t="shared" si="2"/>
        <v>178.97858984538223</v>
      </c>
      <c r="R23" s="59">
        <f t="shared" si="0"/>
        <v>472.31192317871557</v>
      </c>
      <c r="S23" s="59">
        <f ca="1">AVERAGE(OFFSET($R$3,0,0,'Données projet'!$E$9+1,1))-AVERAGE(OFFSET($H$3,0,0,'Données projet'!$E$9+1,1))</f>
        <v>212.70058550761718</v>
      </c>
      <c r="T23" s="59">
        <f t="shared" si="34"/>
        <v>208.28274083874896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13.336420238509012</v>
      </c>
      <c r="AB23" s="21">
        <f>EXP(-LN(2)/2)*AB22+(1-EXP(-LN(2)/2))/(LN(2)/2)*V23*Y23*VLOOKUP('Données projet'!$B$9,Paramètres!$A$1:$I$89,3,0)*0.475*44/12</f>
        <v>0</v>
      </c>
      <c r="AC23" s="22">
        <f t="shared" si="3"/>
        <v>13.336420238509012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55.769230769230759</v>
      </c>
      <c r="AG23" s="12">
        <f>VLOOKUP(A23,'Données projet'!$A$61:$I$81,9,0)</f>
        <v>5.128205128205126</v>
      </c>
      <c r="AH23" s="12">
        <f t="array" ref="AH23">INDEX(AG:AG,MIN(IF(ISNUMBER(AG23:AG219),ROW(AG23:AG219),"")))</f>
        <v>5.128205128205126</v>
      </c>
      <c r="AI23" s="13">
        <f>IF('Données projet'!$A$62&gt;35,AI22+AH23-AQ22,IF(A23&lt;'Données projet'!$A$62,$AF$205^A23,IF(A23='Données projet'!$A$62,'Données projet'!$B$62,AI22+AH23-AQ22)))</f>
        <v>55.769230769230752</v>
      </c>
      <c r="AJ23" s="13">
        <f>AI23*VLOOKUP('Données projet'!$B$10,Paramètres!$A$1:$I$89,3,0)*VLOOKUP('Données projet'!$B$10,Paramètres!$A$1:$I$89,5,0)</f>
        <v>48.719999999999992</v>
      </c>
      <c r="AK23" s="13">
        <f t="shared" si="35"/>
        <v>14.282696808795901</v>
      </c>
      <c r="AL23" s="20">
        <f t="shared" si="4"/>
        <v>109.72969694198616</v>
      </c>
      <c r="AM23" s="59">
        <f t="shared" si="5"/>
        <v>403.06303027531948</v>
      </c>
      <c r="AN23" s="59">
        <f ca="1">AVERAGE(OFFSET($AM$3,0,0,'Données projet'!$E$10+1,1))-AVERAGE(OFFSET($H$3,0,0,'Données projet'!$E$10+1,1))</f>
        <v>74.715815024475376</v>
      </c>
      <c r="AO23" s="59">
        <f t="shared" si="36"/>
        <v>87.801612218507501</v>
      </c>
      <c r="AP23" s="15">
        <f>IF(ISNA(VLOOKUP(A23,'Données projet'!$A$61:$I$81,3,0)),0,VLOOKUP(A23,'Données projet'!$A$61:$I$81,3,0))</f>
        <v>3</v>
      </c>
      <c r="AQ23" s="15">
        <f>IF(ISNA(VLOOKUP(A23,'Données projet'!$A$61:$I$81,4,0)),0,VLOOKUP(A23,'Données projet'!$A$61:$I$81,4,0))</f>
        <v>18.589743589743588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0.215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3.8446626361501948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3.8446626361501948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17.686666666666667</v>
      </c>
      <c r="N24" s="13">
        <f>IF('Données projet'!$A$36&gt;35,N23+M24-V23,IF(A24&lt;'Données projet'!$A$36,$K$205^A24,IF(A24='Données projet'!$A$36,'Données projet'!$B$36,N23+M24-V23)))</f>
        <v>152.30666666666667</v>
      </c>
      <c r="O24" s="13">
        <f>N24*VLOOKUP('Données projet'!$B$9,Paramètres!$A$1:$I$89,3,0)*VLOOKUP('Données projet'!$B$9,Paramètres!$A$1:$I$89,5,0)</f>
        <v>91.079386666666679</v>
      </c>
      <c r="P24" s="13">
        <f t="shared" si="33"/>
        <v>24.825366166504242</v>
      </c>
      <c r="Q24" s="20">
        <f t="shared" si="2"/>
        <v>201.8674445177727</v>
      </c>
      <c r="R24" s="59">
        <f t="shared" si="0"/>
        <v>495.20077785110601</v>
      </c>
      <c r="S24" s="59">
        <f ca="1">AVERAGE(OFFSET($R$3,0,0,'Données projet'!$E$9+1,1))-AVERAGE(OFFSET($H$3,0,0,'Données projet'!$E$9+1,1))</f>
        <v>212.70058550761718</v>
      </c>
      <c r="T24" s="59">
        <f t="shared" si="34"/>
        <v>208.28274083874896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12.971735125755124</v>
      </c>
      <c r="AB24" s="21">
        <f>EXP(-LN(2)/2)*AB23+(1-EXP(-LN(2)/2))/(LN(2)/2)*V24*Y24*VLOOKUP('Données projet'!$B$9,Paramètres!$A$1:$I$89,3,0)*0.475*44/12</f>
        <v>0</v>
      </c>
      <c r="AC24" s="22">
        <f t="shared" si="3"/>
        <v>12.971735125755124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5.1282051282051295</v>
      </c>
      <c r="AI24" s="13">
        <f>IF('Données projet'!$A$62&gt;35,AI23+AH24-AQ23,IF(A24&lt;'Données projet'!$A$62,$AF$205^A24,IF(A24='Données projet'!$A$62,'Données projet'!$B$62,AI23+AH24-AQ23)))</f>
        <v>42.307692307692292</v>
      </c>
      <c r="AJ24" s="13">
        <f>AI24*VLOOKUP('Données projet'!$B$10,Paramètres!$A$1:$I$89,3,0)*VLOOKUP('Données projet'!$B$10,Paramètres!$A$1:$I$89,5,0)</f>
        <v>36.959999999999994</v>
      </c>
      <c r="AK24" s="13">
        <f t="shared" si="35"/>
        <v>11.189225514592351</v>
      </c>
      <c r="AL24" s="20">
        <f t="shared" si="4"/>
        <v>83.859901104581667</v>
      </c>
      <c r="AM24" s="59">
        <f t="shared" si="5"/>
        <v>377.19323443791495</v>
      </c>
      <c r="AN24" s="59">
        <f ca="1">AVERAGE(OFFSET($AM$3,0,0,'Données projet'!$E$10+1,1))-AVERAGE(OFFSET($H$3,0,0,'Données projet'!$E$10+1,1))</f>
        <v>74.715815024475376</v>
      </c>
      <c r="AO24" s="59">
        <f t="shared" si="36"/>
        <v>87.801612218507501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3.7395301341826466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3.7395301341826466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17.686666666666667</v>
      </c>
      <c r="N25" s="13">
        <f>IF('Données projet'!$A$36&gt;35,N24+M25-V24,IF(A25&lt;'Données projet'!$A$36,$K$205^A25,IF(A25='Données projet'!$A$36,'Données projet'!$B$36,N24+M25-V24)))</f>
        <v>169.99333333333334</v>
      </c>
      <c r="O25" s="13">
        <f>N25*VLOOKUP('Données projet'!$B$9,Paramètres!$A$1:$I$89,3,0)*VLOOKUP('Données projet'!$B$9,Paramètres!$A$1:$I$89,5,0)</f>
        <v>101.65601333333333</v>
      </c>
      <c r="P25" s="13">
        <f t="shared" si="33"/>
        <v>27.356141971554642</v>
      </c>
      <c r="Q25" s="20">
        <f t="shared" si="2"/>
        <v>224.6961704893466</v>
      </c>
      <c r="R25" s="59">
        <f t="shared" si="0"/>
        <v>518.02950382267989</v>
      </c>
      <c r="S25" s="59">
        <f ca="1">AVERAGE(OFFSET($R$3,0,0,'Données projet'!$E$9+1,1))-AVERAGE(OFFSET($H$3,0,0,'Données projet'!$E$9+1,1))</f>
        <v>212.70058550761718</v>
      </c>
      <c r="T25" s="59">
        <f t="shared" si="34"/>
        <v>208.28274083874896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12.617022346587447</v>
      </c>
      <c r="AB25" s="21">
        <f>EXP(-LN(2)/2)*AB24+(1-EXP(-LN(2)/2))/(LN(2)/2)*V25*Y25*VLOOKUP('Données projet'!$B$9,Paramètres!$A$1:$I$89,3,0)*0.475*44/12</f>
        <v>0</v>
      </c>
      <c r="AC25" s="22">
        <f t="shared" si="3"/>
        <v>12.617022346587447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5.1282051282051295</v>
      </c>
      <c r="AI25" s="13">
        <f>IF('Données projet'!$A$62&gt;35,AI24+AH25-AQ24,IF(A25&lt;'Données projet'!$A$62,$AF$205^A25,IF(A25='Données projet'!$A$62,'Données projet'!$B$62,AI24+AH25-AQ24)))</f>
        <v>47.435897435897424</v>
      </c>
      <c r="AJ25" s="13">
        <f>AI25*VLOOKUP('Données projet'!$B$10,Paramètres!$A$1:$I$89,3,0)*VLOOKUP('Données projet'!$B$10,Paramètres!$A$1:$I$89,5,0)</f>
        <v>41.439999999999991</v>
      </c>
      <c r="AK25" s="13">
        <f t="shared" si="35"/>
        <v>12.379529899388185</v>
      </c>
      <c r="AL25" s="20">
        <f t="shared" si="4"/>
        <v>93.735681241434392</v>
      </c>
      <c r="AM25" s="59">
        <f t="shared" si="5"/>
        <v>387.06901457476772</v>
      </c>
      <c r="AN25" s="59">
        <f ca="1">AVERAGE(OFFSET($AM$3,0,0,'Données projet'!$E$10+1,1))-AVERAGE(OFFSET($H$3,0,0,'Données projet'!$E$10+1,1))</f>
        <v>74.715815024475376</v>
      </c>
      <c r="AO25" s="59">
        <f t="shared" si="36"/>
        <v>87.801612218507501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3.6372724860100791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3.6372724860100791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187.68</v>
      </c>
      <c r="L26" s="12">
        <f>VLOOKUP(A26,'Données projet'!$A$35:$I$55,9,0)</f>
        <v>17.686666666666667</v>
      </c>
      <c r="M26" s="12">
        <f t="array" ref="M26">INDEX(L:L,MIN(IF(ISNUMBER(L26:L222),ROW(L26:L222),"")))</f>
        <v>17.686666666666667</v>
      </c>
      <c r="N26" s="13">
        <f>IF('Données projet'!$A$36&gt;35,N25+M26-V25,IF(A26&lt;'Données projet'!$A$36,$K$205^A26,IF(A26='Données projet'!$A$36,'Données projet'!$B$36,N25+M26-V25)))</f>
        <v>187.68</v>
      </c>
      <c r="O26" s="13">
        <f>N26*VLOOKUP('Données projet'!$B$9,Paramètres!$A$1:$I$89,3,0)*VLOOKUP('Données projet'!$B$9,Paramètres!$A$1:$I$89,5,0)</f>
        <v>112.23264000000002</v>
      </c>
      <c r="P26" s="13">
        <f t="shared" si="33"/>
        <v>29.85639523393861</v>
      </c>
      <c r="Q26" s="20">
        <f t="shared" si="2"/>
        <v>247.47173636577645</v>
      </c>
      <c r="R26" s="59">
        <f t="shared" si="0"/>
        <v>540.80506969910971</v>
      </c>
      <c r="S26" s="59">
        <f ca="1">AVERAGE(OFFSET($R$3,0,0,'Données projet'!$E$9+1,1))-AVERAGE(OFFSET($H$3,0,0,'Données projet'!$E$9+1,1))</f>
        <v>212.70058550761718</v>
      </c>
      <c r="T26" s="59">
        <f t="shared" si="34"/>
        <v>208.28274083874896</v>
      </c>
      <c r="U26" s="15">
        <f>IF(ISNA(VLOOKUP(A26,'Données projet'!$A$35:$I$55,3,0)),0,VLOOKUP(A26,'Données projet'!$A$35:$I$55,3,0))</f>
        <v>2</v>
      </c>
      <c r="V26" s="15">
        <f>IF(ISNA(VLOOKUP(A26,'Données projet'!$A$35:$I$55,4,0)),0,VLOOKUP(A26,'Données projet'!$A$35:$I$55,4,0))</f>
        <v>57.75</v>
      </c>
      <c r="W26" s="16">
        <f>IF(ISNA(VLOOKUP(A26,'Données projet'!$A$35:$I$55,5,0)),0%,VLOOKUP(A26,'Données projet'!$A$35:$I$55,5,0)*VLOOKUP('Données projet'!$B$9,Paramètres!$A$1:$I$89,7,0))</f>
        <v>4.5000000000000005E-2</v>
      </c>
      <c r="X26" s="16">
        <f>IF(ISNA(VLOOKUP(A26,'Données projet'!$A$35:$I$55,6,0)),0%,VLOOKUP(A26,'Données projet'!$A$35:$I$55,6,0)*VLOOKUP('Données projet'!$B$9,Paramètres!$A$1:$I$89,7,0))</f>
        <v>0.36000000000000004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2.0615508083869565</v>
      </c>
      <c r="AA26" s="21">
        <f>EXP(-LN(2)/25)*AA25+(1-EXP(-LN(2)/25))/(LN(2)/25)*Calculateur!V26*Calculateur!X26*VLOOKUP('Données projet'!$B$9,Paramètres!$A$1:$I$89,3,0)*0.475*44/12</f>
        <v>28.699478785754813</v>
      </c>
      <c r="AB26" s="21">
        <f>EXP(-LN(2)/2)*AB25+(1-EXP(-LN(2)/2))/(LN(2)/2)*V26*Y26*VLOOKUP('Données projet'!$B$9,Paramètres!$A$1:$I$89,3,0)*0.475*44/12</f>
        <v>0</v>
      </c>
      <c r="AC26" s="22">
        <f t="shared" si="3"/>
        <v>30.761029594141771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5.1282051282051295</v>
      </c>
      <c r="AI26" s="13">
        <f>IF('Données projet'!$A$62&gt;35,AI25+AH26-AQ25,IF(A26&lt;'Données projet'!$A$62,$AF$205^A26,IF(A26='Données projet'!$A$62,'Données projet'!$B$62,AI25+AH26-AQ25)))</f>
        <v>52.564102564102555</v>
      </c>
      <c r="AJ26" s="13">
        <f>AI26*VLOOKUP('Données projet'!$B$10,Paramètres!$A$1:$I$89,3,0)*VLOOKUP('Données projet'!$B$10,Paramètres!$A$1:$I$89,5,0)</f>
        <v>45.92</v>
      </c>
      <c r="AK26" s="13">
        <f t="shared" si="35"/>
        <v>13.554918962034838</v>
      </c>
      <c r="AL26" s="20">
        <f t="shared" si="4"/>
        <v>103.58548385887735</v>
      </c>
      <c r="AM26" s="59">
        <f t="shared" si="5"/>
        <v>396.91881719221067</v>
      </c>
      <c r="AN26" s="59">
        <f ca="1">AVERAGE(OFFSET($AM$3,0,0,'Données projet'!$E$10+1,1))-AVERAGE(OFFSET($H$3,0,0,'Données projet'!$E$10+1,1))</f>
        <v>74.715815024475376</v>
      </c>
      <c r="AO26" s="59">
        <f t="shared" si="36"/>
        <v>87.801612218507501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3.5378110786042867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3.5378110786042867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18.613333333333333</v>
      </c>
      <c r="N27" s="13">
        <f>IF('Données projet'!$A$36&gt;35,N26+M27-V26,IF(A27&lt;'Données projet'!$A$36,$K$205^A27,IF(A27='Données projet'!$A$36,'Données projet'!$B$36,N26+M27-V26)))</f>
        <v>148.54333333333335</v>
      </c>
      <c r="O27" s="13">
        <f>N27*VLOOKUP('Données projet'!$B$9,Paramètres!$A$1:$I$89,3,0)*VLOOKUP('Données projet'!$B$9,Paramètres!$A$1:$I$89,5,0)</f>
        <v>88.828913333333347</v>
      </c>
      <c r="P27" s="13">
        <f t="shared" si="33"/>
        <v>24.282572155728136</v>
      </c>
      <c r="Q27" s="20">
        <f t="shared" si="2"/>
        <v>197.00250389344876</v>
      </c>
      <c r="R27" s="59">
        <f t="shared" si="0"/>
        <v>490.33583722678208</v>
      </c>
      <c r="S27" s="59">
        <f ca="1">AVERAGE(OFFSET($R$3,0,0,'Données projet'!$E$9+1,1))-AVERAGE(OFFSET($H$3,0,0,'Données projet'!$E$9+1,1))</f>
        <v>212.70058550761718</v>
      </c>
      <c r="T27" s="59">
        <f t="shared" si="34"/>
        <v>208.28274083874896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2.0211250544563213</v>
      </c>
      <c r="AA27" s="21">
        <f>EXP(-LN(2)/25)*AA26+(1-EXP(-LN(2)/25))/(LN(2)/25)*Calculateur!V27*Calculateur!X27*VLOOKUP('Données projet'!$B$9,Paramètres!$A$1:$I$89,3,0)*0.475*44/12</f>
        <v>27.914690029118351</v>
      </c>
      <c r="AB27" s="21">
        <f>EXP(-LN(2)/2)*AB26+(1-EXP(-LN(2)/2))/(LN(2)/2)*V27*Y27*VLOOKUP('Données projet'!$B$9,Paramètres!$A$1:$I$89,3,0)*0.475*44/12</f>
        <v>0</v>
      </c>
      <c r="AC27" s="22">
        <f t="shared" si="3"/>
        <v>29.935815083574671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5.1282051282051295</v>
      </c>
      <c r="AI27" s="13">
        <f>IF('Données projet'!$A$62&gt;35,AI26+AH27-AQ26,IF(A27&lt;'Données projet'!$A$62,$AF$205^A27,IF(A27='Données projet'!$A$62,'Données projet'!$B$62,AI26+AH27-AQ26)))</f>
        <v>57.692307692307686</v>
      </c>
      <c r="AJ27" s="13">
        <f>AI27*VLOOKUP('Données projet'!$B$10,Paramètres!$A$1:$I$89,3,0)*VLOOKUP('Données projet'!$B$10,Paramètres!$A$1:$I$89,5,0)</f>
        <v>50.4</v>
      </c>
      <c r="AK27" s="13">
        <f t="shared" si="35"/>
        <v>14.717013453056426</v>
      </c>
      <c r="AL27" s="20">
        <f t="shared" si="4"/>
        <v>113.41213176407327</v>
      </c>
      <c r="AM27" s="59">
        <f t="shared" si="5"/>
        <v>406.74546509740657</v>
      </c>
      <c r="AN27" s="59">
        <f ca="1">AVERAGE(OFFSET($AM$3,0,0,'Données projet'!$E$10+1,1))-AVERAGE(OFFSET($H$3,0,0,'Données projet'!$E$10+1,1))</f>
        <v>74.715815024475376</v>
      </c>
      <c r="AO27" s="59">
        <f t="shared" si="36"/>
        <v>87.801612218507501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3.4410694486144537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3.4410694486144537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18.613333333333333</v>
      </c>
      <c r="N28" s="13">
        <f>IF('Données projet'!$A$36&gt;35,N27+M28-V27,IF(A28&lt;'Données projet'!$A$36,$K$205^A28,IF(A28='Données projet'!$A$36,'Données projet'!$B$36,N27+M28-V27)))</f>
        <v>167.15666666666669</v>
      </c>
      <c r="O28" s="13">
        <f>N28*VLOOKUP('Données projet'!$B$9,Paramètres!$A$1:$I$89,3,0)*VLOOKUP('Données projet'!$B$9,Paramètres!$A$1:$I$89,5,0)</f>
        <v>99.959686666666684</v>
      </c>
      <c r="P28" s="13">
        <f t="shared" si="33"/>
        <v>26.952393227223038</v>
      </c>
      <c r="Q28" s="20">
        <f t="shared" si="2"/>
        <v>221.03853914852459</v>
      </c>
      <c r="R28" s="59">
        <f t="shared" si="0"/>
        <v>514.37187248185796</v>
      </c>
      <c r="S28" s="59">
        <f ca="1">AVERAGE(OFFSET($R$3,0,0,'Données projet'!$E$9+1,1))-AVERAGE(OFFSET($H$3,0,0,'Données projet'!$E$9+1,1))</f>
        <v>212.70058550761718</v>
      </c>
      <c r="T28" s="59">
        <f t="shared" si="34"/>
        <v>208.28274083874896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1.9814920249029906</v>
      </c>
      <c r="AA28" s="21">
        <f>EXP(-LN(2)/25)*AA27+(1-EXP(-LN(2)/25))/(LN(2)/25)*Calculateur!V28*Calculateur!X28*VLOOKUP('Données projet'!$B$9,Paramètres!$A$1:$I$89,3,0)*0.475*44/12</f>
        <v>27.15136136230236</v>
      </c>
      <c r="AB28" s="21">
        <f>EXP(-LN(2)/2)*AB27+(1-EXP(-LN(2)/2))/(LN(2)/2)*V28*Y28*VLOOKUP('Données projet'!$B$9,Paramètres!$A$1:$I$89,3,0)*0.475*44/12</f>
        <v>0</v>
      </c>
      <c r="AC28" s="22">
        <f t="shared" si="3"/>
        <v>29.132853387205351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62.820512820512818</v>
      </c>
      <c r="AG28" s="12">
        <f>VLOOKUP(A28,'Données projet'!$A$61:$I$81,9,0)</f>
        <v>5.1282051282051295</v>
      </c>
      <c r="AH28" s="12">
        <f t="array" ref="AH28">INDEX(AG:AG,MIN(IF(ISNUMBER(AG28:AG224),ROW(AG28:AG224),"")))</f>
        <v>5.1282051282051295</v>
      </c>
      <c r="AI28" s="13">
        <f>IF('Données projet'!$A$62&gt;35,AI27+AH28-AQ27,IF(A28&lt;'Données projet'!$A$62,$AF$205^A28,IF(A28='Données projet'!$A$62,'Données projet'!$B$62,AI27+AH28-AQ27)))</f>
        <v>62.820512820512818</v>
      </c>
      <c r="AJ28" s="13">
        <f>AI28*VLOOKUP('Données projet'!$B$10,Paramètres!$A$1:$I$89,3,0)*VLOOKUP('Données projet'!$B$10,Paramètres!$A$1:$I$89,5,0)</f>
        <v>54.88000000000001</v>
      </c>
      <c r="AK28" s="13">
        <f t="shared" si="35"/>
        <v>15.867129491049784</v>
      </c>
      <c r="AL28" s="20">
        <f t="shared" si="4"/>
        <v>123.2179171969117</v>
      </c>
      <c r="AM28" s="59">
        <f t="shared" si="5"/>
        <v>416.551250530245</v>
      </c>
      <c r="AN28" s="59">
        <f ca="1">AVERAGE(OFFSET($AM$3,0,0,'Données projet'!$E$10+1,1))-AVERAGE(OFFSET($H$3,0,0,'Données projet'!$E$10+1,1))</f>
        <v>74.715815024475376</v>
      </c>
      <c r="AO28" s="59">
        <f t="shared" si="36"/>
        <v>87.801612218507501</v>
      </c>
      <c r="AP28" s="15">
        <f>IF(ISNA(VLOOKUP(A28,'Données projet'!$A$61:$I$81,3,0)),0,VLOOKUP(A28,'Données projet'!$A$61:$I$81,3,0))</f>
        <v>4</v>
      </c>
      <c r="AQ28" s="15">
        <f>IF(ISNA(VLOOKUP(A28,'Données projet'!$A$61:$I$81,4,0)),0,VLOOKUP(A28,'Données projet'!$A$61:$I$81,4,0))</f>
        <v>12.179487179487179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0.215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5.8658901231307938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5.8658901231307938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18.613333333333333</v>
      </c>
      <c r="N29" s="13">
        <f>IF('Données projet'!$A$36&gt;35,N28+M29-V28,IF(A29&lt;'Données projet'!$A$36,$K$205^A29,IF(A29='Données projet'!$A$36,'Données projet'!$B$36,N28+M29-V28)))</f>
        <v>185.77000000000004</v>
      </c>
      <c r="O29" s="13">
        <f>N29*VLOOKUP('Données projet'!$B$9,Paramètres!$A$1:$I$89,3,0)*VLOOKUP('Données projet'!$B$9,Paramètres!$A$1:$I$89,5,0)</f>
        <v>111.09046000000004</v>
      </c>
      <c r="P29" s="13">
        <f t="shared" si="33"/>
        <v>29.587757766677999</v>
      </c>
      <c r="Q29" s="20">
        <f t="shared" si="2"/>
        <v>245.01456261029759</v>
      </c>
      <c r="R29" s="59">
        <f t="shared" si="0"/>
        <v>538.34789594363087</v>
      </c>
      <c r="S29" s="59">
        <f ca="1">AVERAGE(OFFSET($R$3,0,0,'Données projet'!$E$9+1,1))-AVERAGE(OFFSET($H$3,0,0,'Données projet'!$E$9+1,1))</f>
        <v>212.70058550761718</v>
      </c>
      <c r="T29" s="59">
        <f t="shared" si="34"/>
        <v>208.28274083874896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1.9426361748854397</v>
      </c>
      <c r="AA29" s="21">
        <f>EXP(-LN(2)/25)*AA28+(1-EXP(-LN(2)/25))/(LN(2)/25)*Calculateur!V29*Calculateur!X29*VLOOKUP('Données projet'!$B$9,Paramètres!$A$1:$I$89,3,0)*0.475*44/12</f>
        <v>26.408905958022164</v>
      </c>
      <c r="AB29" s="21">
        <f>EXP(-LN(2)/2)*AB28+(1-EXP(-LN(2)/2))/(LN(2)/2)*V29*Y29*VLOOKUP('Données projet'!$B$9,Paramètres!$A$1:$I$89,3,0)*0.475*44/12</f>
        <v>0</v>
      </c>
      <c r="AC29" s="22">
        <f t="shared" si="3"/>
        <v>28.351542132907603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5.1282051282051295</v>
      </c>
      <c r="AI29" s="13">
        <f>IF('Données projet'!$A$62&gt;35,AI28+AH29-AQ28,IF(A29&lt;'Données projet'!$A$62,$AF$205^A29,IF(A29='Données projet'!$A$62,'Données projet'!$B$62,AI28+AH29-AQ28)))</f>
        <v>55.769230769230759</v>
      </c>
      <c r="AJ29" s="13">
        <f>AI29*VLOOKUP('Données projet'!$B$10,Paramètres!$A$1:$I$89,3,0)*VLOOKUP('Données projet'!$B$10,Paramètres!$A$1:$I$89,5,0)</f>
        <v>48.72</v>
      </c>
      <c r="AK29" s="13">
        <f t="shared" si="35"/>
        <v>14.282696808795901</v>
      </c>
      <c r="AL29" s="20">
        <f t="shared" si="4"/>
        <v>109.72969694198621</v>
      </c>
      <c r="AM29" s="59">
        <f t="shared" si="5"/>
        <v>403.06303027531953</v>
      </c>
      <c r="AN29" s="59">
        <f ca="1">AVERAGE(OFFSET($AM$3,0,0,'Données projet'!$E$10+1,1))-AVERAGE(OFFSET($H$3,0,0,'Données projet'!$E$10+1,1))</f>
        <v>74.715815024475376</v>
      </c>
      <c r="AO29" s="59">
        <f t="shared" si="36"/>
        <v>87.801612218507501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5.7054870492400278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5.7054870492400278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18.613333333333333</v>
      </c>
      <c r="N30" s="13">
        <f>IF('Données projet'!$A$36&gt;35,N29+M30-V29,IF(A30&lt;'Données projet'!$A$36,$K$205^A30,IF(A30='Données projet'!$A$36,'Données projet'!$B$36,N29+M30-V29)))</f>
        <v>204.38333333333338</v>
      </c>
      <c r="O30" s="13">
        <f>N30*VLOOKUP('Données projet'!$B$9,Paramètres!$A$1:$I$89,3,0)*VLOOKUP('Données projet'!$B$9,Paramètres!$A$1:$I$89,5,0)</f>
        <v>122.22123333333337</v>
      </c>
      <c r="P30" s="13">
        <f t="shared" si="33"/>
        <v>32.192511187778997</v>
      </c>
      <c r="Q30" s="20">
        <f t="shared" si="2"/>
        <v>268.937271707604</v>
      </c>
      <c r="R30" s="59">
        <f t="shared" si="0"/>
        <v>562.27060504093731</v>
      </c>
      <c r="S30" s="59">
        <f ca="1">AVERAGE(OFFSET($R$3,0,0,'Données projet'!$E$9+1,1))-AVERAGE(OFFSET($H$3,0,0,'Données projet'!$E$9+1,1))</f>
        <v>212.70058550761718</v>
      </c>
      <c r="T30" s="59">
        <f t="shared" si="34"/>
        <v>208.28274083874896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1.9045422643870047</v>
      </c>
      <c r="AA30" s="21">
        <f>EXP(-LN(2)/25)*AA29+(1-EXP(-LN(2)/25))/(LN(2)/25)*Calculateur!V30*Calculateur!X30*VLOOKUP('Données projet'!$B$9,Paramètres!$A$1:$I$89,3,0)*0.475*44/12</f>
        <v>25.686753035816043</v>
      </c>
      <c r="AB30" s="21">
        <f>EXP(-LN(2)/2)*AB29+(1-EXP(-LN(2)/2))/(LN(2)/2)*V30*Y30*VLOOKUP('Données projet'!$B$9,Paramètres!$A$1:$I$89,3,0)*0.475*44/12</f>
        <v>0</v>
      </c>
      <c r="AC30" s="22">
        <f t="shared" si="3"/>
        <v>27.591295300203047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5.1282051282051295</v>
      </c>
      <c r="AI30" s="13">
        <f>IF('Données projet'!$A$62&gt;35,AI29+AH30-AQ29,IF(A30&lt;'Données projet'!$A$62,$AF$205^A30,IF(A30='Données projet'!$A$62,'Données projet'!$B$62,AI29+AH30-AQ29)))</f>
        <v>60.897435897435891</v>
      </c>
      <c r="AJ30" s="13">
        <f>AI30*VLOOKUP('Données projet'!$B$10,Paramètres!$A$1:$I$89,3,0)*VLOOKUP('Données projet'!$B$10,Paramètres!$A$1:$I$89,5,0)</f>
        <v>53.2</v>
      </c>
      <c r="AK30" s="13">
        <f t="shared" si="35"/>
        <v>15.437166316247735</v>
      </c>
      <c r="AL30" s="20">
        <f t="shared" si="4"/>
        <v>119.54306466746482</v>
      </c>
      <c r="AM30" s="59">
        <f t="shared" si="5"/>
        <v>412.87639800079813</v>
      </c>
      <c r="AN30" s="59">
        <f ca="1">AVERAGE(OFFSET($AM$3,0,0,'Données projet'!$E$10+1,1))-AVERAGE(OFFSET($H$3,0,0,'Données projet'!$E$10+1,1))</f>
        <v>74.715815024475376</v>
      </c>
      <c r="AO30" s="59">
        <f t="shared" si="36"/>
        <v>87.801612218507501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5.5494702058400351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5.5494702058400351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18.613333333333333</v>
      </c>
      <c r="N31" s="13">
        <f>IF('Données projet'!$A$36&gt;35,N30+M31-V30,IF(A31&lt;'Données projet'!$A$36,$K$205^A31,IF(A31='Données projet'!$A$36,'Données projet'!$B$36,N30+M31-V30)))</f>
        <v>222.99666666666673</v>
      </c>
      <c r="O31" s="13">
        <f>N31*VLOOKUP('Données projet'!$B$9,Paramètres!$A$1:$I$89,3,0)*VLOOKUP('Données projet'!$B$9,Paramètres!$A$1:$I$89,5,0)</f>
        <v>133.35200666666671</v>
      </c>
      <c r="P31" s="13">
        <f t="shared" si="33"/>
        <v>34.769758316414304</v>
      </c>
      <c r="Q31" s="20">
        <f t="shared" si="2"/>
        <v>292.81207401219939</v>
      </c>
      <c r="R31" s="59">
        <f t="shared" si="0"/>
        <v>586.1454073455327</v>
      </c>
      <c r="S31" s="59">
        <f ca="1">AVERAGE(OFFSET($R$3,0,0,'Données projet'!$E$9+1,1))-AVERAGE(OFFSET($H$3,0,0,'Données projet'!$E$9+1,1))</f>
        <v>212.70058550761718</v>
      </c>
      <c r="T31" s="59">
        <f t="shared" si="34"/>
        <v>208.28274083874896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1.8671953522384528</v>
      </c>
      <c r="AA31" s="21">
        <f>EXP(-LN(2)/25)*AA30+(1-EXP(-LN(2)/25))/(LN(2)/25)*Calculateur!V31*Calculateur!X31*VLOOKUP('Données projet'!$B$9,Paramètres!$A$1:$I$89,3,0)*0.475*44/12</f>
        <v>24.984347423244017</v>
      </c>
      <c r="AB31" s="21">
        <f>EXP(-LN(2)/2)*AB30+(1-EXP(-LN(2)/2))/(LN(2)/2)*V31*Y31*VLOOKUP('Données projet'!$B$9,Paramètres!$A$1:$I$89,3,0)*0.475*44/12</f>
        <v>0</v>
      </c>
      <c r="AC31" s="22">
        <f t="shared" si="3"/>
        <v>26.851542775482471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5.1282051282051295</v>
      </c>
      <c r="AI31" s="13">
        <f>IF('Données projet'!$A$62&gt;35,AI30+AH31-AQ30,IF(A31&lt;'Données projet'!$A$62,$AF$205^A31,IF(A31='Données projet'!$A$62,'Données projet'!$B$62,AI30+AH31-AQ30)))</f>
        <v>66.025641025641022</v>
      </c>
      <c r="AJ31" s="13">
        <f>AI31*VLOOKUP('Données projet'!$B$10,Paramètres!$A$1:$I$89,3,0)*VLOOKUP('Données projet'!$B$10,Paramètres!$A$1:$I$89,5,0)</f>
        <v>57.680000000000007</v>
      </c>
      <c r="AK31" s="13">
        <f t="shared" si="35"/>
        <v>16.580360816013417</v>
      </c>
      <c r="AL31" s="20">
        <f t="shared" si="4"/>
        <v>129.33679508789001</v>
      </c>
      <c r="AM31" s="59">
        <f t="shared" si="5"/>
        <v>422.67012842122335</v>
      </c>
      <c r="AN31" s="59">
        <f ca="1">AVERAGE(OFFSET($AM$3,0,0,'Données projet'!$E$10+1,1))-AVERAGE(OFFSET($H$3,0,0,'Données projet'!$E$10+1,1))</f>
        <v>74.715815024475376</v>
      </c>
      <c r="AO31" s="59">
        <f t="shared" si="36"/>
        <v>87.801612218507501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5.3977196512273844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5.3977196512273844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241.61</v>
      </c>
      <c r="L32" s="12">
        <f>VLOOKUP(A32,'Données projet'!$A$35:$I$55,9,0)</f>
        <v>18.613333333333333</v>
      </c>
      <c r="M32" s="12">
        <f t="array" ref="M32">INDEX(L:L,MIN(IF(ISNUMBER(L32:L228),ROW(L32:L228),"")))</f>
        <v>18.613333333333333</v>
      </c>
      <c r="N32" s="13">
        <f>IF('Données projet'!$A$36&gt;35,N31+M32-V31,IF(A32&lt;'Données projet'!$A$36,$K$205^A32,IF(A32='Données projet'!$A$36,'Données projet'!$B$36,N31+M32-V31)))</f>
        <v>241.61000000000007</v>
      </c>
      <c r="O32" s="13">
        <f>N32*VLOOKUP('Données projet'!$B$9,Paramètres!$A$1:$I$89,3,0)*VLOOKUP('Données projet'!$B$9,Paramètres!$A$1:$I$89,5,0)</f>
        <v>144.48278000000005</v>
      </c>
      <c r="P32" s="13">
        <f t="shared" si="33"/>
        <v>37.322056105193219</v>
      </c>
      <c r="Q32" s="20">
        <f t="shared" si="2"/>
        <v>316.6434228832116</v>
      </c>
      <c r="R32" s="59">
        <f t="shared" si="0"/>
        <v>609.97675621654491</v>
      </c>
      <c r="S32" s="59">
        <f ca="1">AVERAGE(OFFSET($R$3,0,0,'Données projet'!$E$9+1,1))-AVERAGE(OFFSET($H$3,0,0,'Données projet'!$E$9+1,1))</f>
        <v>212.70058550761718</v>
      </c>
      <c r="T32" s="59">
        <f t="shared" si="34"/>
        <v>208.28274083874896</v>
      </c>
      <c r="U32" s="15">
        <f>IF(ISNA(VLOOKUP(A32,'Données projet'!$A$35:$I$55,3,0)),0,VLOOKUP(A32,'Données projet'!$A$35:$I$55,3,0))</f>
        <v>3</v>
      </c>
      <c r="V32" s="15">
        <f>IF(ISNA(VLOOKUP(A32,'Données projet'!$A$35:$I$55,4,0)),0,VLOOKUP(A32,'Données projet'!$A$35:$I$55,4,0))</f>
        <v>54.64</v>
      </c>
      <c r="W32" s="16">
        <f>IF(ISNA(VLOOKUP(A32,'Données projet'!$A$35:$I$55,5,0)),0%,VLOOKUP(A32,'Données projet'!$A$35:$I$55,5,0)*VLOOKUP('Données projet'!$B$9,Paramètres!$A$1:$I$89,7,0))</f>
        <v>4.5000000000000005E-2</v>
      </c>
      <c r="X32" s="16">
        <f>IF(ISNA(VLOOKUP(A32,'Données projet'!$A$35:$I$55,6,0)),0%,VLOOKUP(A32,'Données projet'!$A$35:$I$55,6,0)*VLOOKUP('Données projet'!$B$9,Paramètres!$A$1:$I$89,7,0))</f>
        <v>0.36000000000000004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3.7811112867125427</v>
      </c>
      <c r="AA32" s="21">
        <f>EXP(-LN(2)/25)*AA31+(1-EXP(-LN(2)/25))/(LN(2)/25)*Calculateur!V32*Calculateur!X32*VLOOKUP('Données projet'!$B$9,Paramètres!$A$1:$I$89,3,0)*0.475*44/12</f>
        <v>39.843953246524457</v>
      </c>
      <c r="AB32" s="21">
        <f>EXP(-LN(2)/2)*AB31+(1-EXP(-LN(2)/2))/(LN(2)/2)*V32*Y32*VLOOKUP('Données projet'!$B$9,Paramètres!$A$1:$I$89,3,0)*0.475*44/12</f>
        <v>0</v>
      </c>
      <c r="AC32" s="22">
        <f t="shared" si="3"/>
        <v>43.625064533237001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5.1282051282051295</v>
      </c>
      <c r="AI32" s="13">
        <f>IF('Données projet'!$A$62&gt;35,AI31+AH32-AQ31,IF(A32&lt;'Données projet'!$A$62,$AF$205^A32,IF(A32='Données projet'!$A$62,'Données projet'!$B$62,AI31+AH32-AQ31)))</f>
        <v>71.153846153846146</v>
      </c>
      <c r="AJ32" s="13">
        <f>AI32*VLOOKUP('Données projet'!$B$10,Paramètres!$A$1:$I$89,3,0)*VLOOKUP('Données projet'!$B$10,Paramètres!$A$1:$I$89,5,0)</f>
        <v>62.160000000000004</v>
      </c>
      <c r="AK32" s="13">
        <f t="shared" si="35"/>
        <v>17.713255604040903</v>
      </c>
      <c r="AL32" s="20">
        <f t="shared" si="4"/>
        <v>139.11258684370458</v>
      </c>
      <c r="AM32" s="59">
        <f t="shared" si="5"/>
        <v>432.44592017703792</v>
      </c>
      <c r="AN32" s="59">
        <f ca="1">AVERAGE(OFFSET($AM$3,0,0,'Données projet'!$E$10+1,1))-AVERAGE(OFFSET($H$3,0,0,'Données projet'!$E$10+1,1))</f>
        <v>74.715815024475376</v>
      </c>
      <c r="AO32" s="59">
        <f t="shared" si="36"/>
        <v>87.801612218507501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5.2501187235108322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5.2501187235108322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17.737142857142853</v>
      </c>
      <c r="N33" s="13">
        <f>IF('Données projet'!$A$36&gt;35,N32+M33-V32,IF(A33&lt;'Données projet'!$A$36,$K$205^A33,IF(A33='Données projet'!$A$36,'Données projet'!$B$36,N32+M33-V32)))</f>
        <v>204.70714285714291</v>
      </c>
      <c r="O33" s="13">
        <f>N33*VLOOKUP('Données projet'!$B$9,Paramètres!$A$1:$I$89,3,0)*VLOOKUP('Données projet'!$B$9,Paramètres!$A$1:$I$89,5,0)</f>
        <v>122.41487142857147</v>
      </c>
      <c r="P33" s="13">
        <f t="shared" si="33"/>
        <v>32.237573625209684</v>
      </c>
      <c r="Q33" s="20">
        <f t="shared" si="2"/>
        <v>269.35300846866886</v>
      </c>
      <c r="R33" s="59">
        <f t="shared" si="0"/>
        <v>562.68634180200218</v>
      </c>
      <c r="S33" s="59">
        <f ca="1">AVERAGE(OFFSET($R$3,0,0,'Données projet'!$E$9+1,1))-AVERAGE(OFFSET($H$3,0,0,'Données projet'!$E$9+1,1))</f>
        <v>212.70058550761718</v>
      </c>
      <c r="T33" s="59">
        <f t="shared" si="34"/>
        <v>208.28274083874896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3.7069660006302714</v>
      </c>
      <c r="AA33" s="21">
        <f>EXP(-LN(2)/25)*AA32+(1-EXP(-LN(2)/25))/(LN(2)/25)*Calculateur!V33*Calculateur!X33*VLOOKUP('Données projet'!$B$9,Paramètres!$A$1:$I$89,3,0)*0.475*44/12</f>
        <v>38.75441824969581</v>
      </c>
      <c r="AB33" s="21">
        <f>EXP(-LN(2)/2)*AB32+(1-EXP(-LN(2)/2))/(LN(2)/2)*V33*Y33*VLOOKUP('Données projet'!$B$9,Paramètres!$A$1:$I$89,3,0)*0.475*44/12</f>
        <v>0</v>
      </c>
      <c r="AC33" s="22">
        <f t="shared" si="3"/>
        <v>42.461384250326084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76.282051282051285</v>
      </c>
      <c r="AG33" s="12">
        <f>VLOOKUP(A33,'Données projet'!$A$61:$I$81,9,0)</f>
        <v>5.1282051282051295</v>
      </c>
      <c r="AH33" s="12">
        <f t="array" ref="AH33">INDEX(AG:AG,MIN(IF(ISNUMBER(AG33:AG229),ROW(AG33:AG229),"")))</f>
        <v>5.1282051282051295</v>
      </c>
      <c r="AI33" s="13">
        <f>IF('Données projet'!$A$62&gt;35,AI32+AH33-AQ32,IF(A33&lt;'Données projet'!$A$62,$AF$205^A33,IF(A33='Données projet'!$A$62,'Données projet'!$B$62,AI32+AH33-AQ32)))</f>
        <v>76.28205128205127</v>
      </c>
      <c r="AJ33" s="13">
        <f>AI33*VLOOKUP('Données projet'!$B$10,Paramètres!$A$1:$I$89,3,0)*VLOOKUP('Données projet'!$B$10,Paramètres!$A$1:$I$89,5,0)</f>
        <v>66.64</v>
      </c>
      <c r="AK33" s="13">
        <f t="shared" si="35"/>
        <v>18.836677424934397</v>
      </c>
      <c r="AL33" s="20">
        <f t="shared" si="4"/>
        <v>148.8718798484274</v>
      </c>
      <c r="AM33" s="59">
        <f t="shared" si="5"/>
        <v>442.20521318176071</v>
      </c>
      <c r="AN33" s="59">
        <f ca="1">AVERAGE(OFFSET($AM$3,0,0,'Données projet'!$E$10+1,1))-AVERAGE(OFFSET($H$3,0,0,'Données projet'!$E$10+1,1))</f>
        <v>74.715815024475376</v>
      </c>
      <c r="AO33" s="59">
        <f t="shared" si="36"/>
        <v>87.801612218507501</v>
      </c>
      <c r="AP33" s="15">
        <f>IF(ISNA(VLOOKUP(A33,'Données projet'!$A$61:$I$81,3,0)),0,VLOOKUP(A33,'Données projet'!$A$61:$I$81,3,0))</f>
        <v>5</v>
      </c>
      <c r="AQ33" s="15">
        <f>IF(ISNA(VLOOKUP(A33,'Données projet'!$A$61:$I$81,4,0)),0,VLOOKUP(A33,'Données projet'!$A$61:$I$81,4,0))</f>
        <v>12.820512820512819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0.215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7.7580454241317156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7.7580454241317156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17.737142857142853</v>
      </c>
      <c r="N34" s="13">
        <f>IF('Données projet'!$A$36&gt;35,N33+M34-V33,IF(A34&lt;'Données projet'!$A$36,$K$205^A34,IF(A34='Données projet'!$A$36,'Données projet'!$B$36,N33+M34-V33)))</f>
        <v>222.44428571428577</v>
      </c>
      <c r="O34" s="13">
        <f>N34*VLOOKUP('Données projet'!$B$9,Paramètres!$A$1:$I$89,3,0)*VLOOKUP('Données projet'!$B$9,Paramètres!$A$1:$I$89,5,0)</f>
        <v>133.02168285714291</v>
      </c>
      <c r="P34" s="13">
        <f t="shared" si="33"/>
        <v>34.693645048951552</v>
      </c>
      <c r="Q34" s="20">
        <f t="shared" si="2"/>
        <v>292.10419610311448</v>
      </c>
      <c r="R34" s="59">
        <f t="shared" si="0"/>
        <v>585.43752943644779</v>
      </c>
      <c r="S34" s="59">
        <f ca="1">AVERAGE(OFFSET($R$3,0,0,'Données projet'!$E$9+1,1))-AVERAGE(OFFSET($H$3,0,0,'Données projet'!$E$9+1,1))</f>
        <v>212.70058550761718</v>
      </c>
      <c r="T34" s="59">
        <f t="shared" si="34"/>
        <v>208.28274083874896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3.6342746583839145</v>
      </c>
      <c r="AA34" s="21">
        <f>EXP(-LN(2)/25)*AA33+(1-EXP(-LN(2)/25))/(LN(2)/25)*Calculateur!V34*Calculateur!X34*VLOOKUP('Données projet'!$B$9,Paramètres!$A$1:$I$89,3,0)*0.475*44/12</f>
        <v>37.694676644651594</v>
      </c>
      <c r="AB34" s="21">
        <f>EXP(-LN(2)/2)*AB33+(1-EXP(-LN(2)/2))/(LN(2)/2)*V34*Y34*VLOOKUP('Données projet'!$B$9,Paramètres!$A$1:$I$89,3,0)*0.475*44/12</f>
        <v>0</v>
      </c>
      <c r="AC34" s="22">
        <f t="shared" si="3"/>
        <v>41.32895130303551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4.6153846153846132</v>
      </c>
      <c r="AI34" s="13">
        <f>IF('Données projet'!$A$62&gt;35,AI33+AH34-AQ33,IF(A34&lt;'Données projet'!$A$62,$AF$205^A34,IF(A34='Données projet'!$A$62,'Données projet'!$B$62,AI33+AH34-AQ33)))</f>
        <v>68.076923076923066</v>
      </c>
      <c r="AJ34" s="13">
        <f>AI34*VLOOKUP('Données projet'!$B$10,Paramètres!$A$1:$I$89,3,0)*VLOOKUP('Données projet'!$B$10,Paramètres!$A$1:$I$89,5,0)</f>
        <v>59.472000000000001</v>
      </c>
      <c r="AK34" s="13">
        <f t="shared" si="35"/>
        <v>17.034705450773373</v>
      </c>
      <c r="AL34" s="20">
        <f t="shared" si="4"/>
        <v>133.24917866009699</v>
      </c>
      <c r="AM34" s="59">
        <f t="shared" si="5"/>
        <v>426.58251199343033</v>
      </c>
      <c r="AN34" s="59">
        <f ca="1">AVERAGE(OFFSET($AM$3,0,0,'Données projet'!$E$10+1,1))-AVERAGE(OFFSET($H$3,0,0,'Données projet'!$E$10+1,1))</f>
        <v>74.715815024475376</v>
      </c>
      <c r="AO34" s="59">
        <f t="shared" si="36"/>
        <v>87.801612218507501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7.545901264030956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7.545901264030956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17.737142857142853</v>
      </c>
      <c r="N35" s="13">
        <f>IF('Données projet'!$A$36&gt;35,N34+M35-V34,IF(A35&lt;'Données projet'!$A$36,$K$205^A35,IF(A35='Données projet'!$A$36,'Données projet'!$B$36,N34+M35-V34)))</f>
        <v>240.18142857142863</v>
      </c>
      <c r="O35" s="13">
        <f>N35*VLOOKUP('Données projet'!$B$9,Paramètres!$A$1:$I$89,3,0)*VLOOKUP('Données projet'!$B$9,Paramètres!$A$1:$I$89,5,0)</f>
        <v>143.62849428571434</v>
      </c>
      <c r="P35" s="13">
        <f t="shared" si="33"/>
        <v>37.127000660847131</v>
      </c>
      <c r="Q35" s="20">
        <f t="shared" ref="Q35:Q66" si="53">(O35+P35)*0.475*44/12</f>
        <v>314.81582036526123</v>
      </c>
      <c r="R35" s="59">
        <f t="shared" si="0"/>
        <v>608.14915369859455</v>
      </c>
      <c r="S35" s="59">
        <f ca="1">AVERAGE(OFFSET($R$3,0,0,'Données projet'!$E$9+1,1))-AVERAGE(OFFSET($H$3,0,0,'Données projet'!$E$9+1,1))</f>
        <v>212.70058550761718</v>
      </c>
      <c r="T35" s="59">
        <f t="shared" si="34"/>
        <v>208.28274083874896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3.5630087490216678</v>
      </c>
      <c r="AA35" s="21">
        <f>EXP(-LN(2)/25)*AA34+(1-EXP(-LN(2)/25))/(LN(2)/25)*Calculateur!V35*Calculateur!X35*VLOOKUP('Données projet'!$B$9,Paramètres!$A$1:$I$89,3,0)*0.475*44/12</f>
        <v>36.663913729526705</v>
      </c>
      <c r="AB35" s="21">
        <f>EXP(-LN(2)/2)*AB34+(1-EXP(-LN(2)/2))/(LN(2)/2)*V35*Y35*VLOOKUP('Données projet'!$B$9,Paramètres!$A$1:$I$89,3,0)*0.475*44/12</f>
        <v>0</v>
      </c>
      <c r="AC35" s="22">
        <f t="shared" si="3"/>
        <v>40.226922478548374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4.6153846153846132</v>
      </c>
      <c r="AI35" s="13">
        <f>IF('Données projet'!$A$62&gt;35,AI34+AH35-AQ34,IF(A35&lt;'Données projet'!$A$62,$AF$205^A35,IF(A35='Données projet'!$A$62,'Données projet'!$B$62,AI34+AH35-AQ34)))</f>
        <v>72.692307692307679</v>
      </c>
      <c r="AJ35" s="13">
        <f>AI35*VLOOKUP('Données projet'!$B$10,Paramètres!$A$1:$I$89,3,0)*VLOOKUP('Données projet'!$B$10,Paramètres!$A$1:$I$89,5,0)</f>
        <v>63.503999999999998</v>
      </c>
      <c r="AK35" s="13">
        <f t="shared" si="35"/>
        <v>18.051242499399113</v>
      </c>
      <c r="AL35" s="20">
        <f t="shared" si="4"/>
        <v>142.0420473531201</v>
      </c>
      <c r="AM35" s="59">
        <f t="shared" si="5"/>
        <v>435.37538068645341</v>
      </c>
      <c r="AN35" s="59">
        <f ca="1">AVERAGE(OFFSET($AM$3,0,0,'Données projet'!$E$10+1,1))-AVERAGE(OFFSET($H$3,0,0,'Données projet'!$E$10+1,1))</f>
        <v>74.715815024475376</v>
      </c>
      <c r="AO35" s="59">
        <f t="shared" si="36"/>
        <v>87.801612218507501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7.3395581971443287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7.3395581971443287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17.737142857142853</v>
      </c>
      <c r="N36" s="13">
        <f>IF('Données projet'!$A$36&gt;35,N35+M36-V35,IF(A36&lt;'Données projet'!$A$36,$K$205^A36,IF(A36='Données projet'!$A$36,'Données projet'!$B$36,N35+M36-V35)))</f>
        <v>257.91857142857145</v>
      </c>
      <c r="O36" s="13">
        <f>N36*VLOOKUP('Données projet'!$B$9,Paramètres!$A$1:$I$89,3,0)*VLOOKUP('Données projet'!$B$9,Paramètres!$A$1:$I$89,5,0)</f>
        <v>154.23530571428574</v>
      </c>
      <c r="P36" s="13">
        <f t="shared" si="33"/>
        <v>39.539508761330566</v>
      </c>
      <c r="Q36" s="20">
        <f t="shared" si="53"/>
        <v>337.49113521169841</v>
      </c>
      <c r="R36" s="59">
        <f t="shared" si="0"/>
        <v>630.82446854503178</v>
      </c>
      <c r="S36" s="59">
        <f ca="1">AVERAGE(OFFSET($R$3,0,0,'Données projet'!$E$9+1,1))-AVERAGE(OFFSET($H$3,0,0,'Données projet'!$E$9+1,1))</f>
        <v>212.70058550761718</v>
      </c>
      <c r="T36" s="59">
        <f t="shared" si="34"/>
        <v>208.28274083874896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3.4931403206741019</v>
      </c>
      <c r="AA36" s="21">
        <f>EXP(-LN(2)/25)*AA35+(1-EXP(-LN(2)/25))/(LN(2)/25)*Calculateur!V36*Calculateur!X36*VLOOKUP('Données projet'!$B$9,Paramètres!$A$1:$I$89,3,0)*0.475*44/12</f>
        <v>35.661337080521371</v>
      </c>
      <c r="AB36" s="21">
        <f>EXP(-LN(2)/2)*AB35+(1-EXP(-LN(2)/2))/(LN(2)/2)*V36*Y36*VLOOKUP('Données projet'!$B$9,Paramètres!$A$1:$I$89,3,0)*0.475*44/12</f>
        <v>0</v>
      </c>
      <c r="AC36" s="22">
        <f t="shared" si="3"/>
        <v>39.154477401195471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4.6153846153846132</v>
      </c>
      <c r="AI36" s="13">
        <f>IF('Données projet'!$A$62&gt;35,AI35+AH36-AQ35,IF(A36&lt;'Données projet'!$A$62,$AF$205^A36,IF(A36='Données projet'!$A$62,'Données projet'!$B$62,AI35+AH36-AQ35)))</f>
        <v>77.307692307692292</v>
      </c>
      <c r="AJ36" s="13">
        <f>AI36*VLOOKUP('Données projet'!$B$10,Paramètres!$A$1:$I$89,3,0)*VLOOKUP('Données projet'!$B$10,Paramètres!$A$1:$I$89,5,0)</f>
        <v>67.536000000000001</v>
      </c>
      <c r="AK36" s="13">
        <f t="shared" si="35"/>
        <v>19.060289237119235</v>
      </c>
      <c r="AL36" s="20">
        <f t="shared" si="4"/>
        <v>150.82187042131599</v>
      </c>
      <c r="AM36" s="59">
        <f t="shared" si="5"/>
        <v>444.15520375464928</v>
      </c>
      <c r="AN36" s="59">
        <f ca="1">AVERAGE(OFFSET($AM$3,0,0,'Données projet'!$E$10+1,1))-AVERAGE(OFFSET($H$3,0,0,'Données projet'!$E$10+1,1))</f>
        <v>74.715815024475376</v>
      </c>
      <c r="AO36" s="59">
        <f t="shared" si="36"/>
        <v>87.801612218507501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7.1388575922728261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7.1388575922728261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17.737142857142853</v>
      </c>
      <c r="N37" s="13">
        <f>IF('Données projet'!$A$36&gt;35,N36+M37-V36,IF(A37&lt;'Données projet'!$A$36,$K$205^A37,IF(A37='Données projet'!$A$36,'Données projet'!$B$36,N36+M37-V36)))</f>
        <v>275.65571428571428</v>
      </c>
      <c r="O37" s="13">
        <f>N37*VLOOKUP('Données projet'!$B$9,Paramètres!$A$1:$I$89,3,0)*VLOOKUP('Données projet'!$B$9,Paramètres!$A$1:$I$89,5,0)</f>
        <v>164.84211714285715</v>
      </c>
      <c r="P37" s="13">
        <f t="shared" si="33"/>
        <v>41.932766136496305</v>
      </c>
      <c r="Q37" s="20">
        <f t="shared" si="53"/>
        <v>360.13292171154058</v>
      </c>
      <c r="R37" s="59">
        <f t="shared" si="0"/>
        <v>653.46625504487383</v>
      </c>
      <c r="S37" s="59">
        <f ca="1">AVERAGE(OFFSET($R$3,0,0,'Données projet'!$E$9+1,1))-AVERAGE(OFFSET($H$3,0,0,'Données projet'!$E$9+1,1))</f>
        <v>212.70058550761718</v>
      </c>
      <c r="T37" s="59">
        <f t="shared" si="34"/>
        <v>208.28274083874896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3.4246419695908985</v>
      </c>
      <c r="AA37" s="21">
        <f>EXP(-LN(2)/25)*AA36+(1-EXP(-LN(2)/25))/(LN(2)/25)*Calculateur!V37*Calculateur!X37*VLOOKUP('Données projet'!$B$9,Paramètres!$A$1:$I$89,3,0)*0.475*44/12</f>
        <v>34.686175942706299</v>
      </c>
      <c r="AB37" s="21">
        <f>EXP(-LN(2)/2)*AB36+(1-EXP(-LN(2)/2))/(LN(2)/2)*V37*Y37*VLOOKUP('Données projet'!$B$9,Paramètres!$A$1:$I$89,3,0)*0.475*44/12</f>
        <v>0</v>
      </c>
      <c r="AC37" s="22">
        <f t="shared" si="3"/>
        <v>38.1108179122972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4.6153846153846132</v>
      </c>
      <c r="AI37" s="13">
        <f>IF('Données projet'!$A$62&gt;35,AI36+AH37-AQ36,IF(A37&lt;'Données projet'!$A$62,$AF$205^A37,IF(A37='Données projet'!$A$62,'Données projet'!$B$62,AI36+AH37-AQ36)))</f>
        <v>81.923076923076906</v>
      </c>
      <c r="AJ37" s="13">
        <f>AI37*VLOOKUP('Données projet'!$B$10,Paramètres!$A$1:$I$89,3,0)*VLOOKUP('Données projet'!$B$10,Paramètres!$A$1:$I$89,5,0)</f>
        <v>71.567999999999998</v>
      </c>
      <c r="AK37" s="13">
        <f t="shared" si="35"/>
        <v>20.062343777240766</v>
      </c>
      <c r="AL37" s="20">
        <f t="shared" si="4"/>
        <v>159.58951541202768</v>
      </c>
      <c r="AM37" s="59">
        <f t="shared" si="5"/>
        <v>452.92284874536097</v>
      </c>
      <c r="AN37" s="59">
        <f ca="1">AVERAGE(OFFSET($AM$3,0,0,'Données projet'!$E$10+1,1))-AVERAGE(OFFSET($H$3,0,0,'Données projet'!$E$10+1,1))</f>
        <v>74.715815024475376</v>
      </c>
      <c r="AO37" s="59">
        <f t="shared" si="36"/>
        <v>87.801612218507501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6.9436451559959211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6.9436451559959211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17.737142857142853</v>
      </c>
      <c r="N38" s="13">
        <f>IF('Données projet'!$A$36&gt;35,N37+M38-V37,IF(A38&lt;'Données projet'!$A$36,$K$205^A38,IF(A38='Données projet'!$A$36,'Données projet'!$B$36,N37+M38-V37)))</f>
        <v>293.39285714285711</v>
      </c>
      <c r="O38" s="13">
        <f>N38*VLOOKUP('Données projet'!$B$9,Paramètres!$A$1:$I$89,3,0)*VLOOKUP('Données projet'!$B$9,Paramètres!$A$1:$I$89,5,0)</f>
        <v>175.44892857142858</v>
      </c>
      <c r="P38" s="13">
        <f t="shared" si="33"/>
        <v>44.308152462369684</v>
      </c>
      <c r="Q38" s="20">
        <f t="shared" si="53"/>
        <v>382.7435828005319</v>
      </c>
      <c r="R38" s="59">
        <f t="shared" si="0"/>
        <v>676.07691613386521</v>
      </c>
      <c r="S38" s="59">
        <f ca="1">AVERAGE(OFFSET($R$3,0,0,'Données projet'!$E$9+1,1))-AVERAGE(OFFSET($H$3,0,0,'Données projet'!$E$9+1,1))</f>
        <v>212.70058550761718</v>
      </c>
      <c r="T38" s="59">
        <f t="shared" si="34"/>
        <v>208.28274083874896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3.3574868293925682</v>
      </c>
      <c r="AA38" s="21">
        <f>EXP(-LN(2)/25)*AA37+(1-EXP(-LN(2)/25))/(LN(2)/25)*Calculateur!V38*Calculateur!X38*VLOOKUP('Données projet'!$B$9,Paramètres!$A$1:$I$89,3,0)*0.475*44/12</f>
        <v>33.737680637486278</v>
      </c>
      <c r="AB38" s="21">
        <f>EXP(-LN(2)/2)*AB37+(1-EXP(-LN(2)/2))/(LN(2)/2)*V38*Y38*VLOOKUP('Données projet'!$B$9,Paramètres!$A$1:$I$89,3,0)*0.475*44/12</f>
        <v>0</v>
      </c>
      <c r="AC38" s="22">
        <f t="shared" si="3"/>
        <v>37.095167466878848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86.538461538461533</v>
      </c>
      <c r="AG38" s="12">
        <f>VLOOKUP(A38,'Données projet'!$A$61:$I$81,9,0)</f>
        <v>4.6153846153846132</v>
      </c>
      <c r="AH38" s="12">
        <f t="array" ref="AH38">INDEX(AG:AG,MIN(IF(ISNUMBER(AG38:AG234),ROW(AG38:AG234),"")))</f>
        <v>4.6153846153846132</v>
      </c>
      <c r="AI38" s="13">
        <f>IF('Données projet'!$A$62&gt;35,AI37+AH38-AQ37,IF(A38&lt;'Données projet'!$A$62,$AF$205^A38,IF(A38='Données projet'!$A$62,'Données projet'!$B$62,AI37+AH38-AQ37)))</f>
        <v>86.538461538461519</v>
      </c>
      <c r="AJ38" s="13">
        <f>AI38*VLOOKUP('Données projet'!$B$10,Paramètres!$A$1:$I$89,3,0)*VLOOKUP('Données projet'!$B$10,Paramètres!$A$1:$I$89,5,0)</f>
        <v>75.599999999999994</v>
      </c>
      <c r="AK38" s="13">
        <f t="shared" si="35"/>
        <v>21.057844937632133</v>
      </c>
      <c r="AL38" s="20">
        <f t="shared" si="4"/>
        <v>168.34574659970926</v>
      </c>
      <c r="AM38" s="59">
        <f t="shared" si="5"/>
        <v>461.67907993304254</v>
      </c>
      <c r="AN38" s="59">
        <f ca="1">AVERAGE(OFFSET($AM$3,0,0,'Données projet'!$E$10+1,1))-AVERAGE(OFFSET($H$3,0,0,'Données projet'!$E$10+1,1))</f>
        <v>74.715815024475376</v>
      </c>
      <c r="AO38" s="59">
        <f t="shared" si="36"/>
        <v>87.801612218507501</v>
      </c>
      <c r="AP38" s="15">
        <f>IF(ISNA(VLOOKUP(A38,'Données projet'!$A$61:$I$81,3,0)),0,VLOOKUP(A38,'Données projet'!$A$61:$I$81,3,0))</f>
        <v>6</v>
      </c>
      <c r="AQ38" s="15">
        <f>IF(ISNA(VLOOKUP(A38,'Données projet'!$A$61:$I$81,4,0)),0,VLOOKUP(A38,'Données projet'!$A$61:$I$81,4,0))</f>
        <v>12.820512820512819</v>
      </c>
      <c r="AR38" s="16">
        <f>IF(ISNA(VLOOKUP(A38,'Données projet'!$A$61:$I$81,5,0)),0%,VLOOKUP(A38,'Données projet'!$A$61:$I$81,5,0)*VLOOKUP('Données projet'!$B$10,Paramètres!$A$1:$I$89,7,0))</f>
        <v>0.25800000000000001</v>
      </c>
      <c r="AS38" s="16">
        <f>IF(ISNA(VLOOKUP(A38,'Données projet'!$A$61:$I$81,6,0)),0%,VLOOKUP(A38,'Données projet'!$A$61:$I$81,6,0)*VLOOKUP('Données projet'!$B$10,Paramètres!$A$1:$I$89,7,0))</f>
        <v>8.6000000000000007E-2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3.194367208698413</v>
      </c>
      <c r="AV38" s="21">
        <f>EXP(-LN(2)/25)*AV37+(1-EXP(-LN(2)/25))/(LN(2)/25)*Calculateur!AQ38*Calculateur!AS38*VLOOKUP('Données projet'!$B$10,Paramètres!$A$1:$I$89,3,0)*0.475*44/12</f>
        <v>7.8143674033375961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11.008734612036008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311.13</v>
      </c>
      <c r="L39" s="12">
        <f>VLOOKUP(A39,'Données projet'!$A$35:$I$55,9,0)</f>
        <v>17.737142857142853</v>
      </c>
      <c r="M39" s="12">
        <f t="array" ref="M39">INDEX(L:L,MIN(IF(ISNUMBER(L39:L235),ROW(L39:L235),"")))</f>
        <v>17.737142857142853</v>
      </c>
      <c r="N39" s="13">
        <f>IF('Données projet'!$A$36&gt;35,N38+M39-V38,IF(A39&lt;'Données projet'!$A$36,$K$205^A39,IF(A39='Données projet'!$A$36,'Données projet'!$B$36,N38+M39-V38)))</f>
        <v>311.12999999999994</v>
      </c>
      <c r="O39" s="13">
        <f>N39*VLOOKUP('Données projet'!$B$9,Paramètres!$A$1:$I$89,3,0)*VLOOKUP('Données projet'!$B$9,Paramètres!$A$1:$I$89,5,0)</f>
        <v>186.05573999999996</v>
      </c>
      <c r="P39" s="13">
        <f t="shared" si="33"/>
        <v>46.66687117215772</v>
      </c>
      <c r="Q39" s="20">
        <f t="shared" si="53"/>
        <v>405.32521445817457</v>
      </c>
      <c r="R39" s="59">
        <f t="shared" si="0"/>
        <v>698.65854779150789</v>
      </c>
      <c r="S39" s="59">
        <f ca="1">AVERAGE(OFFSET($R$3,0,0,'Données projet'!$E$9+1,1))-AVERAGE(OFFSET($H$3,0,0,'Données projet'!$E$9+1,1))</f>
        <v>212.70058550761718</v>
      </c>
      <c r="T39" s="59">
        <f t="shared" si="34"/>
        <v>208.28274083874896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76.069999999999993</v>
      </c>
      <c r="W39" s="16">
        <f>IF(ISNA(VLOOKUP(A39,'Données projet'!$A$35:$I$55,5,0)),0%,VLOOKUP(A39,'Données projet'!$A$35:$I$55,5,0)*VLOOKUP('Données projet'!$B$9,Paramètres!$A$1:$I$89,7,0))</f>
        <v>0.13500000000000001</v>
      </c>
      <c r="X39" s="16">
        <f>IF(ISNA(VLOOKUP(A39,'Données projet'!$A$35:$I$55,6,0)),0%,VLOOKUP(A39,'Données projet'!$A$35:$I$55,6,0)*VLOOKUP('Données projet'!$B$9,Paramètres!$A$1:$I$89,7,0))</f>
        <v>0.22500000000000001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11.438254793987262</v>
      </c>
      <c r="AA39" s="21">
        <f>EXP(-LN(2)/25)*AA38+(1-EXP(-LN(2)/25))/(LN(2)/25)*Calculateur!V39*Calculateur!X39*VLOOKUP('Données projet'!$B$9,Paramètres!$A$1:$I$89,3,0)*0.475*44/12</f>
        <v>46.339338553954832</v>
      </c>
      <c r="AB39" s="21">
        <f>EXP(-LN(2)/2)*AB38+(1-EXP(-LN(2)/2))/(LN(2)/2)*V39*Y39*VLOOKUP('Données projet'!$B$9,Paramètres!$A$1:$I$89,3,0)*0.475*44/12</f>
        <v>0</v>
      </c>
      <c r="AC39" s="22">
        <f t="shared" si="3"/>
        <v>57.777593347942094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4.4871794871794863</v>
      </c>
      <c r="AI39" s="13">
        <f>IF('Données projet'!$A$62&gt;35,AI38+AH39-AQ38,IF(A39&lt;'Données projet'!$A$62,$AF$205^A39,IF(A39='Données projet'!$A$62,'Données projet'!$B$62,AI38+AH39-AQ38)))</f>
        <v>78.20512820512819</v>
      </c>
      <c r="AJ39" s="13">
        <f>AI39*VLOOKUP('Données projet'!$B$10,Paramètres!$A$1:$I$89,3,0)*VLOOKUP('Données projet'!$B$10,Paramètres!$A$1:$I$89,5,0)</f>
        <v>68.319999999999993</v>
      </c>
      <c r="AK39" s="13">
        <f t="shared" si="35"/>
        <v>19.255666339544923</v>
      </c>
      <c r="AL39" s="20">
        <f t="shared" si="4"/>
        <v>152.52761887470737</v>
      </c>
      <c r="AM39" s="59">
        <f t="shared" si="5"/>
        <v>445.86095220804066</v>
      </c>
      <c r="AN39" s="59">
        <f ca="1">AVERAGE(OFFSET($AM$3,0,0,'Données projet'!$E$10+1,1))-AVERAGE(OFFSET($H$3,0,0,'Données projet'!$E$10+1,1))</f>
        <v>74.715815024475376</v>
      </c>
      <c r="AO39" s="59">
        <f t="shared" si="36"/>
        <v>87.801612218507501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3.1317276161074488</v>
      </c>
      <c r="AV39" s="21">
        <f>EXP(-LN(2)/25)*AV38+(1-EXP(-LN(2)/25))/(LN(2)/25)*Calculateur!AQ39*Calculateur!AS39*VLOOKUP('Données projet'!$B$10,Paramètres!$A$1:$I$89,3,0)*0.475*44/12</f>
        <v>7.6006831157536077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10.732410731861057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16.536250000000003</v>
      </c>
      <c r="N40" s="13">
        <f>IF('Données projet'!$A$36&gt;35,N39+M40-V39,IF(A40&lt;'Données projet'!$A$36,$K$205^A40,IF(A40='Données projet'!$A$36,'Données projet'!$B$36,N39+M40-V39)))</f>
        <v>251.59624999999994</v>
      </c>
      <c r="O40" s="13">
        <f>N40*VLOOKUP('Données projet'!$B$9,Paramètres!$A$1:$I$89,3,0)*VLOOKUP('Données projet'!$B$9,Paramètres!$A$1:$I$89,5,0)</f>
        <v>150.45455749999999</v>
      </c>
      <c r="P40" s="13">
        <f t="shared" si="33"/>
        <v>38.681867245543785</v>
      </c>
      <c r="Q40" s="20">
        <f t="shared" si="53"/>
        <v>329.4126064318221</v>
      </c>
      <c r="R40" s="59">
        <f t="shared" si="0"/>
        <v>622.74593976515541</v>
      </c>
      <c r="S40" s="59">
        <f ca="1">AVERAGE(OFFSET($R$3,0,0,'Données projet'!$E$9+1,1))-AVERAGE(OFFSET($H$3,0,0,'Données projet'!$E$9+1,1))</f>
        <v>212.70058550761718</v>
      </c>
      <c r="T40" s="59">
        <f t="shared" si="34"/>
        <v>208.28274083874896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11.213957594123709</v>
      </c>
      <c r="AA40" s="21">
        <f>EXP(-LN(2)/25)*AA39+(1-EXP(-LN(2)/25))/(LN(2)/25)*Calculateur!V40*Calculateur!X40*VLOOKUP('Données projet'!$B$9,Paramètres!$A$1:$I$89,3,0)*0.475*44/12</f>
        <v>45.072186904317036</v>
      </c>
      <c r="AB40" s="21">
        <f>EXP(-LN(2)/2)*AB39+(1-EXP(-LN(2)/2))/(LN(2)/2)*V40*Y40*VLOOKUP('Données projet'!$B$9,Paramètres!$A$1:$I$89,3,0)*0.475*44/12</f>
        <v>0</v>
      </c>
      <c r="AC40" s="22">
        <f t="shared" si="3"/>
        <v>56.286144498440748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4.4871794871794863</v>
      </c>
      <c r="AI40" s="13">
        <f>IF('Données projet'!$A$62&gt;35,AI39+AH40-AQ39,IF(A40&lt;'Données projet'!$A$62,$AF$205^A40,IF(A40='Données projet'!$A$62,'Données projet'!$B$62,AI39+AH40-AQ39)))</f>
        <v>82.692307692307679</v>
      </c>
      <c r="AJ40" s="13">
        <f>AI40*VLOOKUP('Données projet'!$B$10,Paramètres!$A$1:$I$89,3,0)*VLOOKUP('Données projet'!$B$10,Paramètres!$A$1:$I$89,5,0)</f>
        <v>72.239999999999995</v>
      </c>
      <c r="AK40" s="13">
        <f t="shared" si="35"/>
        <v>20.228704652038434</v>
      </c>
      <c r="AL40" s="20">
        <f t="shared" si="4"/>
        <v>161.04966060230026</v>
      </c>
      <c r="AM40" s="59">
        <f t="shared" si="5"/>
        <v>454.38299393563358</v>
      </c>
      <c r="AN40" s="59">
        <f ca="1">AVERAGE(OFFSET($AM$3,0,0,'Données projet'!$E$10+1,1))-AVERAGE(OFFSET($H$3,0,0,'Données projet'!$E$10+1,1))</f>
        <v>74.715815024475376</v>
      </c>
      <c r="AO40" s="59">
        <f t="shared" si="36"/>
        <v>87.801612218507501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3.0703163477208144</v>
      </c>
      <c r="AV40" s="21">
        <f>EXP(-LN(2)/25)*AV39+(1-EXP(-LN(2)/25))/(LN(2)/25)*Calculateur!AQ40*Calculateur!AS40*VLOOKUP('Données projet'!$B$10,Paramètres!$A$1:$I$89,3,0)*0.475*44/12</f>
        <v>7.3928420362507721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10.463158383971587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16.536250000000003</v>
      </c>
      <c r="N41" s="13">
        <f>IF('Données projet'!$A$36&gt;35,N40+M41-V40,IF(A41&lt;'Données projet'!$A$36,$K$205^A41,IF(A41='Données projet'!$A$36,'Données projet'!$B$36,N40+M41-V40)))</f>
        <v>268.13249999999994</v>
      </c>
      <c r="O41" s="13">
        <f>N41*VLOOKUP('Données projet'!$B$9,Paramètres!$A$1:$I$89,3,0)*VLOOKUP('Données projet'!$B$9,Paramètres!$A$1:$I$89,5,0)</f>
        <v>160.34323499999996</v>
      </c>
      <c r="P41" s="13">
        <f t="shared" si="33"/>
        <v>40.919923361013716</v>
      </c>
      <c r="Q41" s="20">
        <f t="shared" si="53"/>
        <v>350.53333414543209</v>
      </c>
      <c r="R41" s="59">
        <f t="shared" si="0"/>
        <v>643.86666747876541</v>
      </c>
      <c r="S41" s="59">
        <f ca="1">AVERAGE(OFFSET($R$3,0,0,'Données projet'!$E$9+1,1))-AVERAGE(OFFSET($H$3,0,0,'Données projet'!$E$9+1,1))</f>
        <v>212.70058550761718</v>
      </c>
      <c r="T41" s="59">
        <f t="shared" si="34"/>
        <v>208.28274083874896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10.994058725541697</v>
      </c>
      <c r="AA41" s="21">
        <f>EXP(-LN(2)/25)*AA40+(1-EXP(-LN(2)/25))/(LN(2)/25)*Calculateur!V41*Calculateur!X41*VLOOKUP('Données projet'!$B$9,Paramètres!$A$1:$I$89,3,0)*0.475*44/12</f>
        <v>43.839685583175189</v>
      </c>
      <c r="AB41" s="21">
        <f>EXP(-LN(2)/2)*AB40+(1-EXP(-LN(2)/2))/(LN(2)/2)*V41*Y41*VLOOKUP('Données projet'!$B$9,Paramètres!$A$1:$I$89,3,0)*0.475*44/12</f>
        <v>0</v>
      </c>
      <c r="AC41" s="22">
        <f t="shared" si="3"/>
        <v>54.833744308716888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4.4871794871794863</v>
      </c>
      <c r="AI41" s="13">
        <f>IF('Données projet'!$A$62&gt;35,AI40+AH41-AQ40,IF(A41&lt;'Données projet'!$A$62,$AF$205^A41,IF(A41='Données projet'!$A$62,'Données projet'!$B$62,AI40+AH41-AQ40)))</f>
        <v>87.179487179487168</v>
      </c>
      <c r="AJ41" s="13">
        <f>AI41*VLOOKUP('Données projet'!$B$10,Paramètres!$A$1:$I$89,3,0)*VLOOKUP('Données projet'!$B$10,Paramètres!$A$1:$I$89,5,0)</f>
        <v>76.16</v>
      </c>
      <c r="AK41" s="13">
        <f t="shared" si="35"/>
        <v>21.195613176537421</v>
      </c>
      <c r="AL41" s="20">
        <f t="shared" si="4"/>
        <v>169.56102628246933</v>
      </c>
      <c r="AM41" s="59">
        <f t="shared" si="5"/>
        <v>462.89435961580261</v>
      </c>
      <c r="AN41" s="59">
        <f ca="1">AVERAGE(OFFSET($AM$3,0,0,'Données projet'!$E$10+1,1))-AVERAGE(OFFSET($H$3,0,0,'Données projet'!$E$10+1,1))</f>
        <v>74.715815024475376</v>
      </c>
      <c r="AO41" s="59">
        <f t="shared" si="36"/>
        <v>87.801612218507501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3.010109316850067</v>
      </c>
      <c r="AV41" s="21">
        <f>EXP(-LN(2)/25)*AV40+(1-EXP(-LN(2)/25))/(LN(2)/25)*Calculateur!AQ41*Calculateur!AS41*VLOOKUP('Données projet'!$B$10,Paramètres!$A$1:$I$89,3,0)*0.475*44/12</f>
        <v>7.1906843819968289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10.200793698846896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16.536250000000003</v>
      </c>
      <c r="N42" s="13">
        <f>IF('Données projet'!$A$36&gt;35,N41+M42-V41,IF(A42&lt;'Données projet'!$A$36,$K$205^A42,IF(A42='Données projet'!$A$36,'Données projet'!$B$36,N41+M42-V41)))</f>
        <v>284.66874999999993</v>
      </c>
      <c r="O42" s="13">
        <f>N42*VLOOKUP('Données projet'!$B$9,Paramètres!$A$1:$I$89,3,0)*VLOOKUP('Données projet'!$B$9,Paramètres!$A$1:$I$89,5,0)</f>
        <v>170.23191249999999</v>
      </c>
      <c r="P42" s="13">
        <f t="shared" si="33"/>
        <v>43.141960148805921</v>
      </c>
      <c r="Q42" s="20">
        <f t="shared" si="53"/>
        <v>371.62616153000363</v>
      </c>
      <c r="R42" s="59">
        <f t="shared" si="0"/>
        <v>664.95949486333689</v>
      </c>
      <c r="S42" s="59">
        <f ca="1">AVERAGE(OFFSET($R$3,0,0,'Données projet'!$E$9+1,1))-AVERAGE(OFFSET($H$3,0,0,'Données projet'!$E$9+1,1))</f>
        <v>212.70058550761718</v>
      </c>
      <c r="T42" s="59">
        <f t="shared" si="34"/>
        <v>208.28274083874896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10.778471939647513</v>
      </c>
      <c r="AA42" s="21">
        <f>EXP(-LN(2)/25)*AA41+(1-EXP(-LN(2)/25))/(LN(2)/25)*Calculateur!V42*Calculateur!X42*VLOOKUP('Données projet'!$B$9,Paramètres!$A$1:$I$89,3,0)*0.475*44/12</f>
        <v>42.640887075474396</v>
      </c>
      <c r="AB42" s="21">
        <f>EXP(-LN(2)/2)*AB41+(1-EXP(-LN(2)/2))/(LN(2)/2)*V42*Y42*VLOOKUP('Données projet'!$B$9,Paramètres!$A$1:$I$89,3,0)*0.475*44/12</f>
        <v>0</v>
      </c>
      <c r="AC42" s="22">
        <f t="shared" si="3"/>
        <v>53.419359015121913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4.4871794871794863</v>
      </c>
      <c r="AI42" s="13">
        <f>IF('Données projet'!$A$62&gt;35,AI41+AH42-AQ41,IF(A42&lt;'Données projet'!$A$62,$AF$205^A42,IF(A42='Données projet'!$A$62,'Données projet'!$B$62,AI41+AH42-AQ41)))</f>
        <v>91.666666666666657</v>
      </c>
      <c r="AJ42" s="13">
        <f>AI42*VLOOKUP('Données projet'!$B$10,Paramètres!$A$1:$I$89,3,0)*VLOOKUP('Données projet'!$B$10,Paramètres!$A$1:$I$89,5,0)</f>
        <v>80.080000000000013</v>
      </c>
      <c r="AK42" s="13">
        <f t="shared" si="35"/>
        <v>22.156743406564654</v>
      </c>
      <c r="AL42" s="20">
        <f t="shared" si="4"/>
        <v>178.06232809976677</v>
      </c>
      <c r="AM42" s="59">
        <f t="shared" si="5"/>
        <v>471.39566143310009</v>
      </c>
      <c r="AN42" s="59">
        <f ca="1">AVERAGE(OFFSET($AM$3,0,0,'Données projet'!$E$10+1,1))-AVERAGE(OFFSET($H$3,0,0,'Données projet'!$E$10+1,1))</f>
        <v>74.715815024475376</v>
      </c>
      <c r="AO42" s="59">
        <f t="shared" si="36"/>
        <v>87.801612218507501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2.9510829091320319</v>
      </c>
      <c r="AV42" s="21">
        <f>EXP(-LN(2)/25)*AV41+(1-EXP(-LN(2)/25))/(LN(2)/25)*Calculateur!AQ42*Calculateur!AS42*VLOOKUP('Données projet'!$B$10,Paramètres!$A$1:$I$89,3,0)*0.475*44/12</f>
        <v>6.9940547394294681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9.9451376485615004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16.536250000000003</v>
      </c>
      <c r="N43" s="13">
        <f>IF('Données projet'!$A$36&gt;35,N42+M43-V42,IF(A43&lt;'Données projet'!$A$36,$K$205^A43,IF(A43='Données projet'!$A$36,'Données projet'!$B$36,N42+M43-V42)))</f>
        <v>301.20499999999993</v>
      </c>
      <c r="O43" s="13">
        <f>N43*VLOOKUP('Données projet'!$B$9,Paramètres!$A$1:$I$89,3,0)*VLOOKUP('Données projet'!$B$9,Paramètres!$A$1:$I$89,5,0)</f>
        <v>180.12058999999999</v>
      </c>
      <c r="P43" s="13">
        <f t="shared" si="33"/>
        <v>45.349014174000445</v>
      </c>
      <c r="Q43" s="20">
        <f t="shared" si="53"/>
        <v>392.69289393638411</v>
      </c>
      <c r="R43" s="59">
        <f t="shared" si="0"/>
        <v>686.02622726971742</v>
      </c>
      <c r="S43" s="59">
        <f ca="1">AVERAGE(OFFSET($R$3,0,0,'Données projet'!$E$9+1,1))-AVERAGE(OFFSET($H$3,0,0,'Données projet'!$E$9+1,1))</f>
        <v>212.70058550761718</v>
      </c>
      <c r="T43" s="59">
        <f t="shared" si="34"/>
        <v>208.28274083874896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10.567112679129758</v>
      </c>
      <c r="AA43" s="21">
        <f>EXP(-LN(2)/25)*AA42+(1-EXP(-LN(2)/25))/(LN(2)/25)*Calculateur!V43*Calculateur!X43*VLOOKUP('Données projet'!$B$9,Paramètres!$A$1:$I$89,3,0)*0.475*44/12</f>
        <v>41.474869776008752</v>
      </c>
      <c r="AB43" s="21">
        <f>EXP(-LN(2)/2)*AB42+(1-EXP(-LN(2)/2))/(LN(2)/2)*V43*Y43*VLOOKUP('Données projet'!$B$9,Paramètres!$A$1:$I$89,3,0)*0.475*44/12</f>
        <v>0</v>
      </c>
      <c r="AC43" s="22">
        <f t="shared" si="3"/>
        <v>52.041982455138509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96.153846153846146</v>
      </c>
      <c r="AG43" s="12">
        <f>VLOOKUP(A43,'Données projet'!$A$61:$I$81,9,0)</f>
        <v>4.4871794871794863</v>
      </c>
      <c r="AH43" s="12">
        <f t="array" ref="AH43">INDEX(AG:AG,MIN(IF(ISNUMBER(AG43:AG239),ROW(AG43:AG239),"")))</f>
        <v>4.4871794871794863</v>
      </c>
      <c r="AI43" s="13">
        <f>IF('Données projet'!$A$62&gt;35,AI42+AH43-AQ42,IF(A43&lt;'Données projet'!$A$62,$AF$205^A43,IF(A43='Données projet'!$A$62,'Données projet'!$B$62,AI42+AH43-AQ42)))</f>
        <v>96.153846153846146</v>
      </c>
      <c r="AJ43" s="13">
        <f>AI43*VLOOKUP('Données projet'!$B$10,Paramètres!$A$1:$I$89,3,0)*VLOOKUP('Données projet'!$B$10,Paramètres!$A$1:$I$89,5,0)</f>
        <v>84</v>
      </c>
      <c r="AK43" s="13">
        <f t="shared" si="35"/>
        <v>23.112410479560449</v>
      </c>
      <c r="AL43" s="20">
        <f t="shared" si="4"/>
        <v>186.55411491856776</v>
      </c>
      <c r="AM43" s="59">
        <f t="shared" si="5"/>
        <v>479.88744825190111</v>
      </c>
      <c r="AN43" s="59">
        <f ca="1">AVERAGE(OFFSET($AM$3,0,0,'Données projet'!$E$10+1,1))-AVERAGE(OFFSET($H$3,0,0,'Données projet'!$E$10+1,1))</f>
        <v>74.715815024475376</v>
      </c>
      <c r="AO43" s="59">
        <f t="shared" si="36"/>
        <v>87.801612218507501</v>
      </c>
      <c r="AP43" s="15">
        <f>IF(ISNA(VLOOKUP(A43,'Données projet'!$A$61:$I$81,3,0)),0,VLOOKUP(A43,'Données projet'!$A$61:$I$81,3,0))</f>
        <v>7</v>
      </c>
      <c r="AQ43" s="15">
        <f>IF(ISNA(VLOOKUP(A43,'Données projet'!$A$61:$I$81,4,0)),0,VLOOKUP(A43,'Données projet'!$A$61:$I$81,4,0))</f>
        <v>12.820512820512819</v>
      </c>
      <c r="AR43" s="16">
        <f>IF(ISNA(VLOOKUP(A43,'Données projet'!$A$61:$I$81,5,0)),0%,VLOOKUP(A43,'Données projet'!$A$61:$I$81,5,0)*VLOOKUP('Données projet'!$B$10,Paramètres!$A$1:$I$89,7,0))</f>
        <v>0.25800000000000001</v>
      </c>
      <c r="AS43" s="16">
        <f>IF(ISNA(VLOOKUP(A43,'Données projet'!$A$61:$I$81,6,0)),0%,VLOOKUP(A43,'Données projet'!$A$61:$I$81,6,0)*VLOOKUP('Données projet'!$B$10,Paramètres!$A$1:$I$89,7,0))</f>
        <v>8.6000000000000007E-2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6.0875811819652066</v>
      </c>
      <c r="AV43" s="21">
        <f>EXP(-LN(2)/25)*AV42+(1-EXP(-LN(2)/25))/(LN(2)/25)*Calculateur!AQ43*Calculateur!AS43*VLOOKUP('Données projet'!$B$10,Paramètres!$A$1:$I$89,3,0)*0.475*44/12</f>
        <v>7.8633985340612282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13.950979716026435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16.536250000000003</v>
      </c>
      <c r="N44" s="13">
        <f>IF('Données projet'!$A$36&gt;35,N43+M44-V43,IF(A44&lt;'Données projet'!$A$36,$K$205^A44,IF(A44='Données projet'!$A$36,'Données projet'!$B$36,N43+M44-V43)))</f>
        <v>317.74124999999992</v>
      </c>
      <c r="O44" s="13">
        <f>N44*VLOOKUP('Données projet'!$B$9,Paramètres!$A$1:$I$89,3,0)*VLOOKUP('Données projet'!$B$9,Paramètres!$A$1:$I$89,5,0)</f>
        <v>190.00926749999999</v>
      </c>
      <c r="P44" s="13">
        <f t="shared" si="33"/>
        <v>47.542001758079778</v>
      </c>
      <c r="Q44" s="20">
        <f t="shared" si="53"/>
        <v>413.73512729115561</v>
      </c>
      <c r="R44" s="59">
        <f t="shared" si="0"/>
        <v>707.06846062448892</v>
      </c>
      <c r="S44" s="59">
        <f ca="1">AVERAGE(OFFSET($R$3,0,0,'Données projet'!$E$9+1,1))-AVERAGE(OFFSET($H$3,0,0,'Données projet'!$E$9+1,1))</f>
        <v>212.70058550761718</v>
      </c>
      <c r="T44" s="59">
        <f t="shared" si="34"/>
        <v>208.28274083874896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10.359898044794338</v>
      </c>
      <c r="AA44" s="21">
        <f>EXP(-LN(2)/25)*AA43+(1-EXP(-LN(2)/25))/(LN(2)/25)*Calculateur!V44*Calculateur!X44*VLOOKUP('Données projet'!$B$9,Paramètres!$A$1:$I$89,3,0)*0.475*44/12</f>
        <v>40.340737280915185</v>
      </c>
      <c r="AB44" s="21">
        <f>EXP(-LN(2)/2)*AB43+(1-EXP(-LN(2)/2))/(LN(2)/2)*V44*Y44*VLOOKUP('Données projet'!$B$9,Paramètres!$A$1:$I$89,3,0)*0.475*44/12</f>
        <v>0</v>
      </c>
      <c r="AC44" s="22">
        <f t="shared" si="3"/>
        <v>50.700635325709527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4.1025641025641022</v>
      </c>
      <c r="AI44" s="13">
        <f>IF('Données projet'!$A$62&gt;35,AI43+AH44-AQ43,IF(A44&lt;'Données projet'!$A$62,$AF$205^A44,IF(A44='Données projet'!$A$62,'Données projet'!$B$62,AI43+AH44-AQ43)))</f>
        <v>87.435897435897431</v>
      </c>
      <c r="AJ44" s="13">
        <f>AI44*VLOOKUP('Données projet'!$B$10,Paramètres!$A$1:$I$89,3,0)*VLOOKUP('Données projet'!$B$10,Paramètres!$A$1:$I$89,5,0)</f>
        <v>76.384000000000015</v>
      </c>
      <c r="AK44" s="13">
        <f t="shared" si="35"/>
        <v>21.250687416058835</v>
      </c>
      <c r="AL44" s="20">
        <f t="shared" si="4"/>
        <v>170.04708058296916</v>
      </c>
      <c r="AM44" s="59">
        <f t="shared" si="5"/>
        <v>463.38041391630247</v>
      </c>
      <c r="AN44" s="59">
        <f ca="1">AVERAGE(OFFSET($AM$3,0,0,'Données projet'!$E$10+1,1))-AVERAGE(OFFSET($H$3,0,0,'Données projet'!$E$10+1,1))</f>
        <v>74.715815024475376</v>
      </c>
      <c r="AO44" s="59">
        <f t="shared" si="36"/>
        <v>87.801612218507501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5.9682074280447557</v>
      </c>
      <c r="AV44" s="21">
        <f>EXP(-LN(2)/25)*AV43+(1-EXP(-LN(2)/25))/(LN(2)/25)*Calculateur!AQ44*Calculateur!AS44*VLOOKUP('Données projet'!$B$10,Paramètres!$A$1:$I$89,3,0)*0.475*44/12</f>
        <v>7.6483734876291667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13.616580915673921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16.536250000000003</v>
      </c>
      <c r="N45" s="13">
        <f>IF('Données projet'!$A$36&gt;35,N44+M45-V44,IF(A45&lt;'Données projet'!$A$36,$K$205^A45,IF(A45='Données projet'!$A$36,'Données projet'!$B$36,N44+M45-V44)))</f>
        <v>334.27749999999992</v>
      </c>
      <c r="O45" s="13">
        <f>N45*VLOOKUP('Données projet'!$B$9,Paramètres!$A$1:$I$89,3,0)*VLOOKUP('Données projet'!$B$9,Paramètres!$A$1:$I$89,5,0)</f>
        <v>199.89794499999996</v>
      </c>
      <c r="P45" s="13">
        <f t="shared" si="33"/>
        <v>49.721738459069584</v>
      </c>
      <c r="Q45" s="20">
        <f t="shared" si="53"/>
        <v>434.75428202454617</v>
      </c>
      <c r="R45" s="59">
        <f t="shared" si="0"/>
        <v>728.08761535787949</v>
      </c>
      <c r="S45" s="59">
        <f ca="1">AVERAGE(OFFSET($R$3,0,0,'Données projet'!$E$9+1,1))-AVERAGE(OFFSET($H$3,0,0,'Données projet'!$E$9+1,1))</f>
        <v>212.70058550761718</v>
      </c>
      <c r="T45" s="59">
        <f t="shared" si="34"/>
        <v>208.28274083874896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10.156746763049787</v>
      </c>
      <c r="AA45" s="21">
        <f>EXP(-LN(2)/25)*AA44+(1-EXP(-LN(2)/25))/(LN(2)/25)*Calculateur!V45*Calculateur!X45*VLOOKUP('Données projet'!$B$9,Paramètres!$A$1:$I$89,3,0)*0.475*44/12</f>
        <v>39.237617698541385</v>
      </c>
      <c r="AB45" s="21">
        <f>EXP(-LN(2)/2)*AB44+(1-EXP(-LN(2)/2))/(LN(2)/2)*V45*Y45*VLOOKUP('Données projet'!$B$9,Paramètres!$A$1:$I$89,3,0)*0.475*44/12</f>
        <v>0</v>
      </c>
      <c r="AC45" s="22">
        <f t="shared" si="3"/>
        <v>49.394364461591174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4.1025641025641022</v>
      </c>
      <c r="AI45" s="13">
        <f>IF('Données projet'!$A$62&gt;35,AI44+AH45-AQ44,IF(A45&lt;'Données projet'!$A$62,$AF$205^A45,IF(A45='Données projet'!$A$62,'Données projet'!$B$62,AI44+AH45-AQ44)))</f>
        <v>91.538461538461533</v>
      </c>
      <c r="AJ45" s="13">
        <f>AI45*VLOOKUP('Données projet'!$B$10,Paramètres!$A$1:$I$89,3,0)*VLOOKUP('Données projet'!$B$10,Paramètres!$A$1:$I$89,5,0)</f>
        <v>79.968000000000004</v>
      </c>
      <c r="AK45" s="13">
        <f t="shared" si="35"/>
        <v>22.12935978012921</v>
      </c>
      <c r="AL45" s="20">
        <f t="shared" si="4"/>
        <v>177.81956828372503</v>
      </c>
      <c r="AM45" s="59">
        <f t="shared" si="5"/>
        <v>471.15290161705832</v>
      </c>
      <c r="AN45" s="59">
        <f ca="1">AVERAGE(OFFSET($AM$3,0,0,'Données projet'!$E$10+1,1))-AVERAGE(OFFSET($H$3,0,0,'Données projet'!$E$10+1,1))</f>
        <v>74.715815024475376</v>
      </c>
      <c r="AO45" s="59">
        <f t="shared" si="36"/>
        <v>87.801612218507501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5.8511745206278842</v>
      </c>
      <c r="AV45" s="21">
        <f>EXP(-LN(2)/25)*AV44+(1-EXP(-LN(2)/25))/(LN(2)/25)*Calculateur!AQ45*Calculateur!AS45*VLOOKUP('Données projet'!$B$10,Paramètres!$A$1:$I$89,3,0)*0.475*44/12</f>
        <v>7.4392283123994662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13.29040283302735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16.536250000000003</v>
      </c>
      <c r="N46" s="13">
        <f>IF('Données projet'!$A$36&gt;35,N45+M46-V45,IF(A46&lt;'Données projet'!$A$36,$K$205^A46,IF(A46='Données projet'!$A$36,'Données projet'!$B$36,N45+M46-V45)))</f>
        <v>350.81374999999991</v>
      </c>
      <c r="O46" s="13">
        <f>N46*VLOOKUP('Données projet'!$B$9,Paramètres!$A$1:$I$89,3,0)*VLOOKUP('Données projet'!$B$9,Paramètres!$A$1:$I$89,5,0)</f>
        <v>209.78662249999996</v>
      </c>
      <c r="P46" s="13">
        <f t="shared" si="33"/>
        <v>51.888954587591464</v>
      </c>
      <c r="Q46" s="20">
        <f t="shared" si="53"/>
        <v>455.75163009422175</v>
      </c>
      <c r="R46" s="59">
        <f t="shared" si="0"/>
        <v>749.08496342755507</v>
      </c>
      <c r="S46" s="59">
        <f ca="1">AVERAGE(OFFSET($R$3,0,0,'Données projet'!$E$9+1,1))-AVERAGE(OFFSET($H$3,0,0,'Données projet'!$E$9+1,1))</f>
        <v>212.70058550761718</v>
      </c>
      <c r="T46" s="59">
        <f t="shared" si="34"/>
        <v>208.28274083874896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9.957579154030201</v>
      </c>
      <c r="AA46" s="21">
        <f>EXP(-LN(2)/25)*AA45+(1-EXP(-LN(2)/25))/(LN(2)/25)*Calculateur!V46*Calculateur!X46*VLOOKUP('Données projet'!$B$9,Paramètres!$A$1:$I$89,3,0)*0.475*44/12</f>
        <v>38.164662979158138</v>
      </c>
      <c r="AB46" s="21">
        <f>EXP(-LN(2)/2)*AB45+(1-EXP(-LN(2)/2))/(LN(2)/2)*V46*Y46*VLOOKUP('Données projet'!$B$9,Paramètres!$A$1:$I$89,3,0)*0.475*44/12</f>
        <v>0</v>
      </c>
      <c r="AC46" s="22">
        <f t="shared" si="3"/>
        <v>48.122242133188337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4.1025641025641022</v>
      </c>
      <c r="AI46" s="13">
        <f>IF('Données projet'!$A$62&gt;35,AI45+AH46-AQ45,IF(A46&lt;'Données projet'!$A$62,$AF$205^A46,IF(A46='Données projet'!$A$62,'Données projet'!$B$62,AI45+AH46-AQ45)))</f>
        <v>95.641025641025635</v>
      </c>
      <c r="AJ46" s="13">
        <f>AI46*VLOOKUP('Données projet'!$B$10,Paramètres!$A$1:$I$89,3,0)*VLOOKUP('Données projet'!$B$10,Paramètres!$A$1:$I$89,5,0)</f>
        <v>83.552000000000007</v>
      </c>
      <c r="AK46" s="13">
        <f t="shared" si="35"/>
        <v>23.003458599323775</v>
      </c>
      <c r="AL46" s="20">
        <f t="shared" si="4"/>
        <v>185.58409039382227</v>
      </c>
      <c r="AM46" s="59">
        <f t="shared" si="5"/>
        <v>478.91742372715555</v>
      </c>
      <c r="AN46" s="59">
        <f ca="1">AVERAGE(OFFSET($AM$3,0,0,'Données projet'!$E$10+1,1))-AVERAGE(OFFSET($H$3,0,0,'Données projet'!$E$10+1,1))</f>
        <v>74.715815024475376</v>
      </c>
      <c r="AO46" s="59">
        <f t="shared" si="36"/>
        <v>87.801612218507501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5.7364365571424329</v>
      </c>
      <c r="AV46" s="21">
        <f>EXP(-LN(2)/25)*AV45+(1-EXP(-LN(2)/25))/(LN(2)/25)*Calculateur!AQ46*Calculateur!AS46*VLOOKUP('Données projet'!$B$10,Paramètres!$A$1:$I$89,3,0)*0.475*44/12</f>
        <v>7.2358022229848888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12.972238780127322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>
        <f>VLOOKUP(A47,'Données projet'!$A$35:$I$55,2,0)</f>
        <v>367.35</v>
      </c>
      <c r="L47" s="12">
        <f>VLOOKUP(A47,'Données projet'!$A$35:$I$55,9,0)</f>
        <v>16.536250000000003</v>
      </c>
      <c r="M47" s="12">
        <f t="array" ref="M47">INDEX(L:L,MIN(IF(ISNUMBER(L47:L243),ROW(L47:L243),"")))</f>
        <v>16.536250000000003</v>
      </c>
      <c r="N47" s="13">
        <f>IF('Données projet'!$A$36&gt;35,N46+M47-V46,IF(A47&lt;'Données projet'!$A$36,$K$205^A47,IF(A47='Données projet'!$A$36,'Données projet'!$B$36,N46+M47-V46)))</f>
        <v>367.34999999999991</v>
      </c>
      <c r="O47" s="13">
        <f>N47*VLOOKUP('Données projet'!$B$9,Paramètres!$A$1:$I$89,3,0)*VLOOKUP('Données projet'!$B$9,Paramètres!$A$1:$I$89,5,0)</f>
        <v>219.67529999999996</v>
      </c>
      <c r="P47" s="13">
        <f t="shared" si="33"/>
        <v>54.044307714561441</v>
      </c>
      <c r="Q47" s="20">
        <f t="shared" si="53"/>
        <v>476.72831676952774</v>
      </c>
      <c r="R47" s="59">
        <f t="shared" si="0"/>
        <v>770.06165010286099</v>
      </c>
      <c r="S47" s="59">
        <f ca="1">AVERAGE(OFFSET($R$3,0,0,'Données projet'!$E$9+1,1))-AVERAGE(OFFSET($H$3,0,0,'Données projet'!$E$9+1,1))</f>
        <v>212.70058550761718</v>
      </c>
      <c r="T47" s="59">
        <f t="shared" si="34"/>
        <v>208.28274083874896</v>
      </c>
      <c r="U47" s="15">
        <f>IF(ISNA(VLOOKUP(A47,'Données projet'!$A$35:$I$55,3,0)),0,VLOOKUP(A47,'Données projet'!$A$35:$I$55,3,0))</f>
        <v>5</v>
      </c>
      <c r="V47" s="15">
        <f>IF(ISNA(VLOOKUP(A47,'Données projet'!$A$35:$I$55,4,0)),0,VLOOKUP(A47,'Données projet'!$A$35:$I$55,4,0))</f>
        <v>77.91</v>
      </c>
      <c r="W47" s="16">
        <f>IF(ISNA(VLOOKUP(A47,'Données projet'!$A$35:$I$55,5,0)),0%,VLOOKUP(A47,'Données projet'!$A$35:$I$55,5,0)*VLOOKUP('Données projet'!$B$9,Paramètres!$A$1:$I$89,7,0))</f>
        <v>0.13500000000000001</v>
      </c>
      <c r="X47" s="16">
        <f>IF(ISNA(VLOOKUP(A47,'Données projet'!$A$35:$I$55,6,0)),0%,VLOOKUP(A47,'Données projet'!$A$35:$I$55,6,0)*VLOOKUP('Données projet'!$B$9,Paramètres!$A$1:$I$89,7,0))</f>
        <v>0.22500000000000001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18.105975463014815</v>
      </c>
      <c r="AA47" s="21">
        <f>EXP(-LN(2)/25)*AA46+(1-EXP(-LN(2)/25))/(LN(2)/25)*Calculateur!V47*Calculateur!X47*VLOOKUP('Données projet'!$B$9,Paramètres!$A$1:$I$89,3,0)*0.475*44/12</f>
        <v>50.972391930525085</v>
      </c>
      <c r="AB47" s="21">
        <f>EXP(-LN(2)/2)*AB46+(1-EXP(-LN(2)/2))/(LN(2)/2)*V47*Y47*VLOOKUP('Données projet'!$B$9,Paramètres!$A$1:$I$89,3,0)*0.475*44/12</f>
        <v>0</v>
      </c>
      <c r="AC47" s="22">
        <f t="shared" si="3"/>
        <v>69.078367393539907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4.1025641025641022</v>
      </c>
      <c r="AI47" s="13">
        <f>IF('Données projet'!$A$62&gt;35,AI46+AH47-AQ46,IF(A47&lt;'Données projet'!$A$62,$AF$205^A47,IF(A47='Données projet'!$A$62,'Données projet'!$B$62,AI46+AH47-AQ46)))</f>
        <v>99.743589743589737</v>
      </c>
      <c r="AJ47" s="13">
        <f>AI47*VLOOKUP('Données projet'!$B$10,Paramètres!$A$1:$I$89,3,0)*VLOOKUP('Données projet'!$B$10,Paramètres!$A$1:$I$89,5,0)</f>
        <v>87.13600000000001</v>
      </c>
      <c r="AK47" s="13">
        <f t="shared" si="35"/>
        <v>23.873202484658083</v>
      </c>
      <c r="AL47" s="20">
        <f t="shared" si="4"/>
        <v>193.34102766077947</v>
      </c>
      <c r="AM47" s="59">
        <f t="shared" si="5"/>
        <v>486.67436099411282</v>
      </c>
      <c r="AN47" s="59">
        <f ca="1">AVERAGE(OFFSET($AM$3,0,0,'Données projet'!$E$10+1,1))-AVERAGE(OFFSET($H$3,0,0,'Données projet'!$E$10+1,1))</f>
        <v>74.715815024475376</v>
      </c>
      <c r="AO47" s="59">
        <f t="shared" si="36"/>
        <v>87.801612218507501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5.6239485351376839</v>
      </c>
      <c r="AV47" s="21">
        <f>EXP(-LN(2)/25)*AV46+(1-EXP(-LN(2)/25))/(LN(2)/25)*Calculateur!AQ47*Calculateur!AS47*VLOOKUP('Données projet'!$B$10,Paramètres!$A$1:$I$89,3,0)*0.475*44/12</f>
        <v>7.0379388306830659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12.66188736582075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14.64374999999999</v>
      </c>
      <c r="N48" s="13">
        <f>IF('Données projet'!$A$36&gt;35,N47+M48-V47,IF(A48&lt;'Données projet'!$A$36,$K$205^A48,IF(A48='Données projet'!$A$36,'Données projet'!$B$36,N47+M48-V47)))</f>
        <v>304.0837499999999</v>
      </c>
      <c r="O48" s="13">
        <f>N48*VLOOKUP('Données projet'!$B$9,Paramètres!$A$1:$I$89,3,0)*VLOOKUP('Données projet'!$B$9,Paramètres!$A$1:$I$89,5,0)</f>
        <v>181.84208249999998</v>
      </c>
      <c r="P48" s="13">
        <f t="shared" si="33"/>
        <v>45.731772411922861</v>
      </c>
      <c r="Q48" s="20">
        <f t="shared" si="53"/>
        <v>396.35779730493226</v>
      </c>
      <c r="R48" s="59">
        <f t="shared" si="0"/>
        <v>689.69113063826558</v>
      </c>
      <c r="S48" s="59">
        <f ca="1">AVERAGE(OFFSET($R$3,0,0,'Données projet'!$E$9+1,1))-AVERAGE(OFFSET($H$3,0,0,'Données projet'!$E$9+1,1))</f>
        <v>212.70058550761718</v>
      </c>
      <c r="T48" s="59">
        <f t="shared" si="34"/>
        <v>208.28274083874896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17.750928327739665</v>
      </c>
      <c r="AA48" s="21">
        <f>EXP(-LN(2)/25)*AA47+(1-EXP(-LN(2)/25))/(LN(2)/25)*Calculateur!V48*Calculateur!X48*VLOOKUP('Données projet'!$B$9,Paramètres!$A$1:$I$89,3,0)*0.475*44/12</f>
        <v>49.578549192663282</v>
      </c>
      <c r="AB48" s="21">
        <f>EXP(-LN(2)/2)*AB47+(1-EXP(-LN(2)/2))/(LN(2)/2)*V48*Y48*VLOOKUP('Données projet'!$B$9,Paramètres!$A$1:$I$89,3,0)*0.475*44/12</f>
        <v>0</v>
      </c>
      <c r="AC48" s="22">
        <f t="shared" si="3"/>
        <v>67.329477520402946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103.84615384615384</v>
      </c>
      <c r="AG48" s="12">
        <f>VLOOKUP(A48,'Données projet'!$A$61:$I$81,9,0)</f>
        <v>4.1025641025641022</v>
      </c>
      <c r="AH48" s="12">
        <f t="array" ref="AH48">INDEX(AG:AG,MIN(IF(ISNUMBER(AG48:AG244),ROW(AG48:AG244),"")))</f>
        <v>4.1025641025641022</v>
      </c>
      <c r="AI48" s="13">
        <f>IF('Données projet'!$A$62&gt;35,AI47+AH48-AQ47,IF(A48&lt;'Données projet'!$A$62,$AF$205^A48,IF(A48='Données projet'!$A$62,'Données projet'!$B$62,AI47+AH48-AQ47)))</f>
        <v>103.84615384615384</v>
      </c>
      <c r="AJ48" s="13">
        <f>AI48*VLOOKUP('Données projet'!$B$10,Paramètres!$A$1:$I$89,3,0)*VLOOKUP('Données projet'!$B$10,Paramètres!$A$1:$I$89,5,0)</f>
        <v>90.72</v>
      </c>
      <c r="AK48" s="13">
        <f t="shared" si="35"/>
        <v>24.738791046142097</v>
      </c>
      <c r="AL48" s="20">
        <f t="shared" si="4"/>
        <v>201.0907277386975</v>
      </c>
      <c r="AM48" s="59">
        <f t="shared" si="5"/>
        <v>494.42406107203078</v>
      </c>
      <c r="AN48" s="59">
        <f ca="1">AVERAGE(OFFSET($AM$3,0,0,'Données projet'!$E$10+1,1))-AVERAGE(OFFSET($H$3,0,0,'Données projet'!$E$10+1,1))</f>
        <v>74.715815024475376</v>
      </c>
      <c r="AO48" s="59">
        <f t="shared" si="36"/>
        <v>87.801612218507501</v>
      </c>
      <c r="AP48" s="15">
        <f>IF(ISNA(VLOOKUP(A48,'Données projet'!$A$61:$I$81,3,0)),0,VLOOKUP(A48,'Données projet'!$A$61:$I$81,3,0))</f>
        <v>8</v>
      </c>
      <c r="AQ48" s="15">
        <f>IF(ISNA(VLOOKUP(A48,'Données projet'!$A$61:$I$81,4,0)),0,VLOOKUP(A48,'Données projet'!$A$61:$I$81,4,0))</f>
        <v>12.179487179487179</v>
      </c>
      <c r="AR48" s="16">
        <f>IF(ISNA(VLOOKUP(A48,'Données projet'!$A$61:$I$81,5,0)),0%,VLOOKUP(A48,'Données projet'!$A$61:$I$81,5,0)*VLOOKUP('Données projet'!$B$10,Paramètres!$A$1:$I$89,7,0))</f>
        <v>0.25800000000000001</v>
      </c>
      <c r="AS48" s="16">
        <f>IF(ISNA(VLOOKUP(A48,'Données projet'!$A$61:$I$81,6,0)),0%,VLOOKUP(A48,'Données projet'!$A$61:$I$81,6,0)*VLOOKUP('Données projet'!$B$10,Paramètres!$A$1:$I$89,7,0))</f>
        <v>0.129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8.5483151828970207</v>
      </c>
      <c r="AV48" s="21">
        <f>EXP(-LN(2)/25)*AV47+(1-EXP(-LN(2)/25))/(LN(2)/25)*Calculateur!AQ48*Calculateur!AS48*VLOOKUP('Données projet'!$B$10,Paramètres!$A$1:$I$89,3,0)*0.475*44/12</f>
        <v>8.3568361629769274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16.905151345873946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14.64374999999999</v>
      </c>
      <c r="N49" s="13">
        <f>IF('Données projet'!$A$36&gt;35,N48+M49-V48,IF(A49&lt;'Données projet'!$A$36,$K$205^A49,IF(A49='Données projet'!$A$36,'Données projet'!$B$36,N48+M49-V48)))</f>
        <v>318.72749999999991</v>
      </c>
      <c r="O49" s="13">
        <f>N49*VLOOKUP('Données projet'!$B$9,Paramètres!$A$1:$I$89,3,0)*VLOOKUP('Données projet'!$B$9,Paramètres!$A$1:$I$89,5,0)</f>
        <v>190.59904499999996</v>
      </c>
      <c r="P49" s="13">
        <f t="shared" si="33"/>
        <v>47.672368921426973</v>
      </c>
      <c r="Q49" s="20">
        <f t="shared" si="53"/>
        <v>414.98937924648521</v>
      </c>
      <c r="R49" s="59">
        <f t="shared" si="0"/>
        <v>708.32271257981847</v>
      </c>
      <c r="S49" s="59">
        <f ca="1">AVERAGE(OFFSET($R$3,0,0,'Données projet'!$E$9+1,1))-AVERAGE(OFFSET($H$3,0,0,'Données projet'!$E$9+1,1))</f>
        <v>212.70058550761718</v>
      </c>
      <c r="T49" s="59">
        <f t="shared" si="34"/>
        <v>208.28274083874896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17.402843450229891</v>
      </c>
      <c r="AA49" s="21">
        <f>EXP(-LN(2)/25)*AA48+(1-EXP(-LN(2)/25))/(LN(2)/25)*Calculateur!V49*Calculateur!X49*VLOOKUP('Données projet'!$B$9,Paramètres!$A$1:$I$89,3,0)*0.475*44/12</f>
        <v>48.222821157767314</v>
      </c>
      <c r="AB49" s="21">
        <f>EXP(-LN(2)/2)*AB48+(1-EXP(-LN(2)/2))/(LN(2)/2)*V49*Y49*VLOOKUP('Données projet'!$B$9,Paramètres!$A$1:$I$89,3,0)*0.475*44/12</f>
        <v>0</v>
      </c>
      <c r="AC49" s="22">
        <f t="shared" si="3"/>
        <v>65.625664607997209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3.8461538461538454</v>
      </c>
      <c r="AI49" s="13">
        <f>IF('Données projet'!$A$62&gt;35,AI48+AH49-AQ48,IF(A49&lt;'Données projet'!$A$62,$AF$205^A49,IF(A49='Données projet'!$A$62,'Données projet'!$B$62,AI48+AH49-AQ48)))</f>
        <v>95.512820512820497</v>
      </c>
      <c r="AJ49" s="13">
        <f>AI49*VLOOKUP('Données projet'!$B$10,Paramètres!$A$1:$I$89,3,0)*VLOOKUP('Données projet'!$B$10,Paramètres!$A$1:$I$89,5,0)</f>
        <v>83.44</v>
      </c>
      <c r="AK49" s="13">
        <f t="shared" si="35"/>
        <v>22.976210016812125</v>
      </c>
      <c r="AL49" s="20">
        <f t="shared" si="4"/>
        <v>185.34156577928113</v>
      </c>
      <c r="AM49" s="59">
        <f t="shared" si="5"/>
        <v>478.67489911261441</v>
      </c>
      <c r="AN49" s="59">
        <f ca="1">AVERAGE(OFFSET($AM$3,0,0,'Données projet'!$E$10+1,1))-AVERAGE(OFFSET($H$3,0,0,'Données projet'!$E$10+1,1))</f>
        <v>74.715815024475376</v>
      </c>
      <c r="AO49" s="59">
        <f t="shared" si="36"/>
        <v>87.801612218507501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8.3806879361178357</v>
      </c>
      <c r="AV49" s="21">
        <f>EXP(-LN(2)/25)*AV48+(1-EXP(-LN(2)/25))/(LN(2)/25)*Calculateur!AQ49*Calculateur!AS49*VLOOKUP('Données projet'!$B$10,Paramètres!$A$1:$I$89,3,0)*0.475*44/12</f>
        <v>8.1283180386334095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16.509005974751247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14.64374999999999</v>
      </c>
      <c r="N50" s="13">
        <f>IF('Données projet'!$A$36&gt;35,N49+M50-V49,IF(A50&lt;'Données projet'!$A$36,$K$205^A50,IF(A50='Données projet'!$A$36,'Données projet'!$B$36,N49+M50-V49)))</f>
        <v>333.37124999999992</v>
      </c>
      <c r="O50" s="13">
        <f>N50*VLOOKUP('Données projet'!$B$9,Paramètres!$A$1:$I$89,3,0)*VLOOKUP('Données projet'!$B$9,Paramètres!$A$1:$I$89,5,0)</f>
        <v>199.35600749999998</v>
      </c>
      <c r="P50" s="13">
        <f t="shared" si="33"/>
        <v>49.602611110771242</v>
      </c>
      <c r="Q50" s="20">
        <f t="shared" si="53"/>
        <v>433.6029274137598</v>
      </c>
      <c r="R50" s="59">
        <f t="shared" si="0"/>
        <v>726.93626074709312</v>
      </c>
      <c r="S50" s="59">
        <f ca="1">AVERAGE(OFFSET($R$3,0,0,'Données projet'!$E$9+1,1))-AVERAGE(OFFSET($H$3,0,0,'Données projet'!$E$9+1,1))</f>
        <v>212.70058550761718</v>
      </c>
      <c r="T50" s="59">
        <f t="shared" si="34"/>
        <v>208.28274083874896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17.061584304857274</v>
      </c>
      <c r="AA50" s="21">
        <f>EXP(-LN(2)/25)*AA49+(1-EXP(-LN(2)/25))/(LN(2)/25)*Calculateur!V50*Calculateur!X50*VLOOKUP('Données projet'!$B$9,Paramètres!$A$1:$I$89,3,0)*0.475*44/12</f>
        <v>46.904165577280217</v>
      </c>
      <c r="AB50" s="21">
        <f>EXP(-LN(2)/2)*AB49+(1-EXP(-LN(2)/2))/(LN(2)/2)*V50*Y50*VLOOKUP('Données projet'!$B$9,Paramètres!$A$1:$I$89,3,0)*0.475*44/12</f>
        <v>0</v>
      </c>
      <c r="AC50" s="22">
        <f t="shared" si="3"/>
        <v>63.965749882137487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3.8461538461538454</v>
      </c>
      <c r="AI50" s="13">
        <f>IF('Données projet'!$A$62&gt;35,AI49+AH50-AQ49,IF(A50&lt;'Données projet'!$A$62,$AF$205^A50,IF(A50='Données projet'!$A$62,'Données projet'!$B$62,AI49+AH50-AQ49)))</f>
        <v>99.358974358974336</v>
      </c>
      <c r="AJ50" s="13">
        <f>AI50*VLOOKUP('Données projet'!$B$10,Paramètres!$A$1:$I$89,3,0)*VLOOKUP('Données projet'!$B$10,Paramètres!$A$1:$I$89,5,0)</f>
        <v>86.8</v>
      </c>
      <c r="AK50" s="13">
        <f t="shared" si="35"/>
        <v>23.791843477385203</v>
      </c>
      <c r="AL50" s="20">
        <f t="shared" si="4"/>
        <v>192.61412738977921</v>
      </c>
      <c r="AM50" s="59">
        <f t="shared" si="5"/>
        <v>485.9474607231125</v>
      </c>
      <c r="AN50" s="59">
        <f ca="1">AVERAGE(OFFSET($AM$3,0,0,'Données projet'!$E$10+1,1))-AVERAGE(OFFSET($H$3,0,0,'Données projet'!$E$10+1,1))</f>
        <v>74.715815024475376</v>
      </c>
      <c r="AO50" s="59">
        <f t="shared" si="36"/>
        <v>87.801612218507501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8.2163477574054653</v>
      </c>
      <c r="AV50" s="21">
        <f>EXP(-LN(2)/25)*AV49+(1-EXP(-LN(2)/25))/(LN(2)/25)*Calculateur!AQ50*Calculateur!AS50*VLOOKUP('Données projet'!$B$10,Paramètres!$A$1:$I$89,3,0)*0.475*44/12</f>
        <v>7.906048754417311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16.122396511822778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14.64374999999999</v>
      </c>
      <c r="N51" s="13">
        <f>IF('Données projet'!$A$36&gt;35,N50+M51-V50,IF(A51&lt;'Données projet'!$A$36,$K$205^A51,IF(A51='Données projet'!$A$36,'Données projet'!$B$36,N50+M51-V50)))</f>
        <v>348.01499999999993</v>
      </c>
      <c r="O51" s="13">
        <f>N51*VLOOKUP('Données projet'!$B$9,Paramètres!$A$1:$I$89,3,0)*VLOOKUP('Données projet'!$B$9,Paramètres!$A$1:$I$89,5,0)</f>
        <v>208.11296999999999</v>
      </c>
      <c r="P51" s="13">
        <f t="shared" si="33"/>
        <v>51.52300578513217</v>
      </c>
      <c r="Q51" s="20">
        <f t="shared" si="53"/>
        <v>452.19932449243839</v>
      </c>
      <c r="R51" s="59">
        <f t="shared" si="0"/>
        <v>745.53265782577171</v>
      </c>
      <c r="S51" s="59">
        <f ca="1">AVERAGE(OFFSET($R$3,0,0,'Données projet'!$E$9+1,1))-AVERAGE(OFFSET($H$3,0,0,'Données projet'!$E$9+1,1))</f>
        <v>212.70058550761718</v>
      </c>
      <c r="T51" s="59">
        <f t="shared" si="34"/>
        <v>208.28274083874896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16.727017043177888</v>
      </c>
      <c r="AA51" s="21">
        <f>EXP(-LN(2)/25)*AA50+(1-EXP(-LN(2)/25))/(LN(2)/25)*Calculateur!V51*Calculateur!X51*VLOOKUP('Données projet'!$B$9,Paramètres!$A$1:$I$89,3,0)*0.475*44/12</f>
        <v>45.621568702986622</v>
      </c>
      <c r="AB51" s="21">
        <f>EXP(-LN(2)/2)*AB50+(1-EXP(-LN(2)/2))/(LN(2)/2)*V51*Y51*VLOOKUP('Données projet'!$B$9,Paramètres!$A$1:$I$89,3,0)*0.475*44/12</f>
        <v>0</v>
      </c>
      <c r="AC51" s="22">
        <f t="shared" si="3"/>
        <v>62.34858574616451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3.8461538461538454</v>
      </c>
      <c r="AI51" s="13">
        <f>IF('Données projet'!$A$62&gt;35,AI50+AH51-AQ50,IF(A51&lt;'Données projet'!$A$62,$AF$205^A51,IF(A51='Données projet'!$A$62,'Données projet'!$B$62,AI50+AH51-AQ50)))</f>
        <v>103.20512820512818</v>
      </c>
      <c r="AJ51" s="13">
        <f>AI51*VLOOKUP('Données projet'!$B$10,Paramètres!$A$1:$I$89,3,0)*VLOOKUP('Données projet'!$B$10,Paramètres!$A$1:$I$89,5,0)</f>
        <v>90.159999999999982</v>
      </c>
      <c r="AK51" s="13">
        <f t="shared" si="35"/>
        <v>24.603809151169582</v>
      </c>
      <c r="AL51" s="20">
        <f t="shared" si="4"/>
        <v>199.88030093828698</v>
      </c>
      <c r="AM51" s="59">
        <f t="shared" si="5"/>
        <v>493.21363427162032</v>
      </c>
      <c r="AN51" s="59">
        <f ca="1">AVERAGE(OFFSET($AM$3,0,0,'Données projet'!$E$10+1,1))-AVERAGE(OFFSET($H$3,0,0,'Données projet'!$E$10+1,1))</f>
        <v>74.715815024475376</v>
      </c>
      <c r="AO51" s="59">
        <f t="shared" si="36"/>
        <v>87.801612218507501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8.0552301893600333</v>
      </c>
      <c r="AV51" s="21">
        <f>EXP(-LN(2)/25)*AV50+(1-EXP(-LN(2)/25))/(LN(2)/25)*Calculateur!AQ51*Calculateur!AS51*VLOOKUP('Données projet'!$B$10,Paramètres!$A$1:$I$89,3,0)*0.475*44/12</f>
        <v>7.6898574354667355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15.74508762482677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14.64374999999999</v>
      </c>
      <c r="N52" s="13">
        <f>IF('Données projet'!$A$36&gt;35,N51+M52-V51,IF(A52&lt;'Données projet'!$A$36,$K$205^A52,IF(A52='Données projet'!$A$36,'Données projet'!$B$36,N51+M52-V51)))</f>
        <v>362.65874999999994</v>
      </c>
      <c r="O52" s="13">
        <f>N52*VLOOKUP('Données projet'!$B$9,Paramètres!$A$1:$I$89,3,0)*VLOOKUP('Données projet'!$B$9,Paramètres!$A$1:$I$89,5,0)</f>
        <v>216.86993249999998</v>
      </c>
      <c r="P52" s="13">
        <f t="shared" si="33"/>
        <v>53.434014686329654</v>
      </c>
      <c r="Q52" s="20">
        <f t="shared" si="53"/>
        <v>470.77937468285745</v>
      </c>
      <c r="R52" s="59">
        <f t="shared" si="0"/>
        <v>764.11270801619071</v>
      </c>
      <c r="S52" s="59">
        <f ca="1">AVERAGE(OFFSET($R$3,0,0,'Données projet'!$E$9+1,1))-AVERAGE(OFFSET($H$3,0,0,'Données projet'!$E$9+1,1))</f>
        <v>212.70058550761718</v>
      </c>
      <c r="T52" s="59">
        <f t="shared" si="34"/>
        <v>208.28274083874896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16.399010441434154</v>
      </c>
      <c r="AA52" s="21">
        <f>EXP(-LN(2)/25)*AA51+(1-EXP(-LN(2)/25))/(LN(2)/25)*Calculateur!V52*Calculateur!X52*VLOOKUP('Données projet'!$B$9,Paramètres!$A$1:$I$89,3,0)*0.475*44/12</f>
        <v>44.374044507669424</v>
      </c>
      <c r="AB52" s="21">
        <f>EXP(-LN(2)/2)*AB51+(1-EXP(-LN(2)/2))/(LN(2)/2)*V52*Y52*VLOOKUP('Données projet'!$B$9,Paramètres!$A$1:$I$89,3,0)*0.475*44/12</f>
        <v>0</v>
      </c>
      <c r="AC52" s="22">
        <f t="shared" si="3"/>
        <v>60.773054949103582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3.8461538461538454</v>
      </c>
      <c r="AI52" s="13">
        <f>IF('Données projet'!$A$62&gt;35,AI51+AH52-AQ51,IF(A52&lt;'Données projet'!$A$62,$AF$205^A52,IF(A52='Données projet'!$A$62,'Données projet'!$B$62,AI51+AH52-AQ51)))</f>
        <v>107.05128205128202</v>
      </c>
      <c r="AJ52" s="13">
        <f>AI52*VLOOKUP('Données projet'!$B$10,Paramètres!$A$1:$I$89,3,0)*VLOOKUP('Données projet'!$B$10,Paramètres!$A$1:$I$89,5,0)</f>
        <v>93.519999999999982</v>
      </c>
      <c r="AK52" s="13">
        <f t="shared" si="35"/>
        <v>25.412259377583915</v>
      </c>
      <c r="AL52" s="20">
        <f t="shared" si="4"/>
        <v>207.14035174929197</v>
      </c>
      <c r="AM52" s="59">
        <f t="shared" si="5"/>
        <v>500.47368508262525</v>
      </c>
      <c r="AN52" s="59">
        <f ca="1">AVERAGE(OFFSET($AM$3,0,0,'Données projet'!$E$10+1,1))-AVERAGE(OFFSET($H$3,0,0,'Données projet'!$E$10+1,1))</f>
        <v>74.715815024475376</v>
      </c>
      <c r="AO52" s="59">
        <f t="shared" si="36"/>
        <v>87.801612218507501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7.8972720385519599</v>
      </c>
      <c r="AV52" s="21">
        <f>EXP(-LN(2)/25)*AV51+(1-EXP(-LN(2)/25))/(LN(2)/25)*Calculateur!AQ52*Calculateur!AS52*VLOOKUP('Données projet'!$B$10,Paramètres!$A$1:$I$89,3,0)*0.475*44/12</f>
        <v>7.4795778795018704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15.37684991805383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14.64374999999999</v>
      </c>
      <c r="N53" s="13">
        <f>IF('Données projet'!$A$36&gt;35,N52+M53-V52,IF(A53&lt;'Données projet'!$A$36,$K$205^A53,IF(A53='Données projet'!$A$36,'Données projet'!$B$36,N52+M53-V52)))</f>
        <v>377.30249999999995</v>
      </c>
      <c r="O53" s="13">
        <f>N53*VLOOKUP('Données projet'!$B$9,Paramètres!$A$1:$I$89,3,0)*VLOOKUP('Données projet'!$B$9,Paramètres!$A$1:$I$89,5,0)</f>
        <v>225.62689499999999</v>
      </c>
      <c r="P53" s="13">
        <f t="shared" si="33"/>
        <v>55.336060156511813</v>
      </c>
      <c r="Q53" s="20">
        <f t="shared" si="53"/>
        <v>489.34381356425803</v>
      </c>
      <c r="R53" s="59">
        <f t="shared" si="0"/>
        <v>782.67714689759134</v>
      </c>
      <c r="S53" s="59">
        <f ca="1">AVERAGE(OFFSET($R$3,0,0,'Données projet'!$E$9+1,1))-AVERAGE(OFFSET($H$3,0,0,'Données projet'!$E$9+1,1))</f>
        <v>212.70058550761718</v>
      </c>
      <c r="T53" s="59">
        <f t="shared" si="34"/>
        <v>208.28274083874896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16.077435849086342</v>
      </c>
      <c r="AA53" s="21">
        <f>EXP(-LN(2)/25)*AA52+(1-EXP(-LN(2)/25))/(LN(2)/25)*Calculateur!V53*Calculateur!X53*VLOOKUP('Données projet'!$B$9,Paramètres!$A$1:$I$89,3,0)*0.475*44/12</f>
        <v>43.160633927077619</v>
      </c>
      <c r="AB53" s="21">
        <f>EXP(-LN(2)/2)*AB52+(1-EXP(-LN(2)/2))/(LN(2)/2)*V53*Y53*VLOOKUP('Données projet'!$B$9,Paramètres!$A$1:$I$89,3,0)*0.475*44/12</f>
        <v>0</v>
      </c>
      <c r="AC53" s="22">
        <f t="shared" si="3"/>
        <v>59.238069776163961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110.89743589743588</v>
      </c>
      <c r="AG53" s="12">
        <f>VLOOKUP(A53,'Données projet'!$A$61:$I$81,9,0)</f>
        <v>3.8461538461538454</v>
      </c>
      <c r="AH53" s="12">
        <f t="array" ref="AH53">INDEX(AG:AG,MIN(IF(ISNUMBER(AG53:AG249),ROW(AG53:AG249),"")))</f>
        <v>3.8461538461538454</v>
      </c>
      <c r="AI53" s="13">
        <f>IF('Données projet'!$A$62&gt;35,AI52+AH53-AQ52,IF(A53&lt;'Données projet'!$A$62,$AF$205^A53,IF(A53='Données projet'!$A$62,'Données projet'!$B$62,AI52+AH53-AQ52)))</f>
        <v>110.89743589743586</v>
      </c>
      <c r="AJ53" s="13">
        <f>AI53*VLOOKUP('Données projet'!$B$10,Paramètres!$A$1:$I$89,3,0)*VLOOKUP('Données projet'!$B$10,Paramètres!$A$1:$I$89,5,0)</f>
        <v>96.879999999999981</v>
      </c>
      <c r="AK53" s="13">
        <f t="shared" si="35"/>
        <v>26.217334929013017</v>
      </c>
      <c r="AL53" s="20">
        <f t="shared" si="4"/>
        <v>214.39452500136431</v>
      </c>
      <c r="AM53" s="59">
        <f t="shared" si="5"/>
        <v>507.72785833469766</v>
      </c>
      <c r="AN53" s="59">
        <f ca="1">AVERAGE(OFFSET($AM$3,0,0,'Données projet'!$E$10+1,1))-AVERAGE(OFFSET($H$3,0,0,'Données projet'!$E$10+1,1))</f>
        <v>74.715815024475376</v>
      </c>
      <c r="AO53" s="59">
        <f t="shared" si="36"/>
        <v>87.801612218507501</v>
      </c>
      <c r="AP53" s="15">
        <f>IF(ISNA(VLOOKUP(A53,'Données projet'!$A$61:$I$81,3,0)),0,VLOOKUP(A53,'Données projet'!$A$61:$I$81,3,0))</f>
        <v>9</v>
      </c>
      <c r="AQ53" s="15">
        <f>IF(ISNA(VLOOKUP(A53,'Données projet'!$A$61:$I$81,4,0)),0,VLOOKUP(A53,'Données projet'!$A$61:$I$81,4,0))</f>
        <v>11.538461538461538</v>
      </c>
      <c r="AR53" s="16">
        <f>IF(ISNA(VLOOKUP(A53,'Données projet'!$A$61:$I$81,5,0)),0%,VLOOKUP(A53,'Données projet'!$A$61:$I$81,5,0)*VLOOKUP('Données projet'!$B$10,Paramètres!$A$1:$I$89,7,0))</f>
        <v>0.25800000000000001</v>
      </c>
      <c r="AS53" s="16">
        <f>IF(ISNA(VLOOKUP(A53,'Données projet'!$A$61:$I$81,6,0)),0%,VLOOKUP(A53,'Données projet'!$A$61:$I$81,6,0)*VLOOKUP('Données projet'!$B$10,Paramètres!$A$1:$I$89,7,0))</f>
        <v>0.129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10.617341838564846</v>
      </c>
      <c r="AV53" s="21">
        <f>EXP(-LN(2)/25)*AV52+(1-EXP(-LN(2)/25))/(LN(2)/25)*Calculateur!AQ53*Calculateur!AS53*VLOOKUP('Données projet'!$B$10,Paramètres!$A$1:$I$89,3,0)*0.475*44/12</f>
        <v>8.7068538245847833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19.324195663149631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14.64374999999999</v>
      </c>
      <c r="N54" s="13">
        <f>IF('Données projet'!$A$36&gt;35,N53+M54-V53,IF(A54&lt;'Données projet'!$A$36,$K$205^A54,IF(A54='Données projet'!$A$36,'Données projet'!$B$36,N53+M54-V53)))</f>
        <v>391.94624999999996</v>
      </c>
      <c r="O54" s="13">
        <f>N54*VLOOKUP('Données projet'!$B$9,Paramètres!$A$1:$I$89,3,0)*VLOOKUP('Données projet'!$B$9,Paramètres!$A$1:$I$89,5,0)</f>
        <v>234.3838575</v>
      </c>
      <c r="P54" s="13">
        <f t="shared" si="33"/>
        <v>57.229529897835612</v>
      </c>
      <c r="Q54" s="20">
        <f t="shared" si="53"/>
        <v>507.89331638456366</v>
      </c>
      <c r="R54" s="59">
        <f t="shared" si="0"/>
        <v>801.22664971789698</v>
      </c>
      <c r="S54" s="59">
        <f ca="1">AVERAGE(OFFSET($R$3,0,0,'Données projet'!$E$9+1,1))-AVERAGE(OFFSET($H$3,0,0,'Données projet'!$E$9+1,1))</f>
        <v>212.70058550761718</v>
      </c>
      <c r="T54" s="59">
        <f t="shared" si="34"/>
        <v>208.28274083874896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15.762167138353337</v>
      </c>
      <c r="AA54" s="21">
        <f>EXP(-LN(2)/25)*AA53+(1-EXP(-LN(2)/25))/(LN(2)/25)*Calculateur!V54*Calculateur!X54*VLOOKUP('Données projet'!$B$9,Paramètres!$A$1:$I$89,3,0)*0.475*44/12</f>
        <v>41.980404122622588</v>
      </c>
      <c r="AB54" s="21">
        <f>EXP(-LN(2)/2)*AB53+(1-EXP(-LN(2)/2))/(LN(2)/2)*V54*Y54*VLOOKUP('Données projet'!$B$9,Paramètres!$A$1:$I$89,3,0)*0.475*44/12</f>
        <v>0</v>
      </c>
      <c r="AC54" s="22">
        <f t="shared" si="3"/>
        <v>57.742571260975922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3.3333333333333344</v>
      </c>
      <c r="AI54" s="13">
        <f>IF('Données projet'!$A$62&gt;35,AI53+AH54-AQ53,IF(A54&lt;'Données projet'!$A$62,$AF$205^A54,IF(A54='Données projet'!$A$62,'Données projet'!$B$62,AI53+AH54-AQ53)))</f>
        <v>102.69230769230765</v>
      </c>
      <c r="AJ54" s="13">
        <f>AI54*VLOOKUP('Données projet'!$B$10,Paramètres!$A$1:$I$89,3,0)*VLOOKUP('Données projet'!$B$10,Paramètres!$A$1:$I$89,5,0)</f>
        <v>89.711999999999975</v>
      </c>
      <c r="AK54" s="13">
        <f t="shared" si="35"/>
        <v>24.495753377522234</v>
      </c>
      <c r="AL54" s="20">
        <f t="shared" si="4"/>
        <v>198.91183713251783</v>
      </c>
      <c r="AM54" s="59">
        <f t="shared" si="5"/>
        <v>492.24517046585117</v>
      </c>
      <c r="AN54" s="59">
        <f ca="1">AVERAGE(OFFSET($AM$3,0,0,'Données projet'!$E$10+1,1))-AVERAGE(OFFSET($H$3,0,0,'Données projet'!$E$10+1,1))</f>
        <v>74.715815024475376</v>
      </c>
      <c r="AO54" s="59">
        <f t="shared" si="36"/>
        <v>87.801612218507501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10.409142241049665</v>
      </c>
      <c r="AV54" s="21">
        <f>EXP(-LN(2)/25)*AV53+(1-EXP(-LN(2)/25))/(LN(2)/25)*Calculateur!AQ54*Calculateur!AS54*VLOOKUP('Données projet'!$B$10,Paramètres!$A$1:$I$89,3,0)*0.475*44/12</f>
        <v>8.4687644488779696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18.877906689927634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>
        <f>VLOOKUP(A55,'Données projet'!$A$35:$I$55,2,0)</f>
        <v>406.59</v>
      </c>
      <c r="L55" s="12">
        <f>VLOOKUP(A55,'Données projet'!$A$35:$I$55,9,0)</f>
        <v>14.64374999999999</v>
      </c>
      <c r="M55" s="12">
        <f t="array" ref="M55">INDEX(L:L,MIN(IF(ISNUMBER(L55:L251),ROW(L55:L251),"")))</f>
        <v>14.64374999999999</v>
      </c>
      <c r="N55" s="13">
        <f>IF('Données projet'!$A$36&gt;35,N54+M55-V54,IF(A55&lt;'Données projet'!$A$36,$K$205^A55,IF(A55='Données projet'!$A$36,'Données projet'!$B$36,N54+M55-V54)))</f>
        <v>406.59</v>
      </c>
      <c r="O55" s="13">
        <f>N55*VLOOKUP('Données projet'!$B$9,Paramètres!$A$1:$I$89,3,0)*VLOOKUP('Données projet'!$B$9,Paramètres!$A$1:$I$89,5,0)</f>
        <v>243.14081999999999</v>
      </c>
      <c r="P55" s="13">
        <f t="shared" si="33"/>
        <v>59.114781000830845</v>
      </c>
      <c r="Q55" s="20">
        <f t="shared" si="53"/>
        <v>526.42850507644698</v>
      </c>
      <c r="R55" s="59">
        <f t="shared" si="0"/>
        <v>819.76183840978024</v>
      </c>
      <c r="S55" s="59">
        <f ca="1">AVERAGE(OFFSET($R$3,0,0,'Données projet'!$E$9+1,1))-AVERAGE(OFFSET($H$3,0,0,'Données projet'!$E$9+1,1))</f>
        <v>212.70058550761718</v>
      </c>
      <c r="T55" s="59">
        <f t="shared" si="34"/>
        <v>208.28274083874896</v>
      </c>
      <c r="U55" s="15">
        <f>IF(ISNA(VLOOKUP(A55,'Données projet'!$A$35:$I$55,3,0)),0,VLOOKUP(A55,'Données projet'!$A$35:$I$55,3,0))</f>
        <v>6</v>
      </c>
      <c r="V55" s="15">
        <f>IF(ISNA(VLOOKUP(A55,'Données projet'!$A$35:$I$55,4,0)),0,VLOOKUP(A55,'Données projet'!$A$35:$I$55,4,0))</f>
        <v>75.37</v>
      </c>
      <c r="W55" s="16">
        <f>IF(ISNA(VLOOKUP(A55,'Données projet'!$A$35:$I$55,5,0)),0%,VLOOKUP(A55,'Données projet'!$A$35:$I$55,5,0)*VLOOKUP('Données projet'!$B$9,Paramètres!$A$1:$I$89,7,0))</f>
        <v>0.315</v>
      </c>
      <c r="X55" s="16">
        <f>IF(ISNA(VLOOKUP(A55,'Données projet'!$A$35:$I$55,6,0)),0%,VLOOKUP(A55,'Données projet'!$A$35:$I$55,6,0)*VLOOKUP('Données projet'!$B$9,Paramètres!$A$1:$I$89,7,0))</f>
        <v>0.13500000000000001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34.286909070273168</v>
      </c>
      <c r="AA55" s="21">
        <f>EXP(-LN(2)/25)*AA54+(1-EXP(-LN(2)/25))/(LN(2)/25)*Calculateur!V55*Calculateur!X55*VLOOKUP('Données projet'!$B$9,Paramètres!$A$1:$I$89,3,0)*0.475*44/12</f>
        <v>48.872307388581874</v>
      </c>
      <c r="AB55" s="21">
        <f>EXP(-LN(2)/2)*AB54+(1-EXP(-LN(2)/2))/(LN(2)/2)*V55*Y55*VLOOKUP('Données projet'!$B$9,Paramètres!$A$1:$I$89,3,0)*0.475*44/12</f>
        <v>0</v>
      </c>
      <c r="AC55" s="22">
        <f t="shared" si="3"/>
        <v>83.159216458855042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3.3333333333333344</v>
      </c>
      <c r="AI55" s="13">
        <f>IF('Données projet'!$A$62&gt;35,AI54+AH55-AQ54,IF(A55&lt;'Données projet'!$A$62,$AF$205^A55,IF(A55='Données projet'!$A$62,'Données projet'!$B$62,AI54+AH55-AQ54)))</f>
        <v>106.02564102564098</v>
      </c>
      <c r="AJ55" s="13">
        <f>AI55*VLOOKUP('Données projet'!$B$10,Paramètres!$A$1:$I$89,3,0)*VLOOKUP('Données projet'!$B$10,Paramètres!$A$1:$I$89,5,0)</f>
        <v>92.623999999999967</v>
      </c>
      <c r="AK55" s="13">
        <f t="shared" si="35"/>
        <v>25.19700823637309</v>
      </c>
      <c r="AL55" s="20">
        <f t="shared" si="4"/>
        <v>205.20492267834973</v>
      </c>
      <c r="AM55" s="59">
        <f t="shared" si="5"/>
        <v>498.53825601168307</v>
      </c>
      <c r="AN55" s="59">
        <f ca="1">AVERAGE(OFFSET($AM$3,0,0,'Données projet'!$E$10+1,1))-AVERAGE(OFFSET($H$3,0,0,'Données projet'!$E$10+1,1))</f>
        <v>74.715815024475376</v>
      </c>
      <c r="AO55" s="59">
        <f t="shared" si="36"/>
        <v>87.801612218507501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10.205025310652541</v>
      </c>
      <c r="AV55" s="21">
        <f>EXP(-LN(2)/25)*AV54+(1-EXP(-LN(2)/25))/(LN(2)/25)*Calculateur!AQ55*Calculateur!AS55*VLOOKUP('Données projet'!$B$10,Paramètres!$A$1:$I$89,3,0)*0.475*44/12</f>
        <v>8.2371856396704342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18.442210950322973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13.14</v>
      </c>
      <c r="N56" s="13">
        <f>IF('Données projet'!$A$36&gt;35,N55+M56-V55,IF(A56&lt;'Données projet'!$A$36,$K$205^A56,IF(A56='Données projet'!$A$36,'Données projet'!$B$36,N55+M56-V55)))</f>
        <v>344.35999999999996</v>
      </c>
      <c r="O56" s="13">
        <f>N56*VLOOKUP('Données projet'!$B$9,Paramètres!$A$1:$I$89,3,0)*VLOOKUP('Données projet'!$B$9,Paramètres!$A$1:$I$89,5,0)</f>
        <v>205.92728</v>
      </c>
      <c r="P56" s="13">
        <f t="shared" si="33"/>
        <v>51.04458202864172</v>
      </c>
      <c r="Q56" s="20">
        <f t="shared" si="53"/>
        <v>447.55932636655098</v>
      </c>
      <c r="R56" s="59">
        <f t="shared" si="0"/>
        <v>740.89265969988423</v>
      </c>
      <c r="S56" s="59">
        <f ca="1">AVERAGE(OFFSET($R$3,0,0,'Données projet'!$E$9+1,1))-AVERAGE(OFFSET($H$3,0,0,'Données projet'!$E$9+1,1))</f>
        <v>212.70058550761718</v>
      </c>
      <c r="T56" s="59">
        <f t="shared" si="34"/>
        <v>208.28274083874896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33.614563696354665</v>
      </c>
      <c r="AA56" s="21">
        <f>EXP(-LN(2)/25)*AA55+(1-EXP(-LN(2)/25))/(LN(2)/25)*Calculateur!V56*Calculateur!X56*VLOOKUP('Données projet'!$B$9,Paramètres!$A$1:$I$89,3,0)*0.475*44/12</f>
        <v>47.535891572958157</v>
      </c>
      <c r="AB56" s="21">
        <f>EXP(-LN(2)/2)*AB55+(1-EXP(-LN(2)/2))/(LN(2)/2)*V56*Y56*VLOOKUP('Données projet'!$B$9,Paramètres!$A$1:$I$89,3,0)*0.475*44/12</f>
        <v>0</v>
      </c>
      <c r="AC56" s="22">
        <f t="shared" si="3"/>
        <v>81.150455269312829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3.3333333333333344</v>
      </c>
      <c r="AI56" s="13">
        <f>IF('Données projet'!$A$62&gt;35,AI55+AH56-AQ55,IF(A56&lt;'Données projet'!$A$62,$AF$205^A56,IF(A56='Données projet'!$A$62,'Données projet'!$B$62,AI55+AH56-AQ55)))</f>
        <v>109.35897435897431</v>
      </c>
      <c r="AJ56" s="13">
        <f>AI56*VLOOKUP('Données projet'!$B$10,Paramètres!$A$1:$I$89,3,0)*VLOOKUP('Données projet'!$B$10,Paramètres!$A$1:$I$89,5,0)</f>
        <v>95.535999999999959</v>
      </c>
      <c r="AK56" s="13">
        <f t="shared" si="35"/>
        <v>25.895701102516686</v>
      </c>
      <c r="AL56" s="20">
        <f t="shared" si="4"/>
        <v>211.49354608688316</v>
      </c>
      <c r="AM56" s="59">
        <f t="shared" si="5"/>
        <v>504.82687942021647</v>
      </c>
      <c r="AN56" s="59">
        <f ca="1">AVERAGE(OFFSET($AM$3,0,0,'Données projet'!$E$10+1,1))-AVERAGE(OFFSET($H$3,0,0,'Données projet'!$E$10+1,1))</f>
        <v>74.715815024475376</v>
      </c>
      <c r="AO56" s="59">
        <f t="shared" si="36"/>
        <v>87.801612218507501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10.004910988761472</v>
      </c>
      <c r="AV56" s="21">
        <f>EXP(-LN(2)/25)*AV55+(1-EXP(-LN(2)/25))/(LN(2)/25)*Calculateur!AQ56*Calculateur!AS56*VLOOKUP('Données projet'!$B$10,Paramètres!$A$1:$I$89,3,0)*0.475*44/12</f>
        <v>8.0119393651788791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18.016850353940349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13.14</v>
      </c>
      <c r="N57" s="13">
        <f>IF('Données projet'!$A$36&gt;35,N56+M57-V56,IF(A57&lt;'Données projet'!$A$36,$K$205^A57,IF(A57='Données projet'!$A$36,'Données projet'!$B$36,N56+M57-V56)))</f>
        <v>357.49999999999994</v>
      </c>
      <c r="O57" s="13">
        <f>N57*VLOOKUP('Données projet'!$B$9,Paramètres!$A$1:$I$89,3,0)*VLOOKUP('Données projet'!$B$9,Paramètres!$A$1:$I$89,5,0)</f>
        <v>213.785</v>
      </c>
      <c r="P57" s="13">
        <f t="shared" si="33"/>
        <v>52.761841557402377</v>
      </c>
      <c r="Q57" s="20">
        <f t="shared" si="53"/>
        <v>464.23574904580914</v>
      </c>
      <c r="R57" s="59">
        <f t="shared" si="0"/>
        <v>757.5690823791424</v>
      </c>
      <c r="S57" s="59">
        <f ca="1">AVERAGE(OFFSET($R$3,0,0,'Données projet'!$E$9+1,1))-AVERAGE(OFFSET($H$3,0,0,'Données projet'!$E$9+1,1))</f>
        <v>212.70058550761718</v>
      </c>
      <c r="T57" s="59">
        <f t="shared" si="34"/>
        <v>208.28274083874896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32.955402605128512</v>
      </c>
      <c r="AA57" s="21">
        <f>EXP(-LN(2)/25)*AA56+(1-EXP(-LN(2)/25))/(LN(2)/25)*Calculateur!V57*Calculateur!X57*VLOOKUP('Données projet'!$B$9,Paramètres!$A$1:$I$89,3,0)*0.475*44/12</f>
        <v>46.236020118091723</v>
      </c>
      <c r="AB57" s="21">
        <f>EXP(-LN(2)/2)*AB56+(1-EXP(-LN(2)/2))/(LN(2)/2)*V57*Y57*VLOOKUP('Données projet'!$B$9,Paramètres!$A$1:$I$89,3,0)*0.475*44/12</f>
        <v>0</v>
      </c>
      <c r="AC57" s="22">
        <f t="shared" si="3"/>
        <v>79.191422723220228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3.3333333333333344</v>
      </c>
      <c r="AI57" s="13">
        <f>IF('Données projet'!$A$62&gt;35,AI56+AH57-AQ56,IF(A57&lt;'Données projet'!$A$62,$AF$205^A57,IF(A57='Données projet'!$A$62,'Données projet'!$B$62,AI56+AH57-AQ56)))</f>
        <v>112.69230769230764</v>
      </c>
      <c r="AJ57" s="13">
        <f>AI57*VLOOKUP('Données projet'!$B$10,Paramètres!$A$1:$I$89,3,0)*VLOOKUP('Données projet'!$B$10,Paramètres!$A$1:$I$89,5,0)</f>
        <v>98.447999999999965</v>
      </c>
      <c r="AK57" s="13">
        <f t="shared" si="35"/>
        <v>26.591919029858307</v>
      </c>
      <c r="AL57" s="20">
        <f t="shared" si="4"/>
        <v>217.77785897700315</v>
      </c>
      <c r="AM57" s="59">
        <f t="shared" si="5"/>
        <v>511.11119231033649</v>
      </c>
      <c r="AN57" s="59">
        <f ca="1">AVERAGE(OFFSET($AM$3,0,0,'Données projet'!$E$10+1,1))-AVERAGE(OFFSET($H$3,0,0,'Données projet'!$E$10+1,1))</f>
        <v>74.715815024475376</v>
      </c>
      <c r="AO57" s="59">
        <f t="shared" si="36"/>
        <v>87.801612218507501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9.8087207866650008</v>
      </c>
      <c r="AV57" s="21">
        <f>EXP(-LN(2)/25)*AV56+(1-EXP(-LN(2)/25))/(LN(2)/25)*Calculateur!AQ57*Calculateur!AS57*VLOOKUP('Données projet'!$B$10,Paramètres!$A$1:$I$89,3,0)*0.475*44/12</f>
        <v>7.7928524619084829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17.601573248573484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13.14</v>
      </c>
      <c r="N58" s="13">
        <f>IF('Données projet'!$A$36&gt;35,N57+M58-V57,IF(A58&lt;'Données projet'!$A$36,$K$205^A58,IF(A58='Données projet'!$A$36,'Données projet'!$B$36,N57+M58-V57)))</f>
        <v>370.63999999999993</v>
      </c>
      <c r="O58" s="13">
        <f>N58*VLOOKUP('Données projet'!$B$9,Paramètres!$A$1:$I$89,3,0)*VLOOKUP('Données projet'!$B$9,Paramètres!$A$1:$I$89,5,0)</f>
        <v>221.64272</v>
      </c>
      <c r="P58" s="13">
        <f t="shared" si="33"/>
        <v>54.471768066609272</v>
      </c>
      <c r="Q58" s="20">
        <f t="shared" si="53"/>
        <v>480.89940004934442</v>
      </c>
      <c r="R58" s="59">
        <f t="shared" si="0"/>
        <v>774.23273338267768</v>
      </c>
      <c r="S58" s="59">
        <f ca="1">AVERAGE(OFFSET($R$3,0,0,'Données projet'!$E$9+1,1))-AVERAGE(OFFSET($H$3,0,0,'Données projet'!$E$9+1,1))</f>
        <v>212.70058550761718</v>
      </c>
      <c r="T58" s="59">
        <f t="shared" si="34"/>
        <v>208.28274083874896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32.309167260852739</v>
      </c>
      <c r="AA58" s="21">
        <f>EXP(-LN(2)/25)*AA57+(1-EXP(-LN(2)/25))/(LN(2)/25)*Calculateur!V58*Calculateur!X58*VLOOKUP('Données projet'!$B$9,Paramètres!$A$1:$I$89,3,0)*0.475*44/12</f>
        <v>44.97169371651588</v>
      </c>
      <c r="AB58" s="21">
        <f>EXP(-LN(2)/2)*AB57+(1-EXP(-LN(2)/2))/(LN(2)/2)*V58*Y58*VLOOKUP('Données projet'!$B$9,Paramètres!$A$1:$I$89,3,0)*0.475*44/12</f>
        <v>0</v>
      </c>
      <c r="AC58" s="22">
        <f t="shared" si="3"/>
        <v>77.280860977368619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116.02564102564102</v>
      </c>
      <c r="AG58" s="12">
        <f>VLOOKUP(A58,'Données projet'!$A$61:$I$81,9,0)</f>
        <v>3.3333333333333344</v>
      </c>
      <c r="AH58" s="12">
        <f t="array" ref="AH58">INDEX(AG:AG,MIN(IF(ISNUMBER(AG58:AG254),ROW(AG58:AG254),"")))</f>
        <v>3.3333333333333344</v>
      </c>
      <c r="AI58" s="13">
        <f>IF('Données projet'!$A$62&gt;35,AI57+AH58-AQ57,IF(A58&lt;'Données projet'!$A$62,$AF$205^A58,IF(A58='Données projet'!$A$62,'Données projet'!$B$62,AI57+AH58-AQ57)))</f>
        <v>116.02564102564097</v>
      </c>
      <c r="AJ58" s="13">
        <f>AI58*VLOOKUP('Données projet'!$B$10,Paramètres!$A$1:$I$89,3,0)*VLOOKUP('Données projet'!$B$10,Paramètres!$A$1:$I$89,5,0)</f>
        <v>101.35999999999997</v>
      </c>
      <c r="AK58" s="13">
        <f t="shared" si="35"/>
        <v>27.285743629596691</v>
      </c>
      <c r="AL58" s="20">
        <f t="shared" si="4"/>
        <v>224.05800348821421</v>
      </c>
      <c r="AM58" s="59">
        <f t="shared" si="5"/>
        <v>517.3913368215475</v>
      </c>
      <c r="AN58" s="59">
        <f ca="1">AVERAGE(OFFSET($AM$3,0,0,'Données projet'!$E$10+1,1))-AVERAGE(OFFSET($H$3,0,0,'Données projet'!$E$10+1,1))</f>
        <v>74.715815024475376</v>
      </c>
      <c r="AO58" s="59">
        <f t="shared" si="36"/>
        <v>87.801612218507501</v>
      </c>
      <c r="AP58" s="15">
        <f>IF(ISNA(VLOOKUP(A58,'Données projet'!$A$61:$I$81,3,0)),0,VLOOKUP(A58,'Données projet'!$A$61:$I$81,3,0))</f>
        <v>10</v>
      </c>
      <c r="AQ58" s="15">
        <f>IF(ISNA(VLOOKUP(A58,'Données projet'!$A$61:$I$81,4,0)),0,VLOOKUP(A58,'Données projet'!$A$61:$I$81,4,0))</f>
        <v>10.897435897435898</v>
      </c>
      <c r="AR58" s="16">
        <f>IF(ISNA(VLOOKUP(A58,'Données projet'!$A$61:$I$81,5,0)),0%,VLOOKUP(A58,'Données projet'!$A$61:$I$81,5,0)*VLOOKUP('Données projet'!$B$10,Paramètres!$A$1:$I$89,7,0))</f>
        <v>0.25800000000000001</v>
      </c>
      <c r="AS58" s="16">
        <f>IF(ISNA(VLOOKUP(A58,'Données projet'!$A$61:$I$81,6,0)),0%,VLOOKUP(A58,'Données projet'!$A$61:$I$81,6,0)*VLOOKUP('Données projet'!$B$10,Paramètres!$A$1:$I$89,7,0))</f>
        <v>0.129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12.331589882161087</v>
      </c>
      <c r="AV58" s="21">
        <f>EXP(-LN(2)/25)*AV57+(1-EXP(-LN(2)/25))/(LN(2)/25)*Calculateur!AQ58*Calculateur!AS58*VLOOKUP('Données projet'!$B$10,Paramètres!$A$1:$I$89,3,0)*0.475*44/12</f>
        <v>8.9320171528648817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21.26360703502597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13.14</v>
      </c>
      <c r="N59" s="13">
        <f>IF('Données projet'!$A$36&gt;35,N58+M59-V58,IF(A59&lt;'Données projet'!$A$36,$K$205^A59,IF(A59='Données projet'!$A$36,'Données projet'!$B$36,N58+M59-V58)))</f>
        <v>383.77999999999992</v>
      </c>
      <c r="O59" s="13">
        <f>N59*VLOOKUP('Données projet'!$B$9,Paramètres!$A$1:$I$89,3,0)*VLOOKUP('Données projet'!$B$9,Paramètres!$A$1:$I$89,5,0)</f>
        <v>229.50043999999997</v>
      </c>
      <c r="P59" s="13">
        <f t="shared" si="33"/>
        <v>56.174651313961498</v>
      </c>
      <c r="Q59" s="20">
        <f t="shared" si="53"/>
        <v>497.55078403848285</v>
      </c>
      <c r="R59" s="59">
        <f t="shared" si="0"/>
        <v>790.88411737181616</v>
      </c>
      <c r="S59" s="59">
        <f ca="1">AVERAGE(OFFSET($R$3,0,0,'Données projet'!$E$9+1,1))-AVERAGE(OFFSET($H$3,0,0,'Données projet'!$E$9+1,1))</f>
        <v>212.70058550761718</v>
      </c>
      <c r="T59" s="59">
        <f t="shared" si="34"/>
        <v>208.28274083874896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31.675604197513575</v>
      </c>
      <c r="AA59" s="21">
        <f>EXP(-LN(2)/25)*AA58+(1-EXP(-LN(2)/25))/(LN(2)/25)*Calculateur!V59*Calculateur!X59*VLOOKUP('Données projet'!$B$9,Paramètres!$A$1:$I$89,3,0)*0.475*44/12</f>
        <v>43.741940386879165</v>
      </c>
      <c r="AB59" s="21">
        <f>EXP(-LN(2)/2)*AB58+(1-EXP(-LN(2)/2))/(LN(2)/2)*V59*Y59*VLOOKUP('Données projet'!$B$9,Paramètres!$A$1:$I$89,3,0)*0.475*44/12</f>
        <v>0</v>
      </c>
      <c r="AC59" s="22">
        <f t="shared" si="3"/>
        <v>75.417544584392743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3.2051282051282071</v>
      </c>
      <c r="AI59" s="13">
        <f>IF('Données projet'!$A$62&gt;35,AI58+AH59-AQ58,IF(A59&lt;'Données projet'!$A$62,$AF$205^A59,IF(A59='Données projet'!$A$62,'Données projet'!$B$62,AI58+AH59-AQ58)))</f>
        <v>108.33333333333327</v>
      </c>
      <c r="AJ59" s="13">
        <f>AI59*VLOOKUP('Données projet'!$B$10,Paramètres!$A$1:$I$89,3,0)*VLOOKUP('Données projet'!$B$10,Paramètres!$A$1:$I$89,5,0)</f>
        <v>94.639999999999958</v>
      </c>
      <c r="AK59" s="13">
        <f t="shared" si="35"/>
        <v>25.680986215135576</v>
      </c>
      <c r="AL59" s="20">
        <f t="shared" si="4"/>
        <v>209.55905099136103</v>
      </c>
      <c r="AM59" s="59">
        <f t="shared" si="5"/>
        <v>502.89238432469438</v>
      </c>
      <c r="AN59" s="59">
        <f ca="1">AVERAGE(OFFSET($AM$3,0,0,'Données projet'!$E$10+1,1))-AVERAGE(OFFSET($H$3,0,0,'Données projet'!$E$10+1,1))</f>
        <v>74.715815024475376</v>
      </c>
      <c r="AO59" s="59">
        <f t="shared" si="36"/>
        <v>87.801612218507501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12.089774926099047</v>
      </c>
      <c r="AV59" s="21">
        <f>EXP(-LN(2)/25)*AV58+(1-EXP(-LN(2)/25))/(LN(2)/25)*Calculateur!AQ59*Calculateur!AS59*VLOOKUP('Données projet'!$B$10,Paramètres!$A$1:$I$89,3,0)*0.475*44/12</f>
        <v>8.6877706741054244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20.777545600204469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13.14</v>
      </c>
      <c r="N60" s="13">
        <f>IF('Données projet'!$A$36&gt;35,N59+M60-V59,IF(A60&lt;'Données projet'!$A$36,$K$205^A60,IF(A60='Données projet'!$A$36,'Données projet'!$B$36,N59+M60-V59)))</f>
        <v>396.9199999999999</v>
      </c>
      <c r="O60" s="13">
        <f>N60*VLOOKUP('Données projet'!$B$9,Paramètres!$A$1:$I$89,3,0)*VLOOKUP('Données projet'!$B$9,Paramètres!$A$1:$I$89,5,0)</f>
        <v>237.35815999999997</v>
      </c>
      <c r="P60" s="13">
        <f t="shared" si="33"/>
        <v>57.870760090028412</v>
      </c>
      <c r="Q60" s="20">
        <f t="shared" si="53"/>
        <v>514.19036915679942</v>
      </c>
      <c r="R60" s="59">
        <f t="shared" si="0"/>
        <v>807.52370249013279</v>
      </c>
      <c r="S60" s="59">
        <f ca="1">AVERAGE(OFFSET($R$3,0,0,'Données projet'!$E$9+1,1))-AVERAGE(OFFSET($H$3,0,0,'Données projet'!$E$9+1,1))</f>
        <v>212.70058550761718</v>
      </c>
      <c r="T60" s="59">
        <f t="shared" si="34"/>
        <v>208.28274083874896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31.054464919411181</v>
      </c>
      <c r="AA60" s="21">
        <f>EXP(-LN(2)/25)*AA59+(1-EXP(-LN(2)/25))/(LN(2)/25)*Calculateur!V60*Calculateur!X60*VLOOKUP('Données projet'!$B$9,Paramètres!$A$1:$I$89,3,0)*0.475*44/12</f>
        <v>42.545814726711285</v>
      </c>
      <c r="AB60" s="21">
        <f>EXP(-LN(2)/2)*AB59+(1-EXP(-LN(2)/2))/(LN(2)/2)*V60*Y60*VLOOKUP('Données projet'!$B$9,Paramètres!$A$1:$I$89,3,0)*0.475*44/12</f>
        <v>0</v>
      </c>
      <c r="AC60" s="22">
        <f t="shared" si="3"/>
        <v>73.600279646122459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3.2051282051282071</v>
      </c>
      <c r="AI60" s="13">
        <f>IF('Données projet'!$A$62&gt;35,AI59+AH60-AQ59,IF(A60&lt;'Données projet'!$A$62,$AF$205^A60,IF(A60='Données projet'!$A$62,'Données projet'!$B$62,AI59+AH60-AQ59)))</f>
        <v>111.53846153846148</v>
      </c>
      <c r="AJ60" s="13">
        <f>AI60*VLOOKUP('Données projet'!$B$10,Paramètres!$A$1:$I$89,3,0)*VLOOKUP('Données projet'!$B$10,Paramètres!$A$1:$I$89,5,0)</f>
        <v>97.439999999999955</v>
      </c>
      <c r="AK60" s="13">
        <f t="shared" si="35"/>
        <v>26.351195394682154</v>
      </c>
      <c r="AL60" s="20">
        <f t="shared" si="4"/>
        <v>215.60299864573798</v>
      </c>
      <c r="AM60" s="59">
        <f t="shared" si="5"/>
        <v>508.93633197907127</v>
      </c>
      <c r="AN60" s="59">
        <f ca="1">AVERAGE(OFFSET($AM$3,0,0,'Données projet'!$E$10+1,1))-AVERAGE(OFFSET($H$3,0,0,'Données projet'!$E$10+1,1))</f>
        <v>74.715815024475376</v>
      </c>
      <c r="AO60" s="59">
        <f t="shared" si="36"/>
        <v>87.801612218507501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11.852701813832823</v>
      </c>
      <c r="AV60" s="21">
        <f>EXP(-LN(2)/25)*AV59+(1-EXP(-LN(2)/25))/(LN(2)/25)*Calculateur!AQ60*Calculateur!AS60*VLOOKUP('Données projet'!$B$10,Paramètres!$A$1:$I$89,3,0)*0.475*44/12</f>
        <v>8.4502031281520082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20.302904941984831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13.14</v>
      </c>
      <c r="N61" s="13">
        <f>IF('Données projet'!$A$36&gt;35,N60+M61-V60,IF(A61&lt;'Données projet'!$A$36,$K$205^A61,IF(A61='Données projet'!$A$36,'Données projet'!$B$36,N60+M61-V60)))</f>
        <v>410.05999999999989</v>
      </c>
      <c r="O61" s="13">
        <f>N61*VLOOKUP('Données projet'!$B$9,Paramètres!$A$1:$I$89,3,0)*VLOOKUP('Données projet'!$B$9,Paramètres!$A$1:$I$89,5,0)</f>
        <v>245.21587999999994</v>
      </c>
      <c r="P61" s="13">
        <f t="shared" si="33"/>
        <v>59.560344378839609</v>
      </c>
      <c r="Q61" s="20">
        <f t="shared" si="53"/>
        <v>530.81859079314563</v>
      </c>
      <c r="R61" s="59">
        <f t="shared" si="0"/>
        <v>824.15192412647889</v>
      </c>
      <c r="S61" s="59">
        <f ca="1">AVERAGE(OFFSET($R$3,0,0,'Données projet'!$E$9+1,1))-AVERAGE(OFFSET($H$3,0,0,'Données projet'!$E$9+1,1))</f>
        <v>212.70058550761718</v>
      </c>
      <c r="T61" s="59">
        <f t="shared" si="34"/>
        <v>208.28274083874896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30.445505803694825</v>
      </c>
      <c r="AA61" s="21">
        <f>EXP(-LN(2)/25)*AA60+(1-EXP(-LN(2)/25))/(LN(2)/25)*Calculateur!V61*Calculateur!X61*VLOOKUP('Données projet'!$B$9,Paramètres!$A$1:$I$89,3,0)*0.475*44/12</f>
        <v>41.38239718562221</v>
      </c>
      <c r="AB61" s="21">
        <f>EXP(-LN(2)/2)*AB60+(1-EXP(-LN(2)/2))/(LN(2)/2)*V61*Y61*VLOOKUP('Données projet'!$B$9,Paramètres!$A$1:$I$89,3,0)*0.475*44/12</f>
        <v>0</v>
      </c>
      <c r="AC61" s="22">
        <f t="shared" si="3"/>
        <v>71.827902989317039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3.2051282051282071</v>
      </c>
      <c r="AI61" s="13">
        <f>IF('Données projet'!$A$62&gt;35,AI60+AH61-AQ60,IF(A61&lt;'Données projet'!$A$62,$AF$205^A61,IF(A61='Données projet'!$A$62,'Données projet'!$B$62,AI60+AH61-AQ60)))</f>
        <v>114.74358974358968</v>
      </c>
      <c r="AJ61" s="13">
        <f>AI61*VLOOKUP('Données projet'!$B$10,Paramètres!$A$1:$I$89,3,0)*VLOOKUP('Données projet'!$B$10,Paramètres!$A$1:$I$89,5,0)</f>
        <v>100.23999999999997</v>
      </c>
      <c r="AK61" s="13">
        <f t="shared" si="35"/>
        <v>27.019166259515604</v>
      </c>
      <c r="AL61" s="20">
        <f t="shared" si="4"/>
        <v>221.6430479019896</v>
      </c>
      <c r="AM61" s="59">
        <f t="shared" si="5"/>
        <v>514.97638123532295</v>
      </c>
      <c r="AN61" s="59">
        <f ca="1">AVERAGE(OFFSET($AM$3,0,0,'Données projet'!$E$10+1,1))-AVERAGE(OFFSET($H$3,0,0,'Données projet'!$E$10+1,1))</f>
        <v>74.715815024475376</v>
      </c>
      <c r="AO61" s="59">
        <f t="shared" si="36"/>
        <v>87.801612218507501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11.62027756069782</v>
      </c>
      <c r="AV61" s="21">
        <f>EXP(-LN(2)/25)*AV60+(1-EXP(-LN(2)/25))/(LN(2)/25)*Calculateur!AQ61*Calculateur!AS61*VLOOKUP('Données projet'!$B$10,Paramètres!$A$1:$I$89,3,0)*0.475*44/12</f>
        <v>8.2191318792358228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19.839409439933643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13.14</v>
      </c>
      <c r="N62" s="13">
        <f>IF('Données projet'!$A$36&gt;35,N61+M62-V61,IF(A62&lt;'Données projet'!$A$36,$K$205^A62,IF(A62='Données projet'!$A$36,'Données projet'!$B$36,N61+M62-V61)))</f>
        <v>423.19999999999987</v>
      </c>
      <c r="O62" s="13">
        <f>N62*VLOOKUP('Données projet'!$B$9,Paramètres!$A$1:$I$89,3,0)*VLOOKUP('Données projet'!$B$9,Paramètres!$A$1:$I$89,5,0)</f>
        <v>253.07359999999994</v>
      </c>
      <c r="P62" s="13">
        <f t="shared" si="33"/>
        <v>61.243637233758619</v>
      </c>
      <c r="Q62" s="20">
        <f t="shared" si="53"/>
        <v>547.43585484879611</v>
      </c>
      <c r="R62" s="59">
        <f t="shared" si="0"/>
        <v>840.76918818212948</v>
      </c>
      <c r="S62" s="59">
        <f ca="1">AVERAGE(OFFSET($R$3,0,0,'Données projet'!$E$9+1,1))-AVERAGE(OFFSET($H$3,0,0,'Données projet'!$E$9+1,1))</f>
        <v>212.70058550761718</v>
      </c>
      <c r="T62" s="59">
        <f t="shared" si="34"/>
        <v>208.28274083874896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29.848488004809283</v>
      </c>
      <c r="AA62" s="21">
        <f>EXP(-LN(2)/25)*AA61+(1-EXP(-LN(2)/25))/(LN(2)/25)*Calculateur!V62*Calculateur!X62*VLOOKUP('Données projet'!$B$9,Paramètres!$A$1:$I$89,3,0)*0.475*44/12</f>
        <v>40.250793358375681</v>
      </c>
      <c r="AB62" s="21">
        <f>EXP(-LN(2)/2)*AB61+(1-EXP(-LN(2)/2))/(LN(2)/2)*V62*Y62*VLOOKUP('Données projet'!$B$9,Paramètres!$A$1:$I$89,3,0)*0.475*44/12</f>
        <v>0</v>
      </c>
      <c r="AC62" s="22">
        <f t="shared" si="3"/>
        <v>70.099281363184957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3.2051282051282071</v>
      </c>
      <c r="AI62" s="13">
        <f>IF('Données projet'!$A$62&gt;35,AI61+AH62-AQ61,IF(A62&lt;'Données projet'!$A$62,$AF$205^A62,IF(A62='Données projet'!$A$62,'Données projet'!$B$62,AI61+AH62-AQ61)))</f>
        <v>117.94871794871788</v>
      </c>
      <c r="AJ62" s="13">
        <f>AI62*VLOOKUP('Données projet'!$B$10,Paramètres!$A$1:$I$89,3,0)*VLOOKUP('Données projet'!$B$10,Paramètres!$A$1:$I$89,5,0)</f>
        <v>103.03999999999995</v>
      </c>
      <c r="AK62" s="13">
        <f t="shared" si="35"/>
        <v>27.68496851505423</v>
      </c>
      <c r="AL62" s="20">
        <f t="shared" si="4"/>
        <v>227.67932016371932</v>
      </c>
      <c r="AM62" s="59">
        <f t="shared" si="5"/>
        <v>521.01265349705261</v>
      </c>
      <c r="AN62" s="59">
        <f ca="1">AVERAGE(OFFSET($AM$3,0,0,'Données projet'!$E$10+1,1))-AVERAGE(OFFSET($H$3,0,0,'Données projet'!$E$10+1,1))</f>
        <v>74.715815024475376</v>
      </c>
      <c r="AO62" s="59">
        <f t="shared" si="36"/>
        <v>87.801612218507501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11.392411005401998</v>
      </c>
      <c r="AV62" s="21">
        <f>EXP(-LN(2)/25)*AV61+(1-EXP(-LN(2)/25))/(LN(2)/25)*Calculateur!AQ62*Calculateur!AS62*VLOOKUP('Données projet'!$B$10,Paramètres!$A$1:$I$89,3,0)*0.475*44/12</f>
        <v>7.9943792857727587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19.386790291174755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436.34</v>
      </c>
      <c r="L63" s="12">
        <f>VLOOKUP(A63,'Données projet'!$A$35:$I$55,9,0)</f>
        <v>13.14</v>
      </c>
      <c r="M63" s="12">
        <f t="array" ref="M63">INDEX(L:L,MIN(IF(ISNUMBER(L63:L259),ROW(L63:L259),"")))</f>
        <v>13.14</v>
      </c>
      <c r="N63" s="13">
        <f>IF('Données projet'!$A$36&gt;35,N62+M63-V62,IF(A63&lt;'Données projet'!$A$36,$K$205^A63,IF(A63='Données projet'!$A$36,'Données projet'!$B$36,N62+M63-V62)))</f>
        <v>436.33999999999986</v>
      </c>
      <c r="O63" s="13">
        <f>N63*VLOOKUP('Données projet'!$B$9,Paramètres!$A$1:$I$89,3,0)*VLOOKUP('Données projet'!$B$9,Paramètres!$A$1:$I$89,5,0)</f>
        <v>260.93131999999991</v>
      </c>
      <c r="P63" s="13">
        <f t="shared" si="33"/>
        <v>62.92085641383472</v>
      </c>
      <c r="Q63" s="20">
        <f t="shared" si="53"/>
        <v>564.04254058742856</v>
      </c>
      <c r="R63" s="59">
        <f t="shared" si="0"/>
        <v>857.37587392076193</v>
      </c>
      <c r="S63" s="59">
        <f ca="1">AVERAGE(OFFSET($R$3,0,0,'Données projet'!$E$9+1,1))-AVERAGE(OFFSET($H$3,0,0,'Données projet'!$E$9+1,1))</f>
        <v>212.70058550761718</v>
      </c>
      <c r="T63" s="59">
        <f t="shared" si="34"/>
        <v>208.28274083874896</v>
      </c>
      <c r="U63" s="15">
        <f>IF(ISNA(VLOOKUP(A63,'Données projet'!$A$35:$I$55,3,0)),0,VLOOKUP(A63,'Données projet'!$A$35:$I$55,3,0))</f>
        <v>7</v>
      </c>
      <c r="V63" s="15">
        <f>IF(ISNA(VLOOKUP(A63,'Données projet'!$A$35:$I$55,4,0)),0,VLOOKUP(A63,'Données projet'!$A$35:$I$55,4,0))</f>
        <v>436.34</v>
      </c>
      <c r="W63" s="16">
        <f>IF(ISNA(VLOOKUP(A63,'Données projet'!$A$35:$I$55,5,0)),0%,VLOOKUP(A63,'Données projet'!$A$35:$I$55,5,0)*VLOOKUP('Données projet'!$B$9,Paramètres!$A$1:$I$89,7,0))</f>
        <v>0.315</v>
      </c>
      <c r="X63" s="16">
        <f>IF(ISNA(VLOOKUP(A63,'Données projet'!$A$35:$I$55,6,0)),0%,VLOOKUP(A63,'Données projet'!$A$35:$I$55,6,0)*VLOOKUP('Données projet'!$B$9,Paramètres!$A$1:$I$89,7,0))</f>
        <v>0.13500000000000001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138.2979749040349</v>
      </c>
      <c r="AA63" s="21">
        <f>EXP(-LN(2)/25)*AA62+(1-EXP(-LN(2)/25))/(LN(2)/25)*Calculateur!V63*Calculateur!X63*VLOOKUP('Données projet'!$B$9,Paramètres!$A$1:$I$89,3,0)*0.475*44/12</f>
        <v>85.695341582912519</v>
      </c>
      <c r="AB63" s="21">
        <f>EXP(-LN(2)/2)*AB62+(1-EXP(-LN(2)/2))/(LN(2)/2)*V63*Y63*VLOOKUP('Données projet'!$B$9,Paramètres!$A$1:$I$89,3,0)*0.475*44/12</f>
        <v>0</v>
      </c>
      <c r="AC63" s="22">
        <f t="shared" si="3"/>
        <v>223.99331648694744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121.15384615384616</v>
      </c>
      <c r="AG63" s="12">
        <f>VLOOKUP(A63,'Données projet'!$A$61:$I$81,9,0)</f>
        <v>3.2051282051282071</v>
      </c>
      <c r="AH63" s="12">
        <f t="array" ref="AH63">INDEX(AG:AG,MIN(IF(ISNUMBER(AG63:AG259),ROW(AG63:AG259),"")))</f>
        <v>3.2051282051282071</v>
      </c>
      <c r="AI63" s="13">
        <f>IF('Données projet'!$A$62&gt;35,AI62+AH63-AQ62,IF(A63&lt;'Données projet'!$A$62,$AF$205^A63,IF(A63='Données projet'!$A$62,'Données projet'!$B$62,AI62+AH63-AQ62)))</f>
        <v>121.15384615384609</v>
      </c>
      <c r="AJ63" s="13">
        <f>AI63*VLOOKUP('Données projet'!$B$10,Paramètres!$A$1:$I$89,3,0)*VLOOKUP('Données projet'!$B$10,Paramètres!$A$1:$I$89,5,0)</f>
        <v>105.83999999999995</v>
      </c>
      <c r="AK63" s="13">
        <f t="shared" si="35"/>
        <v>28.348667862741735</v>
      </c>
      <c r="AL63" s="20">
        <f t="shared" si="4"/>
        <v>233.71192986094175</v>
      </c>
      <c r="AM63" s="59">
        <f t="shared" si="5"/>
        <v>527.04526319427509</v>
      </c>
      <c r="AN63" s="59">
        <f ca="1">AVERAGE(OFFSET($AM$3,0,0,'Données projet'!$E$10+1,1))-AVERAGE(OFFSET($H$3,0,0,'Données projet'!$E$10+1,1))</f>
        <v>74.715815024475376</v>
      </c>
      <c r="AO63" s="59">
        <f t="shared" si="36"/>
        <v>87.801612218507501</v>
      </c>
      <c r="AP63" s="15">
        <f>IF(ISNA(VLOOKUP(A63,'Données projet'!$A$61:$I$81,3,0)),0,VLOOKUP(A63,'Données projet'!$A$61:$I$81,3,0))</f>
        <v>11</v>
      </c>
      <c r="AQ63" s="15">
        <f>IF(ISNA(VLOOKUP(A63,'Données projet'!$A$61:$I$81,4,0)),0,VLOOKUP(A63,'Données projet'!$A$61:$I$81,4,0))</f>
        <v>10.256410256410255</v>
      </c>
      <c r="AR63" s="16">
        <f>IF(ISNA(VLOOKUP(A63,'Données projet'!$A$61:$I$81,5,0)),0%,VLOOKUP(A63,'Données projet'!$A$61:$I$81,5,0)*VLOOKUP('Données projet'!$B$10,Paramètres!$A$1:$I$89,7,0))</f>
        <v>0.25800000000000001</v>
      </c>
      <c r="AS63" s="16">
        <f>IF(ISNA(VLOOKUP(A63,'Données projet'!$A$61:$I$81,6,0)),0%,VLOOKUP(A63,'Données projet'!$A$61:$I$81,6,0)*VLOOKUP('Données projet'!$B$10,Paramètres!$A$1:$I$89,7,0))</f>
        <v>0.129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13.724506541229383</v>
      </c>
      <c r="AV63" s="21">
        <f>EXP(-LN(2)/25)*AV62+(1-EXP(-LN(2)/25))/(LN(2)/25)*Calculateur!AQ63*Calculateur!AS63*VLOOKUP('Données projet'!$B$10,Paramètres!$A$1:$I$89,3,0)*0.475*44/12</f>
        <v>9.0484884709365421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22.772995012165925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-1.1368683772161603E-13</v>
      </c>
      <c r="O64" s="13">
        <f>N64*VLOOKUP('Données projet'!$B$9,Paramètres!$A$1:$I$89,3,0)*VLOOKUP('Données projet'!$B$9,Paramètres!$A$1:$I$89,5,0)</f>
        <v>-6.7984728957526396E-14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212.70058550761718</v>
      </c>
      <c r="T64" s="59">
        <f t="shared" si="34"/>
        <v>208.28274083874896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135.58603596960225</v>
      </c>
      <c r="AA64" s="21">
        <f>EXP(-LN(2)/25)*AA63+(1-EXP(-LN(2)/25))/(LN(2)/25)*Calculateur!V64*Calculateur!X64*VLOOKUP('Données projet'!$B$9,Paramètres!$A$1:$I$89,3,0)*0.475*44/12</f>
        <v>83.351997960805619</v>
      </c>
      <c r="AB64" s="21">
        <f>EXP(-LN(2)/2)*AB63+(1-EXP(-LN(2)/2))/(LN(2)/2)*V64*Y64*VLOOKUP('Données projet'!$B$9,Paramètres!$A$1:$I$89,3,0)*0.475*44/12</f>
        <v>0</v>
      </c>
      <c r="AC64" s="22">
        <f t="shared" si="3"/>
        <v>218.93803393040787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2.8205128205128176</v>
      </c>
      <c r="AI64" s="13">
        <f>IF('Données projet'!$A$62&gt;35,AI63+AH64-AQ63,IF(A64&lt;'Données projet'!$A$62,$AF$205^A64,IF(A64='Données projet'!$A$62,'Données projet'!$B$62,AI63+AH64-AQ63)))</f>
        <v>113.71794871794864</v>
      </c>
      <c r="AJ64" s="13">
        <f>AI64*VLOOKUP('Données projet'!$B$10,Paramètres!$A$1:$I$89,3,0)*VLOOKUP('Données projet'!$B$10,Paramètres!$A$1:$I$89,5,0)</f>
        <v>99.343999999999951</v>
      </c>
      <c r="AK64" s="13">
        <f t="shared" si="35"/>
        <v>26.805654780620351</v>
      </c>
      <c r="AL64" s="20">
        <f t="shared" si="4"/>
        <v>219.71064874291369</v>
      </c>
      <c r="AM64" s="59">
        <f t="shared" si="5"/>
        <v>513.04398207624695</v>
      </c>
      <c r="AN64" s="59">
        <f ca="1">AVERAGE(OFFSET($AM$3,0,0,'Données projet'!$E$10+1,1))-AVERAGE(OFFSET($H$3,0,0,'Données projet'!$E$10+1,1))</f>
        <v>74.715815024475376</v>
      </c>
      <c r="AO64" s="59">
        <f t="shared" si="36"/>
        <v>87.801612218507501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13.455377339078286</v>
      </c>
      <c r="AV64" s="21">
        <f>EXP(-LN(2)/25)*AV63+(1-EXP(-LN(2)/25))/(LN(2)/25)*Calculateur!AQ64*Calculateur!AS64*VLOOKUP('Données projet'!$B$10,Paramètres!$A$1:$I$89,3,0)*0.475*44/12</f>
        <v>8.8010570778594541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22.25643441693774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-1.1368683772161603E-13</v>
      </c>
      <c r="O65" s="13">
        <f>N65*VLOOKUP('Données projet'!$B$9,Paramètres!$A$1:$I$89,3,0)*VLOOKUP('Données projet'!$B$9,Paramètres!$A$1:$I$89,5,0)</f>
        <v>-6.7984728957526396E-14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212.70058550761718</v>
      </c>
      <c r="T65" s="59">
        <f t="shared" si="34"/>
        <v>208.28274083874896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132.92727650355442</v>
      </c>
      <c r="AA65" s="21">
        <f>EXP(-LN(2)/25)*AA64+(1-EXP(-LN(2)/25))/(LN(2)/25)*Calculateur!V65*Calculateur!X65*VLOOKUP('Données projet'!$B$9,Paramètres!$A$1:$I$89,3,0)*0.475*44/12</f>
        <v>81.072733193276321</v>
      </c>
      <c r="AB65" s="21">
        <f>EXP(-LN(2)/2)*AB64+(1-EXP(-LN(2)/2))/(LN(2)/2)*V65*Y65*VLOOKUP('Données projet'!$B$9,Paramètres!$A$1:$I$89,3,0)*0.475*44/12</f>
        <v>0</v>
      </c>
      <c r="AC65" s="22">
        <f t="shared" si="3"/>
        <v>214.00000969683074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2.8205128205128176</v>
      </c>
      <c r="AI65" s="13">
        <f>IF('Données projet'!$A$62&gt;35,AI64+AH65-AQ64,IF(A65&lt;'Données projet'!$A$62,$AF$205^A65,IF(A65='Données projet'!$A$62,'Données projet'!$B$62,AI64+AH65-AQ64)))</f>
        <v>116.53846153846146</v>
      </c>
      <c r="AJ65" s="13">
        <f>AI65*VLOOKUP('Données projet'!$B$10,Paramètres!$A$1:$I$89,3,0)*VLOOKUP('Données projet'!$B$10,Paramètres!$A$1:$I$89,5,0)</f>
        <v>101.80799999999994</v>
      </c>
      <c r="AK65" s="13">
        <f t="shared" si="35"/>
        <v>27.392278397914453</v>
      </c>
      <c r="AL65" s="20">
        <f t="shared" si="4"/>
        <v>225.02381820970086</v>
      </c>
      <c r="AM65" s="59">
        <f t="shared" si="5"/>
        <v>518.35715154303421</v>
      </c>
      <c r="AN65" s="59">
        <f ca="1">AVERAGE(OFFSET($AM$3,0,0,'Données projet'!$E$10+1,1))-AVERAGE(OFFSET($H$3,0,0,'Données projet'!$E$10+1,1))</f>
        <v>74.715815024475376</v>
      </c>
      <c r="AO65" s="59">
        <f t="shared" si="36"/>
        <v>87.801612218507501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13.191525596428766</v>
      </c>
      <c r="AV65" s="21">
        <f>EXP(-LN(2)/25)*AV64+(1-EXP(-LN(2)/25))/(LN(2)/25)*Calculateur!AQ65*Calculateur!AS65*VLOOKUP('Données projet'!$B$10,Paramètres!$A$1:$I$89,3,0)*0.475*44/12</f>
        <v>8.5603917092379103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21.751917305666677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-1.1368683772161603E-13</v>
      </c>
      <c r="O66" s="13">
        <f>N66*VLOOKUP('Données projet'!$B$9,Paramètres!$A$1:$I$89,3,0)*VLOOKUP('Données projet'!$B$9,Paramètres!$A$1:$I$89,5,0)</f>
        <v>-6.7984728957526396E-14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212.70058550761718</v>
      </c>
      <c r="T66" s="59">
        <f t="shared" si="34"/>
        <v>208.28274083874896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130.32065368895263</v>
      </c>
      <c r="AA66" s="21">
        <f>EXP(-LN(2)/25)*AA65+(1-EXP(-LN(2)/25))/(LN(2)/25)*Calculateur!V66*Calculateur!X66*VLOOKUP('Données projet'!$B$9,Paramètres!$A$1:$I$89,3,0)*0.475*44/12</f>
        <v>78.855795040676441</v>
      </c>
      <c r="AB66" s="21">
        <f>EXP(-LN(2)/2)*AB65+(1-EXP(-LN(2)/2))/(LN(2)/2)*V66*Y66*VLOOKUP('Données projet'!$B$9,Paramètres!$A$1:$I$89,3,0)*0.475*44/12</f>
        <v>0</v>
      </c>
      <c r="AC66" s="22">
        <f t="shared" si="3"/>
        <v>209.17644872962907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2.8205128205128176</v>
      </c>
      <c r="AI66" s="13">
        <f>IF('Données projet'!$A$62&gt;35,AI65+AH66-AQ65,IF(A66&lt;'Données projet'!$A$62,$AF$205^A66,IF(A66='Données projet'!$A$62,'Données projet'!$B$62,AI65+AH66-AQ65)))</f>
        <v>119.35897435897428</v>
      </c>
      <c r="AJ66" s="13">
        <f>AI66*VLOOKUP('Données projet'!$B$10,Paramètres!$A$1:$I$89,3,0)*VLOOKUP('Données projet'!$B$10,Paramètres!$A$1:$I$89,5,0)</f>
        <v>104.27199999999995</v>
      </c>
      <c r="AK66" s="13">
        <f t="shared" si="35"/>
        <v>27.977251556977873</v>
      </c>
      <c r="AL66" s="20">
        <f t="shared" si="4"/>
        <v>230.334113128403</v>
      </c>
      <c r="AM66" s="59">
        <f t="shared" si="5"/>
        <v>523.66744646173629</v>
      </c>
      <c r="AN66" s="59">
        <f ca="1">AVERAGE(OFFSET($AM$3,0,0,'Données projet'!$E$10+1,1))-AVERAGE(OFFSET($H$3,0,0,'Données projet'!$E$10+1,1))</f>
        <v>74.715815024475376</v>
      </c>
      <c r="AO66" s="59">
        <f t="shared" si="36"/>
        <v>87.801612218507501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12.932847825518932</v>
      </c>
      <c r="AV66" s="21">
        <f>EXP(-LN(2)/25)*AV65+(1-EXP(-LN(2)/25))/(LN(2)/25)*Calculateur!AQ66*Calculateur!AS66*VLOOKUP('Données projet'!$B$10,Paramètres!$A$1:$I$89,3,0)*0.475*44/12</f>
        <v>8.3263073477773641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21.259155173296296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-1.1368683772161603E-13</v>
      </c>
      <c r="O67" s="13">
        <f>N67*VLOOKUP('Données projet'!$B$9,Paramètres!$A$1:$I$89,3,0)*VLOOKUP('Données projet'!$B$9,Paramètres!$A$1:$I$89,5,0)</f>
        <v>-6.7984728957526396E-14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212.70058550761718</v>
      </c>
      <c r="T67" s="59">
        <f t="shared" si="34"/>
        <v>208.28274083874896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127.76514515786226</v>
      </c>
      <c r="AA67" s="21">
        <f>EXP(-LN(2)/25)*AA66+(1-EXP(-LN(2)/25))/(LN(2)/25)*Calculateur!V67*Calculateur!X67*VLOOKUP('Données projet'!$B$9,Paramètres!$A$1:$I$89,3,0)*0.475*44/12</f>
        <v>76.699479178443113</v>
      </c>
      <c r="AB67" s="21">
        <f>EXP(-LN(2)/2)*AB66+(1-EXP(-LN(2)/2))/(LN(2)/2)*V67*Y67*VLOOKUP('Données projet'!$B$9,Paramètres!$A$1:$I$89,3,0)*0.475*44/12</f>
        <v>0</v>
      </c>
      <c r="AC67" s="22">
        <f t="shared" si="3"/>
        <v>204.46462433630538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2.8205128205128176</v>
      </c>
      <c r="AI67" s="13">
        <f>IF('Données projet'!$A$62&gt;35,AI66+AH67-AQ66,IF(A67&lt;'Données projet'!$A$62,$AF$205^A67,IF(A67='Données projet'!$A$62,'Données projet'!$B$62,AI66+AH67-AQ66)))</f>
        <v>122.1794871794871</v>
      </c>
      <c r="AJ67" s="13">
        <f>AI67*VLOOKUP('Données projet'!$B$10,Paramètres!$A$1:$I$89,3,0)*VLOOKUP('Données projet'!$B$10,Paramètres!$A$1:$I$89,5,0)</f>
        <v>106.73599999999995</v>
      </c>
      <c r="AK67" s="13">
        <f t="shared" si="35"/>
        <v>28.560617747062828</v>
      </c>
      <c r="AL67" s="20">
        <f t="shared" si="4"/>
        <v>235.641609242801</v>
      </c>
      <c r="AM67" s="59">
        <f t="shared" si="5"/>
        <v>528.97494257613425</v>
      </c>
      <c r="AN67" s="59">
        <f ca="1">AVERAGE(OFFSET($AM$3,0,0,'Données projet'!$E$10+1,1))-AVERAGE(OFFSET($H$3,0,0,'Données projet'!$E$10+1,1))</f>
        <v>74.715815024475376</v>
      </c>
      <c r="AO67" s="59">
        <f t="shared" si="36"/>
        <v>87.801612218507501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12.679242567918779</v>
      </c>
      <c r="AV67" s="21">
        <f>EXP(-LN(2)/25)*AV66+(1-EXP(-LN(2)/25))/(LN(2)/25)*Calculateur!AQ67*Calculateur!AS67*VLOOKUP('Données projet'!$B$10,Paramètres!$A$1:$I$89,3,0)*0.475*44/12</f>
        <v>8.0986240354909196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20.777866603409699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-1.1368683772161603E-13</v>
      </c>
      <c r="O68" s="13">
        <f>N68*VLOOKUP('Données projet'!$B$9,Paramètres!$A$1:$I$89,3,0)*VLOOKUP('Données projet'!$B$9,Paramètres!$A$1:$I$89,5,0)</f>
        <v>-6.7984728957526396E-14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212.70058550761718</v>
      </c>
      <c r="T68" s="59">
        <f t="shared" si="34"/>
        <v>208.28274083874896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125.25974859036027</v>
      </c>
      <c r="AA68" s="21">
        <f>EXP(-LN(2)/25)*AA67+(1-EXP(-LN(2)/25))/(LN(2)/25)*Calculateur!V68*Calculateur!X68*VLOOKUP('Données projet'!$B$9,Paramètres!$A$1:$I$89,3,0)*0.475*44/12</f>
        <v>74.60212788685827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199.86187647721854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125</v>
      </c>
      <c r="AG68" s="12">
        <f>VLOOKUP(A68,'Données projet'!$A$61:$I$81,9,0)</f>
        <v>2.8205128205128176</v>
      </c>
      <c r="AH68" s="12">
        <f t="array" ref="AH68">INDEX(AG:AG,MIN(IF(ISNUMBER(AG68:AG264),ROW(AG68:AG264),"")))</f>
        <v>2.8205128205128176</v>
      </c>
      <c r="AI68" s="13">
        <f>IF('Données projet'!$A$62&gt;35,AI67+AH68-AQ67,IF(A68&lt;'Données projet'!$A$62,$AF$205^A68,IF(A68='Données projet'!$A$62,'Données projet'!$B$62,AI67+AH68-AQ67)))</f>
        <v>124.99999999999991</v>
      </c>
      <c r="AJ68" s="13">
        <f>AI68*VLOOKUP('Données projet'!$B$10,Paramètres!$A$1:$I$89,3,0)*VLOOKUP('Données projet'!$B$10,Paramètres!$A$1:$I$89,5,0)</f>
        <v>109.19999999999993</v>
      </c>
      <c r="AK68" s="13">
        <f t="shared" si="35"/>
        <v>29.142418334948587</v>
      </c>
      <c r="AL68" s="20">
        <f t="shared" ref="AL68:AL131" si="58">(AJ68+AK68)*0.475*44/12</f>
        <v>240.94637860003536</v>
      </c>
      <c r="AM68" s="59">
        <f t="shared" ref="AM68:AM131" si="59">AL68+(AD68+AE68)*44/12</f>
        <v>534.27971193336862</v>
      </c>
      <c r="AN68" s="59">
        <f ca="1">AVERAGE(OFFSET($AM$3,0,0,'Données projet'!$E$10+1,1))-AVERAGE(OFFSET($H$3,0,0,'Données projet'!$E$10+1,1))</f>
        <v>74.715815024475376</v>
      </c>
      <c r="AO68" s="59">
        <f t="shared" si="36"/>
        <v>87.801612218507501</v>
      </c>
      <c r="AP68" s="15">
        <f>IF(ISNA(VLOOKUP(A68,'Données projet'!$A$61:$I$81,3,0)),0,VLOOKUP(A68,'Données projet'!$A$61:$I$81,3,0))</f>
        <v>12</v>
      </c>
      <c r="AQ68" s="15">
        <f>IF(ISNA(VLOOKUP(A68,'Données projet'!$A$61:$I$81,4,0)),0,VLOOKUP(A68,'Données projet'!$A$61:$I$81,4,0))</f>
        <v>9.615384615384615</v>
      </c>
      <c r="AR68" s="16">
        <f>IF(ISNA(VLOOKUP(A68,'Données projet'!$A$61:$I$81,5,0)),0%,VLOOKUP(A68,'Données projet'!$A$61:$I$81,5,0)*VLOOKUP('Données projet'!$B$10,Paramètres!$A$1:$I$89,7,0))</f>
        <v>0.25800000000000001</v>
      </c>
      <c r="AS68" s="16">
        <f>IF(ISNA(VLOOKUP(A68,'Données projet'!$A$61:$I$81,6,0)),0%,VLOOKUP(A68,'Données projet'!$A$61:$I$81,6,0)*VLOOKUP('Données projet'!$B$10,Paramètres!$A$1:$I$89,7,0))</f>
        <v>0.129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14.826385761260042</v>
      </c>
      <c r="AV68" s="21">
        <f>EXP(-LN(2)/25)*AV67+(1-EXP(-LN(2)/25))/(LN(2)/25)*Calculateur!AQ68*Calculateur!AS68*VLOOKUP('Données projet'!$B$10,Paramètres!$A$1:$I$89,3,0)*0.475*44/12</f>
        <v>9.0703378982954561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23.896723659555498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-1.1368683772161603E-13</v>
      </c>
      <c r="O69" s="13">
        <f>N69*VLOOKUP('Données projet'!$B$9,Paramètres!$A$1:$I$89,3,0)*VLOOKUP('Données projet'!$B$9,Paramètres!$A$1:$I$89,5,0)</f>
        <v>-6.7984728957526396E-14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212.70058550761718</v>
      </c>
      <c r="T69" s="59">
        <f t="shared" ref="T69:T132" si="88">$T$3</f>
        <v>208.28274083874896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122.80348132140598</v>
      </c>
      <c r="AA69" s="21">
        <f>EXP(-LN(2)/25)*AA68+(1-EXP(-LN(2)/25))/(LN(2)/25)*Calculateur!V69*Calculateur!X69*VLOOKUP('Données projet'!$B$9,Paramètres!$A$1:$I$89,3,0)*0.475*44/12</f>
        <v>72.562128776636726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195.36561009804271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2.6923076923076907</v>
      </c>
      <c r="AI69" s="13">
        <f>IF('Données projet'!$A$62&gt;35,AI68+AH69-AQ68,IF(A69&lt;'Données projet'!$A$62,$AF$205^A69,IF(A69='Données projet'!$A$62,'Données projet'!$B$62,AI68+AH69-AQ68)))</f>
        <v>118.07692307692299</v>
      </c>
      <c r="AJ69" s="13">
        <f>AI69*VLOOKUP('Données projet'!$B$10,Paramètres!$A$1:$I$89,3,0)*VLOOKUP('Données projet'!$B$10,Paramètres!$A$1:$I$89,5,0)</f>
        <v>103.15199999999993</v>
      </c>
      <c r="AK69" s="13">
        <f t="shared" ref="AK69:AK132" si="89">EXP(-1.0587+0.8836*LN(AJ69)+0.284)</f>
        <v>27.711556440369876</v>
      </c>
      <c r="AL69" s="20">
        <f t="shared" si="58"/>
        <v>227.92069413364405</v>
      </c>
      <c r="AM69" s="59">
        <f t="shared" si="59"/>
        <v>521.25402746697739</v>
      </c>
      <c r="AN69" s="59">
        <f ca="1">AVERAGE(OFFSET($AM$3,0,0,'Données projet'!$E$10+1,1))-AVERAGE(OFFSET($H$3,0,0,'Données projet'!$E$10+1,1))</f>
        <v>74.715815024475376</v>
      </c>
      <c r="AO69" s="59">
        <f t="shared" ref="AO69:AO132" si="90">$AO$3</f>
        <v>87.801612218507501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14.535649379684104</v>
      </c>
      <c r="AV69" s="21">
        <f>EXP(-LN(2)/25)*AV68+(1-EXP(-LN(2)/25))/(LN(2)/25)*Calculateur!AQ69*Calculateur!AS69*VLOOKUP('Données projet'!$B$10,Paramètres!$A$1:$I$89,3,0)*0.475*44/12</f>
        <v>8.8223090314782269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23.357958411162329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-1.1368683772161603E-13</v>
      </c>
      <c r="O70" s="13">
        <f>N70*VLOOKUP('Données projet'!$B$9,Paramètres!$A$1:$I$89,3,0)*VLOOKUP('Données projet'!$B$9,Paramètres!$A$1:$I$89,5,0)</f>
        <v>-6.7984728957526396E-14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212.70058550761718</v>
      </c>
      <c r="T70" s="59">
        <f t="shared" si="88"/>
        <v>208.28274083874896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120.39537995542079</v>
      </c>
      <c r="AA70" s="21">
        <f>EXP(-LN(2)/25)*AA69+(1-EXP(-LN(2)/25))/(LN(2)/25)*Calculateur!V70*Calculateur!X70*VLOOKUP('Données projet'!$B$9,Paramètres!$A$1:$I$89,3,0)*0.475*44/12</f>
        <v>70.577913549363089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190.9732935047839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2.6923076923076907</v>
      </c>
      <c r="AI70" s="13">
        <f>IF('Données projet'!$A$62&gt;35,AI69+AH70-AQ69,IF(A70&lt;'Données projet'!$A$62,$AF$205^A70,IF(A70='Données projet'!$A$62,'Données projet'!$B$62,AI69+AH70-AQ69)))</f>
        <v>120.76923076923069</v>
      </c>
      <c r="AJ70" s="13">
        <f>AI70*VLOOKUP('Données projet'!$B$10,Paramètres!$A$1:$I$89,3,0)*VLOOKUP('Données projet'!$B$10,Paramètres!$A$1:$I$89,5,0)</f>
        <v>105.50399999999993</v>
      </c>
      <c r="AK70" s="13">
        <f t="shared" si="89"/>
        <v>28.269132889790804</v>
      </c>
      <c r="AL70" s="20">
        <f t="shared" si="58"/>
        <v>232.98820644971886</v>
      </c>
      <c r="AM70" s="59">
        <f t="shared" si="59"/>
        <v>526.32153978305223</v>
      </c>
      <c r="AN70" s="59">
        <f ca="1">AVERAGE(OFFSET($AM$3,0,0,'Données projet'!$E$10+1,1))-AVERAGE(OFFSET($H$3,0,0,'Données projet'!$E$10+1,1))</f>
        <v>74.715815024475376</v>
      </c>
      <c r="AO70" s="59">
        <f t="shared" si="90"/>
        <v>87.801612218507501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14.250614161219188</v>
      </c>
      <c r="AV70" s="21">
        <f>EXP(-LN(2)/25)*AV69+(1-EXP(-LN(2)/25))/(LN(2)/25)*Calculateur!AQ70*Calculateur!AS70*VLOOKUP('Données projet'!$B$10,Paramètres!$A$1:$I$89,3,0)*0.475*44/12</f>
        <v>8.5810625270673864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22.831676688286574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-1.1368683772161603E-13</v>
      </c>
      <c r="O71" s="13">
        <f>N71*VLOOKUP('Données projet'!$B$9,Paramètres!$A$1:$I$89,3,0)*VLOOKUP('Données projet'!$B$9,Paramètres!$A$1:$I$89,5,0)</f>
        <v>-6.7984728957526396E-14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212.70058550761718</v>
      </c>
      <c r="T71" s="59">
        <f t="shared" si="88"/>
        <v>208.28274083874896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118.03449998842576</v>
      </c>
      <c r="AA71" s="21">
        <f>EXP(-LN(2)/25)*AA70+(1-EXP(-LN(2)/25))/(LN(2)/25)*Calculateur!V71*Calculateur!X71*VLOOKUP('Données projet'!$B$9,Paramètres!$A$1:$I$89,3,0)*0.475*44/12</f>
        <v>68.647956791824583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186.68245678025033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2.6923076923076907</v>
      </c>
      <c r="AI71" s="13">
        <f>IF('Données projet'!$A$62&gt;35,AI70+AH71-AQ70,IF(A71&lt;'Données projet'!$A$62,$AF$205^A71,IF(A71='Données projet'!$A$62,'Données projet'!$B$62,AI70+AH71-AQ70)))</f>
        <v>123.46153846153838</v>
      </c>
      <c r="AJ71" s="13">
        <f>AI71*VLOOKUP('Données projet'!$B$10,Paramètres!$A$1:$I$89,3,0)*VLOOKUP('Données projet'!$B$10,Paramètres!$A$1:$I$89,5,0)</f>
        <v>107.85599999999994</v>
      </c>
      <c r="AK71" s="13">
        <f t="shared" si="89"/>
        <v>28.825264230687974</v>
      </c>
      <c r="AL71" s="20">
        <f t="shared" si="58"/>
        <v>238.05320186844804</v>
      </c>
      <c r="AM71" s="59">
        <f t="shared" si="59"/>
        <v>531.38653520178138</v>
      </c>
      <c r="AN71" s="59">
        <f ca="1">AVERAGE(OFFSET($AM$3,0,0,'Données projet'!$E$10+1,1))-AVERAGE(OFFSET($H$3,0,0,'Données projet'!$E$10+1,1))</f>
        <v>74.715815024475376</v>
      </c>
      <c r="AO71" s="59">
        <f t="shared" si="90"/>
        <v>87.801612218507501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13.971168309534052</v>
      </c>
      <c r="AV71" s="21">
        <f>EXP(-LN(2)/25)*AV70+(1-EXP(-LN(2)/25))/(LN(2)/25)*Calculateur!AQ71*Calculateur!AS71*VLOOKUP('Données projet'!$B$10,Paramètres!$A$1:$I$89,3,0)*0.475*44/12</f>
        <v>8.3464129210062623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22.317581230540313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-1.1368683772161603E-13</v>
      </c>
      <c r="O72" s="13">
        <f>N72*VLOOKUP('Données projet'!$B$9,Paramètres!$A$1:$I$89,3,0)*VLOOKUP('Données projet'!$B$9,Paramètres!$A$1:$I$89,5,0)</f>
        <v>-6.7984728957526396E-14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212.70058550761718</v>
      </c>
      <c r="T72" s="59">
        <f t="shared" si="88"/>
        <v>208.28274083874896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115.71991543758892</v>
      </c>
      <c r="AA72" s="21">
        <f>EXP(-LN(2)/25)*AA71+(1-EXP(-LN(2)/25))/(LN(2)/25)*Calculateur!V72*Calculateur!X72*VLOOKUP('Données projet'!$B$9,Paramètres!$A$1:$I$89,3,0)*0.475*44/12</f>
        <v>66.770774803312989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182.49069024090193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2.6923076923076907</v>
      </c>
      <c r="AI72" s="13">
        <f>IF('Données projet'!$A$62&gt;35,AI71+AH72-AQ71,IF(A72&lt;'Données projet'!$A$62,$AF$205^A72,IF(A72='Données projet'!$A$62,'Données projet'!$B$62,AI71+AH72-AQ71)))</f>
        <v>126.15384615384608</v>
      </c>
      <c r="AJ72" s="13">
        <f>AI72*VLOOKUP('Données projet'!$B$10,Paramètres!$A$1:$I$89,3,0)*VLOOKUP('Données projet'!$B$10,Paramètres!$A$1:$I$89,5,0)</f>
        <v>110.20799999999994</v>
      </c>
      <c r="AK72" s="13">
        <f t="shared" si="89"/>
        <v>29.379985605489026</v>
      </c>
      <c r="AL72" s="20">
        <f t="shared" si="58"/>
        <v>243.1157415962266</v>
      </c>
      <c r="AM72" s="59">
        <f t="shared" si="59"/>
        <v>536.44907492955986</v>
      </c>
      <c r="AN72" s="59">
        <f ca="1">AVERAGE(OFFSET($AM$3,0,0,'Données projet'!$E$10+1,1))-AVERAGE(OFFSET($H$3,0,0,'Données projet'!$E$10+1,1))</f>
        <v>74.715815024475376</v>
      </c>
      <c r="AO72" s="59">
        <f t="shared" si="90"/>
        <v>87.801612218507501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13.697202220555322</v>
      </c>
      <c r="AV72" s="21">
        <f>EXP(-LN(2)/25)*AV71+(1-EXP(-LN(2)/25))/(LN(2)/25)*Calculateur!AQ72*Calculateur!AS72*VLOOKUP('Données projet'!$B$10,Paramètres!$A$1:$I$89,3,0)*0.475*44/12</f>
        <v>8.1181798207625668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21.815382041317889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-1.1368683772161603E-13</v>
      </c>
      <c r="O73" s="13">
        <f>N73*VLOOKUP('Données projet'!$B$9,Paramètres!$A$1:$I$89,3,0)*VLOOKUP('Données projet'!$B$9,Paramètres!$A$1:$I$89,5,0)</f>
        <v>-6.7984728957526396E-14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212.70058550761718</v>
      </c>
      <c r="T73" s="59">
        <f t="shared" si="88"/>
        <v>208.28274083874896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113.4507184780368</v>
      </c>
      <c r="AA73" s="21">
        <f>EXP(-LN(2)/25)*AA72+(1-EXP(-LN(2)/25))/(LN(2)/25)*Calculateur!V73*Calculateur!X73*VLOOKUP('Données projet'!$B$9,Paramètres!$A$1:$I$89,3,0)*0.475*44/12</f>
        <v>64.944924454993952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178.39564293303076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128.84615384615384</v>
      </c>
      <c r="AG73" s="12">
        <f>VLOOKUP(A73,'Données projet'!$A$61:$I$81,9,0)</f>
        <v>2.6923076923076907</v>
      </c>
      <c r="AH73" s="12">
        <f t="array" ref="AH73">INDEX(AG:AG,MIN(IF(ISNUMBER(AG73:AG269),ROW(AG73:AG269),"")))</f>
        <v>2.6923076923076907</v>
      </c>
      <c r="AI73" s="13">
        <f>IF('Données projet'!$A$62&gt;35,AI72+AH73-AQ72,IF(A73&lt;'Données projet'!$A$62,$AF$205^A73,IF(A73='Données projet'!$A$62,'Données projet'!$B$62,AI72+AH73-AQ72)))</f>
        <v>128.84615384615375</v>
      </c>
      <c r="AJ73" s="13">
        <f>AI73*VLOOKUP('Données projet'!$B$10,Paramètres!$A$1:$I$89,3,0)*VLOOKUP('Données projet'!$B$10,Paramètres!$A$1:$I$89,5,0)</f>
        <v>112.55999999999993</v>
      </c>
      <c r="AK73" s="13">
        <f t="shared" si="89"/>
        <v>29.933330570949398</v>
      </c>
      <c r="AL73" s="20">
        <f t="shared" si="58"/>
        <v>248.17588407773675</v>
      </c>
      <c r="AM73" s="59">
        <f t="shared" si="59"/>
        <v>541.50921741107004</v>
      </c>
      <c r="AN73" s="59">
        <f ca="1">AVERAGE(OFFSET($AM$3,0,0,'Données projet'!$E$10+1,1))-AVERAGE(OFFSET($H$3,0,0,'Données projet'!$E$10+1,1))</f>
        <v>74.715815024475376</v>
      </c>
      <c r="AO73" s="59">
        <f t="shared" si="90"/>
        <v>87.801612218507501</v>
      </c>
      <c r="AP73" s="15">
        <f>IF(ISNA(VLOOKUP(A73,'Données projet'!$A$61:$I$81,3,0)),0,VLOOKUP(A73,'Données projet'!$A$61:$I$81,3,0))</f>
        <v>13</v>
      </c>
      <c r="AQ73" s="15">
        <f>IF(ISNA(VLOOKUP(A73,'Données projet'!$A$61:$I$81,4,0)),0,VLOOKUP(A73,'Données projet'!$A$61:$I$81,4,0))</f>
        <v>8.9743589743589745</v>
      </c>
      <c r="AR73" s="16">
        <f>IF(ISNA(VLOOKUP(A73,'Données projet'!$A$61:$I$81,5,0)),0%,VLOOKUP(A73,'Données projet'!$A$61:$I$81,5,0)*VLOOKUP('Données projet'!$B$10,Paramètres!$A$1:$I$89,7,0))</f>
        <v>0.25800000000000001</v>
      </c>
      <c r="AS73" s="16">
        <f>IF(ISNA(VLOOKUP(A73,'Données projet'!$A$61:$I$81,6,0)),0%,VLOOKUP(A73,'Données projet'!$A$61:$I$81,6,0)*VLOOKUP('Données projet'!$B$10,Paramètres!$A$1:$I$89,7,0))</f>
        <v>0.129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15.664665485567541</v>
      </c>
      <c r="AV73" s="21">
        <f>EXP(-LN(2)/25)*AV72+(1-EXP(-LN(2)/25))/(LN(2)/25)*Calculateur!AQ73*Calculateur!AS73*VLOOKUP('Données projet'!$B$10,Paramètres!$A$1:$I$89,3,0)*0.475*44/12</f>
        <v>9.0098141853942444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24.674479670961787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-1.1368683772161603E-13</v>
      </c>
      <c r="O74" s="13">
        <f>N74*VLOOKUP('Données projet'!$B$9,Paramètres!$A$1:$I$89,3,0)*VLOOKUP('Données projet'!$B$9,Paramètres!$A$1:$I$89,5,0)</f>
        <v>-6.7984728957526396E-14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212.70058550761718</v>
      </c>
      <c r="T74" s="59">
        <f t="shared" si="88"/>
        <v>208.28274083874896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111.22601908678803</v>
      </c>
      <c r="AA74" s="21">
        <f>EXP(-LN(2)/25)*AA73+(1-EXP(-LN(2)/25))/(LN(2)/25)*Calculateur!V74*Calculateur!X74*VLOOKUP('Données projet'!$B$9,Paramètres!$A$1:$I$89,3,0)*0.475*44/12</f>
        <v>63.169002080466996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174.39502116725504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2.1794871794871766</v>
      </c>
      <c r="AI74" s="13">
        <f>IF('Données projet'!$A$62&gt;35,AI73+AH74-AQ73,IF(A74&lt;'Données projet'!$A$62,$AF$205^A74,IF(A74='Données projet'!$A$62,'Données projet'!$B$62,AI73+AH74-AQ73)))</f>
        <v>122.05128205128196</v>
      </c>
      <c r="AJ74" s="13">
        <f>AI74*VLOOKUP('Données projet'!$B$10,Paramètres!$A$1:$I$89,3,0)*VLOOKUP('Données projet'!$B$10,Paramètres!$A$1:$I$89,5,0)</f>
        <v>106.62399999999994</v>
      </c>
      <c r="AK74" s="13">
        <f t="shared" si="89"/>
        <v>28.534135371802059</v>
      </c>
      <c r="AL74" s="20">
        <f t="shared" si="58"/>
        <v>235.40041910588843</v>
      </c>
      <c r="AM74" s="59">
        <f t="shared" si="59"/>
        <v>528.73375243922169</v>
      </c>
      <c r="AN74" s="59">
        <f ca="1">AVERAGE(OFFSET($AM$3,0,0,'Données projet'!$E$10+1,1))-AVERAGE(OFFSET($H$3,0,0,'Données projet'!$E$10+1,1))</f>
        <v>74.715815024475376</v>
      </c>
      <c r="AO74" s="59">
        <f t="shared" si="90"/>
        <v>87.801612218507501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15.357490949898079</v>
      </c>
      <c r="AV74" s="21">
        <f>EXP(-LN(2)/25)*AV73+(1-EXP(-LN(2)/25))/(LN(2)/25)*Calculateur!AQ74*Calculateur!AS74*VLOOKUP('Données projet'!$B$10,Paramètres!$A$1:$I$89,3,0)*0.475*44/12</f>
        <v>8.763440342689103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24.12093129258718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-1.1368683772161603E-13</v>
      </c>
      <c r="O75" s="13">
        <f>N75*VLOOKUP('Données projet'!$B$9,Paramètres!$A$1:$I$89,3,0)*VLOOKUP('Données projet'!$B$9,Paramètres!$A$1:$I$89,5,0)</f>
        <v>-6.7984728957526396E-14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212.70058550761718</v>
      </c>
      <c r="T75" s="59">
        <f t="shared" si="88"/>
        <v>208.28274083874896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109.044944693669</v>
      </c>
      <c r="AA75" s="21">
        <f>EXP(-LN(2)/25)*AA74+(1-EXP(-LN(2)/25))/(LN(2)/25)*Calculateur!V75*Calculateur!X75*VLOOKUP('Données projet'!$B$9,Paramètres!$A$1:$I$89,3,0)*0.475*44/12</f>
        <v>61.441642396663184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170.48658709033219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2.1794871794871766</v>
      </c>
      <c r="AI75" s="13">
        <f>IF('Données projet'!$A$62&gt;35,AI74+AH75-AQ74,IF(A75&lt;'Données projet'!$A$62,$AF$205^A75,IF(A75='Données projet'!$A$62,'Données projet'!$B$62,AI74+AH75-AQ74)))</f>
        <v>124.23076923076914</v>
      </c>
      <c r="AJ75" s="13">
        <f>AI75*VLOOKUP('Données projet'!$B$10,Paramètres!$A$1:$I$89,3,0)*VLOOKUP('Données projet'!$B$10,Paramètres!$A$1:$I$89,5,0)</f>
        <v>108.52799999999993</v>
      </c>
      <c r="AK75" s="13">
        <f t="shared" si="89"/>
        <v>28.983898429855078</v>
      </c>
      <c r="AL75" s="20">
        <f t="shared" si="58"/>
        <v>239.49988976533083</v>
      </c>
      <c r="AM75" s="59">
        <f t="shared" si="59"/>
        <v>532.83322309866412</v>
      </c>
      <c r="AN75" s="59">
        <f ca="1">AVERAGE(OFFSET($AM$3,0,0,'Données projet'!$E$10+1,1))-AVERAGE(OFFSET($H$3,0,0,'Données projet'!$E$10+1,1))</f>
        <v>74.715815024475376</v>
      </c>
      <c r="AO75" s="59">
        <f t="shared" si="90"/>
        <v>87.801612218507501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15.056339919515128</v>
      </c>
      <c r="AV75" s="21">
        <f>EXP(-LN(2)/25)*AV74+(1-EXP(-LN(2)/25))/(LN(2)/25)*Calculateur!AQ75*Calculateur!AS75*VLOOKUP('Données projet'!$B$10,Paramètres!$A$1:$I$89,3,0)*0.475*44/12</f>
        <v>8.5238036056689701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23.580143525184099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-1.1368683772161603E-13</v>
      </c>
      <c r="O76" s="13">
        <f>N76*VLOOKUP('Données projet'!$B$9,Paramètres!$A$1:$I$89,3,0)*VLOOKUP('Données projet'!$B$9,Paramètres!$A$1:$I$89,5,0)</f>
        <v>-6.7984728957526396E-14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212.70058550761718</v>
      </c>
      <c r="T76" s="59">
        <f t="shared" si="88"/>
        <v>208.28274083874896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106.90663983907501</v>
      </c>
      <c r="AA76" s="21">
        <f>EXP(-LN(2)/25)*AA75+(1-EXP(-LN(2)/25))/(LN(2)/25)*Calculateur!V76*Calculateur!X76*VLOOKUP('Données projet'!$B$9,Paramètres!$A$1:$I$89,3,0)*0.475*44/12</f>
        <v>59.761517454250885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166.66815729332589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2.1794871794871766</v>
      </c>
      <c r="AI76" s="13">
        <f>IF('Données projet'!$A$62&gt;35,AI75+AH76-AQ75,IF(A76&lt;'Données projet'!$A$62,$AF$205^A76,IF(A76='Données projet'!$A$62,'Données projet'!$B$62,AI75+AH76-AQ75)))</f>
        <v>126.41025641025632</v>
      </c>
      <c r="AJ76" s="13">
        <f>AI76*VLOOKUP('Données projet'!$B$10,Paramètres!$A$1:$I$89,3,0)*VLOOKUP('Données projet'!$B$10,Paramètres!$A$1:$I$89,5,0)</f>
        <v>110.43199999999995</v>
      </c>
      <c r="AK76" s="13">
        <f t="shared" si="89"/>
        <v>29.432743911799658</v>
      </c>
      <c r="AL76" s="20">
        <f t="shared" si="58"/>
        <v>243.59776231305094</v>
      </c>
      <c r="AM76" s="59">
        <f t="shared" si="59"/>
        <v>536.93109564638428</v>
      </c>
      <c r="AN76" s="59">
        <f ca="1">AVERAGE(OFFSET($AM$3,0,0,'Données projet'!$E$10+1,1))-AVERAGE(OFFSET($H$3,0,0,'Données projet'!$E$10+1,1))</f>
        <v>74.715815024475376</v>
      </c>
      <c r="AO76" s="59">
        <f t="shared" si="90"/>
        <v>87.801612218507501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14.761094277153996</v>
      </c>
      <c r="AV76" s="21">
        <f>EXP(-LN(2)/25)*AV75+(1-EXP(-LN(2)/25))/(LN(2)/25)*Calculateur!AQ76*Calculateur!AS76*VLOOKUP('Données projet'!$B$10,Paramètres!$A$1:$I$89,3,0)*0.475*44/12</f>
        <v>8.2907197478246015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23.051814024978597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-1.1368683772161603E-13</v>
      </c>
      <c r="O77" s="13">
        <f>N77*VLOOKUP('Données projet'!$B$9,Paramètres!$A$1:$I$89,3,0)*VLOOKUP('Données projet'!$B$9,Paramètres!$A$1:$I$89,5,0)</f>
        <v>-6.7984728957526396E-14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212.70058550761718</v>
      </c>
      <c r="T77" s="59">
        <f t="shared" si="88"/>
        <v>208.28274083874896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104.81026583844243</v>
      </c>
      <c r="AA77" s="21">
        <f>EXP(-LN(2)/25)*AA76+(1-EXP(-LN(2)/25))/(LN(2)/25)*Calculateur!V77*Calculateur!X77*VLOOKUP('Données projet'!$B$9,Paramètres!$A$1:$I$89,3,0)*0.475*44/12</f>
        <v>58.127335616742776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162.93760145518522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2.1794871794871766</v>
      </c>
      <c r="AI77" s="13">
        <f>IF('Données projet'!$A$62&gt;35,AI76+AH77-AQ76,IF(A77&lt;'Données projet'!$A$62,$AF$205^A77,IF(A77='Données projet'!$A$62,'Données projet'!$B$62,AI76+AH77-AQ76)))</f>
        <v>128.58974358974351</v>
      </c>
      <c r="AJ77" s="13">
        <f>AI77*VLOOKUP('Données projet'!$B$10,Paramètres!$A$1:$I$89,3,0)*VLOOKUP('Données projet'!$B$10,Paramètres!$A$1:$I$89,5,0)</f>
        <v>112.33599999999994</v>
      </c>
      <c r="AK77" s="13">
        <f t="shared" si="89"/>
        <v>29.880689463445172</v>
      </c>
      <c r="AL77" s="20">
        <f t="shared" si="58"/>
        <v>247.69406748216684</v>
      </c>
      <c r="AM77" s="59">
        <f t="shared" si="59"/>
        <v>541.02740081550019</v>
      </c>
      <c r="AN77" s="59">
        <f ca="1">AVERAGE(OFFSET($AM$3,0,0,'Données projet'!$E$10+1,1))-AVERAGE(OFFSET($H$3,0,0,'Données projet'!$E$10+1,1))</f>
        <v>74.715815024475376</v>
      </c>
      <c r="AO77" s="59">
        <f t="shared" si="90"/>
        <v>87.801612218507501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14.471638221757505</v>
      </c>
      <c r="AV77" s="21">
        <f>EXP(-LN(2)/25)*AV76+(1-EXP(-LN(2)/25))/(LN(2)/25)*Calculateur!AQ77*Calculateur!AS77*VLOOKUP('Données projet'!$B$10,Paramètres!$A$1:$I$89,3,0)*0.475*44/12</f>
        <v>8.0640095803303353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22.535647802087841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-1.1368683772161603E-13</v>
      </c>
      <c r="O78" s="13">
        <f>N78*VLOOKUP('Données projet'!$B$9,Paramètres!$A$1:$I$89,3,0)*VLOOKUP('Données projet'!$B$9,Paramètres!$A$1:$I$89,5,0)</f>
        <v>-6.7984728957526396E-14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212.70058550761718</v>
      </c>
      <c r="T78" s="59">
        <f t="shared" si="88"/>
        <v>208.28274083874896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102.75500045330038</v>
      </c>
      <c r="AA78" s="21">
        <f>EXP(-LN(2)/25)*AA77+(1-EXP(-LN(2)/25))/(LN(2)/25)*Calculateur!V78*Calculateur!X78*VLOOKUP('Données projet'!$B$9,Paramètres!$A$1:$I$89,3,0)*0.475*44/12</f>
        <v>56.537840567519218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159.29284102081959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130.76923076923075</v>
      </c>
      <c r="AG78" s="12">
        <f>VLOOKUP(A78,'Données projet'!$A$61:$I$81,9,0)</f>
        <v>2.1794871794871766</v>
      </c>
      <c r="AH78" s="12">
        <f t="array" ref="AH78">INDEX(AG:AG,MIN(IF(ISNUMBER(AG78:AG274),ROW(AG78:AG274),"")))</f>
        <v>2.1794871794871766</v>
      </c>
      <c r="AI78" s="13">
        <f>IF('Données projet'!$A$62&gt;35,AI77+AH78-AQ77,IF(A78&lt;'Données projet'!$A$62,$AF$205^A78,IF(A78='Données projet'!$A$62,'Données projet'!$B$62,AI77+AH78-AQ77)))</f>
        <v>130.76923076923069</v>
      </c>
      <c r="AJ78" s="13">
        <f>AI78*VLOOKUP('Données projet'!$B$10,Paramètres!$A$1:$I$89,3,0)*VLOOKUP('Données projet'!$B$10,Paramètres!$A$1:$I$89,5,0)</f>
        <v>114.23999999999995</v>
      </c>
      <c r="AK78" s="13">
        <f t="shared" si="89"/>
        <v>30.327752098158388</v>
      </c>
      <c r="AL78" s="20">
        <f t="shared" si="58"/>
        <v>251.78883490429243</v>
      </c>
      <c r="AM78" s="59">
        <f t="shared" si="59"/>
        <v>545.12216823762571</v>
      </c>
      <c r="AN78" s="59">
        <f ca="1">AVERAGE(OFFSET($AM$3,0,0,'Données projet'!$E$10+1,1))-AVERAGE(OFFSET($H$3,0,0,'Données projet'!$E$10+1,1))</f>
        <v>74.715815024475376</v>
      </c>
      <c r="AO78" s="59">
        <f t="shared" si="90"/>
        <v>87.801612218507501</v>
      </c>
      <c r="AP78" s="15">
        <f>IF(ISNA(VLOOKUP(A78,'Données projet'!$A$61:$I$81,3,0)),0,VLOOKUP(A78,'Données projet'!$A$61:$I$81,3,0))</f>
        <v>14</v>
      </c>
      <c r="AQ78" s="15">
        <f>IF(ISNA(VLOOKUP(A78,'Données projet'!$A$61:$I$81,4,0)),0,VLOOKUP(A78,'Données projet'!$A$61:$I$81,4,0))</f>
        <v>7.6923076923076916</v>
      </c>
      <c r="AR78" s="16">
        <f>IF(ISNA(VLOOKUP(A78,'Données projet'!$A$61:$I$81,5,0)),0%,VLOOKUP(A78,'Données projet'!$A$61:$I$81,5,0)*VLOOKUP('Données projet'!$B$10,Paramètres!$A$1:$I$89,7,0))</f>
        <v>0.25800000000000001</v>
      </c>
      <c r="AS78" s="16">
        <f>IF(ISNA(VLOOKUP(A78,'Données projet'!$A$61:$I$81,6,0)),0%,VLOOKUP(A78,'Données projet'!$A$61:$I$81,6,0)*VLOOKUP('Données projet'!$B$10,Paramètres!$A$1:$I$89,7,0))</f>
        <v>0.129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16.104478548275626</v>
      </c>
      <c r="AV78" s="21">
        <f>EXP(-LN(2)/25)*AV77+(1-EXP(-LN(2)/25))/(LN(2)/25)*Calculateur!AQ78*Calculateur!AS78*VLOOKUP('Données projet'!$B$10,Paramètres!$A$1:$I$89,3,0)*0.475*44/12</f>
        <v>8.7980357446429007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24.902514292918525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-1.1368683772161603E-13</v>
      </c>
      <c r="O79" s="13">
        <f>N79*VLOOKUP('Données projet'!$B$9,Paramètres!$A$1:$I$89,3,0)*VLOOKUP('Données projet'!$B$9,Paramètres!$A$1:$I$89,5,0)</f>
        <v>-6.7984728957526396E-14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212.70058550761718</v>
      </c>
      <c r="T79" s="59">
        <f t="shared" si="88"/>
        <v>208.28274083874896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100.74003756877286</v>
      </c>
      <c r="AA79" s="21">
        <f>EXP(-LN(2)/25)*AA78+(1-EXP(-LN(2)/25))/(LN(2)/25)*Calculateur!V79*Calculateur!X79*VLOOKUP('Données projet'!$B$9,Paramètres!$A$1:$I$89,3,0)*0.475*44/12</f>
        <v>54.991810344004591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155.73184791277745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2.0512820512820582</v>
      </c>
      <c r="AI79" s="13">
        <f>IF('Données projet'!$A$62&gt;35,AI78+AH79-AQ78,IF(A79&lt;'Données projet'!$A$62,$AF$205^A79,IF(A79='Données projet'!$A$62,'Données projet'!$B$62,AI78+AH79-AQ78)))</f>
        <v>125.12820512820507</v>
      </c>
      <c r="AJ79" s="13">
        <f>AI79*VLOOKUP('Données projet'!$B$10,Paramètres!$A$1:$I$89,3,0)*VLOOKUP('Données projet'!$B$10,Paramètres!$A$1:$I$89,5,0)</f>
        <v>109.31199999999997</v>
      </c>
      <c r="AK79" s="13">
        <f t="shared" si="89"/>
        <v>29.168827262472519</v>
      </c>
      <c r="AL79" s="20">
        <f t="shared" si="58"/>
        <v>241.18744081547288</v>
      </c>
      <c r="AM79" s="59">
        <f t="shared" si="59"/>
        <v>534.52077414880614</v>
      </c>
      <c r="AN79" s="59">
        <f ca="1">AVERAGE(OFFSET($AM$3,0,0,'Données projet'!$E$10+1,1))-AVERAGE(OFFSET($H$3,0,0,'Données projet'!$E$10+1,1))</f>
        <v>74.715815024475376</v>
      </c>
      <c r="AO79" s="59">
        <f t="shared" si="90"/>
        <v>87.801612218507501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15.788679546705938</v>
      </c>
      <c r="AV79" s="21">
        <f>EXP(-LN(2)/25)*AV78+(1-EXP(-LN(2)/25))/(LN(2)/25)*Calculateur!AQ79*Calculateur!AS79*VLOOKUP('Données projet'!$B$10,Paramètres!$A$1:$I$89,3,0)*0.475*44/12</f>
        <v>8.5574529945370497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24.346132541242987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-1.1368683772161603E-13</v>
      </c>
      <c r="O80" s="13">
        <f>N80*VLOOKUP('Données projet'!$B$9,Paramètres!$A$1:$I$89,3,0)*VLOOKUP('Données projet'!$B$9,Paramètres!$A$1:$I$89,5,0)</f>
        <v>-6.7984728957526396E-14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212.70058550761718</v>
      </c>
      <c r="T80" s="59">
        <f t="shared" si="88"/>
        <v>208.28274083874896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98.764586877404923</v>
      </c>
      <c r="AA80" s="21">
        <f>EXP(-LN(2)/25)*AA79+(1-EXP(-LN(2)/25))/(LN(2)/25)*Calculateur!V80*Calculateur!X80*VLOOKUP('Données projet'!$B$9,Paramètres!$A$1:$I$89,3,0)*0.475*44/12</f>
        <v>53.488056398254166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152.2526432756591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2.0512820512820582</v>
      </c>
      <c r="AI80" s="13">
        <f>IF('Données projet'!$A$62&gt;35,AI79+AH80-AQ79,IF(A80&lt;'Données projet'!$A$62,$AF$205^A80,IF(A80='Données projet'!$A$62,'Données projet'!$B$62,AI79+AH80-AQ79)))</f>
        <v>127.17948717948713</v>
      </c>
      <c r="AJ80" s="13">
        <f>AI80*VLOOKUP('Données projet'!$B$10,Paramètres!$A$1:$I$89,3,0)*VLOOKUP('Données projet'!$B$10,Paramètres!$A$1:$I$89,5,0)</f>
        <v>111.10399999999997</v>
      </c>
      <c r="AK80" s="13">
        <f t="shared" si="89"/>
        <v>29.590944212805727</v>
      </c>
      <c r="AL80" s="20">
        <f t="shared" si="58"/>
        <v>245.04369450396993</v>
      </c>
      <c r="AM80" s="59">
        <f t="shared" si="59"/>
        <v>538.37702783730322</v>
      </c>
      <c r="AN80" s="59">
        <f ca="1">AVERAGE(OFFSET($AM$3,0,0,'Données projet'!$E$10+1,1))-AVERAGE(OFFSET($H$3,0,0,'Données projet'!$E$10+1,1))</f>
        <v>74.715815024475376</v>
      </c>
      <c r="AO80" s="59">
        <f t="shared" si="90"/>
        <v>87.801612218507501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15.47907317093866</v>
      </c>
      <c r="AV80" s="21">
        <f>EXP(-LN(2)/25)*AV79+(1-EXP(-LN(2)/25))/(LN(2)/25)*Calculateur!AQ80*Calculateur!AS80*VLOOKUP('Données projet'!$B$10,Paramètres!$A$1:$I$89,3,0)*0.475*44/12</f>
        <v>8.3234489923845398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23.8025221633232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-1.1368683772161603E-13</v>
      </c>
      <c r="O81" s="13">
        <f>N81*VLOOKUP('Données projet'!$B$9,Paramètres!$A$1:$I$89,3,0)*VLOOKUP('Données projet'!$B$9,Paramètres!$A$1:$I$89,5,0)</f>
        <v>-6.7984728957526396E-14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212.70058550761718</v>
      </c>
      <c r="T81" s="59">
        <f t="shared" si="88"/>
        <v>208.28274083874896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96.827873569188753</v>
      </c>
      <c r="AA81" s="21">
        <f>EXP(-LN(2)/25)*AA80+(1-EXP(-LN(2)/25))/(LN(2)/25)*Calculateur!V81*Calculateur!X81*VLOOKUP('Données projet'!$B$9,Paramètres!$A$1:$I$89,3,0)*0.475*44/12</f>
        <v>52.025422683229266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148.85329625241803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2.0512820512820582</v>
      </c>
      <c r="AI81" s="13">
        <f>IF('Données projet'!$A$62&gt;35,AI80+AH81-AQ80,IF(A81&lt;'Données projet'!$A$62,$AF$205^A81,IF(A81='Données projet'!$A$62,'Données projet'!$B$62,AI80+AH81-AQ80)))</f>
        <v>129.23076923076917</v>
      </c>
      <c r="AJ81" s="13">
        <f>AI81*VLOOKUP('Données projet'!$B$10,Paramètres!$A$1:$I$89,3,0)*VLOOKUP('Données projet'!$B$10,Paramètres!$A$1:$I$89,5,0)</f>
        <v>112.89599999999996</v>
      </c>
      <c r="AK81" s="13">
        <f t="shared" si="89"/>
        <v>30.012269379763534</v>
      </c>
      <c r="AL81" s="20">
        <f t="shared" si="58"/>
        <v>248.89856916975472</v>
      </c>
      <c r="AM81" s="59">
        <f t="shared" si="59"/>
        <v>542.23190250308801</v>
      </c>
      <c r="AN81" s="59">
        <f ca="1">AVERAGE(OFFSET($AM$3,0,0,'Données projet'!$E$10+1,1))-AVERAGE(OFFSET($H$3,0,0,'Données projet'!$E$10+1,1))</f>
        <v>74.715815024475376</v>
      </c>
      <c r="AO81" s="59">
        <f t="shared" si="90"/>
        <v>87.801612218507501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15.175537987358936</v>
      </c>
      <c r="AV81" s="21">
        <f>EXP(-LN(2)/25)*AV80+(1-EXP(-LN(2)/25))/(LN(2)/25)*Calculateur!AQ81*Calculateur!AS81*VLOOKUP('Données projet'!$B$10,Paramètres!$A$1:$I$89,3,0)*0.475*44/12</f>
        <v>8.0958438419766257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23.27138182933556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-1.1368683772161603E-13</v>
      </c>
      <c r="O82" s="13">
        <f>N82*VLOOKUP('Données projet'!$B$9,Paramètres!$A$1:$I$89,3,0)*VLOOKUP('Données projet'!$B$9,Paramètres!$A$1:$I$89,5,0)</f>
        <v>-6.7984728957526396E-14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212.70058550761718</v>
      </c>
      <c r="T82" s="59">
        <f t="shared" si="88"/>
        <v>208.28274083874896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94.92913802766823</v>
      </c>
      <c r="AA82" s="21">
        <f>EXP(-LN(2)/25)*AA81+(1-EXP(-LN(2)/25))/(LN(2)/25)*Calculateur!V82*Calculateur!X82*VLOOKUP('Données projet'!$B$9,Paramètres!$A$1:$I$89,3,0)*0.475*44/12</f>
        <v>50.602784764058292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145.53192279172652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2.0512820512820582</v>
      </c>
      <c r="AI82" s="13">
        <f>IF('Données projet'!$A$62&gt;35,AI81+AH82-AQ81,IF(A82&lt;'Données projet'!$A$62,$AF$205^A82,IF(A82='Données projet'!$A$62,'Données projet'!$B$62,AI81+AH82-AQ81)))</f>
        <v>131.28205128205121</v>
      </c>
      <c r="AJ82" s="13">
        <f>AI82*VLOOKUP('Données projet'!$B$10,Paramètres!$A$1:$I$89,3,0)*VLOOKUP('Données projet'!$B$10,Paramètres!$A$1:$I$89,5,0)</f>
        <v>114.68799999999995</v>
      </c>
      <c r="AK82" s="13">
        <f t="shared" si="89"/>
        <v>30.432816782482064</v>
      </c>
      <c r="AL82" s="20">
        <f t="shared" si="58"/>
        <v>252.75208922948948</v>
      </c>
      <c r="AM82" s="59">
        <f t="shared" si="59"/>
        <v>546.08542256282283</v>
      </c>
      <c r="AN82" s="59">
        <f ca="1">AVERAGE(OFFSET($AM$3,0,0,'Données projet'!$E$10+1,1))-AVERAGE(OFFSET($H$3,0,0,'Données projet'!$E$10+1,1))</f>
        <v>74.715815024475376</v>
      </c>
      <c r="AO82" s="59">
        <f t="shared" si="90"/>
        <v>87.801612218507501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14.87795494359103</v>
      </c>
      <c r="AV82" s="21">
        <f>EXP(-LN(2)/25)*AV81+(1-EXP(-LN(2)/25))/(LN(2)/25)*Calculateur!AQ82*Calculateur!AS82*VLOOKUP('Données projet'!$B$10,Paramètres!$A$1:$I$89,3,0)*0.475*44/12</f>
        <v>7.8744625663758505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22.752417509966882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-1.1368683772161603E-13</v>
      </c>
      <c r="O83" s="13">
        <f>N83*VLOOKUP('Données projet'!$B$9,Paramètres!$A$1:$I$89,3,0)*VLOOKUP('Données projet'!$B$9,Paramètres!$A$1:$I$89,5,0)</f>
        <v>-6.7984728957526396E-14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212.70058550761718</v>
      </c>
      <c r="T83" s="59">
        <f t="shared" si="88"/>
        <v>208.28274083874896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93.067635532002598</v>
      </c>
      <c r="AA83" s="21">
        <f>EXP(-LN(2)/25)*AA82+(1-EXP(-LN(2)/25))/(LN(2)/25)*Calculateur!V83*Calculateur!X83*VLOOKUP('Données projet'!$B$9,Paramètres!$A$1:$I$89,3,0)*0.475*44/12</f>
        <v>49.219048953600321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142.2866844856029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133.33333333333334</v>
      </c>
      <c r="AG83" s="12">
        <f>VLOOKUP(A83,'Données projet'!$A$61:$I$81,9,0)</f>
        <v>2.0512820512820582</v>
      </c>
      <c r="AH83" s="12">
        <f t="array" ref="AH83">INDEX(AG:AG,MIN(IF(ISNUMBER(AG83:AG279),ROW(AG83:AG279),"")))</f>
        <v>2.0512820512820582</v>
      </c>
      <c r="AI83" s="13">
        <f>IF('Données projet'!$A$62&gt;35,AI82+AH83-AQ82,IF(A83&lt;'Données projet'!$A$62,$AF$205^A83,IF(A83='Données projet'!$A$62,'Données projet'!$B$62,AI82+AH83-AQ82)))</f>
        <v>133.33333333333326</v>
      </c>
      <c r="AJ83" s="13">
        <f>AI83*VLOOKUP('Données projet'!$B$10,Paramètres!$A$1:$I$89,3,0)*VLOOKUP('Données projet'!$B$10,Paramètres!$A$1:$I$89,5,0)</f>
        <v>116.47999999999995</v>
      </c>
      <c r="AK83" s="13">
        <f t="shared" si="89"/>
        <v>30.852599976867037</v>
      </c>
      <c r="AL83" s="20">
        <f t="shared" si="58"/>
        <v>256.60427829304331</v>
      </c>
      <c r="AM83" s="59">
        <f t="shared" si="59"/>
        <v>549.93761162637657</v>
      </c>
      <c r="AN83" s="59">
        <f ca="1">AVERAGE(OFFSET($AM$3,0,0,'Données projet'!$E$10+1,1))-AVERAGE(OFFSET($H$3,0,0,'Données projet'!$E$10+1,1))</f>
        <v>74.715815024475376</v>
      </c>
      <c r="AO83" s="59">
        <f t="shared" si="90"/>
        <v>87.801612218507501</v>
      </c>
      <c r="AP83" s="15">
        <f>IF(ISNA(VLOOKUP(A83,'Données projet'!$A$61:$I$81,3,0)),0,VLOOKUP(A83,'Données projet'!$A$61:$I$81,3,0))</f>
        <v>15</v>
      </c>
      <c r="AQ83" s="15">
        <f>IF(ISNA(VLOOKUP(A83,'Données projet'!$A$61:$I$81,4,0)),0,VLOOKUP(A83,'Données projet'!$A$61:$I$81,4,0))</f>
        <v>7.0512820512820511</v>
      </c>
      <c r="AR83" s="16">
        <f>IF(ISNA(VLOOKUP(A83,'Données projet'!$A$61:$I$81,5,0)),0%,VLOOKUP(A83,'Données projet'!$A$61:$I$81,5,0)*VLOOKUP('Données projet'!$B$10,Paramètres!$A$1:$I$89,7,0))</f>
        <v>0.25800000000000001</v>
      </c>
      <c r="AS83" s="16">
        <f>IF(ISNA(VLOOKUP(A83,'Données projet'!$A$61:$I$81,6,0)),0%,VLOOKUP(A83,'Données projet'!$A$61:$I$81,6,0)*VLOOKUP('Données projet'!$B$10,Paramètres!$A$1:$I$89,7,0))</f>
        <v>0.129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16.343109286587804</v>
      </c>
      <c r="AV83" s="21">
        <f>EXP(-LN(2)/25)*AV82+(1-EXP(-LN(2)/25))/(LN(2)/25)*Calculateur!AQ83*Calculateur!AS83*VLOOKUP('Données projet'!$B$10,Paramètres!$A$1:$I$89,3,0)*0.475*44/12</f>
        <v>8.5341271595566344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24.877236446144437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-1.1368683772161603E-13</v>
      </c>
      <c r="O84" s="13">
        <f>N84*VLOOKUP('Données projet'!$B$9,Paramètres!$A$1:$I$89,3,0)*VLOOKUP('Données projet'!$B$9,Paramètres!$A$1:$I$89,5,0)</f>
        <v>-6.7984728957526396E-14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212.70058550761718</v>
      </c>
      <c r="T84" s="59">
        <f t="shared" si="88"/>
        <v>208.28274083874896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91.242635964872562</v>
      </c>
      <c r="AA84" s="21">
        <f>EXP(-LN(2)/25)*AA83+(1-EXP(-LN(2)/25))/(LN(2)/25)*Calculateur!V84*Calculateur!X84*VLOOKUP('Données projet'!$B$9,Paramètres!$A$1:$I$89,3,0)*0.475*44/12</f>
        <v>47.873151471646828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139.11578743651938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1.7948717948717898</v>
      </c>
      <c r="AI84" s="13">
        <f>IF('Données projet'!$A$62&gt;35,AI83+AH84-AQ83,IF(A84&lt;'Données projet'!$A$62,$AF$205^A84,IF(A84='Données projet'!$A$62,'Données projet'!$B$62,AI83+AH84-AQ83)))</f>
        <v>128.07692307692301</v>
      </c>
      <c r="AJ84" s="13">
        <f>AI84*VLOOKUP('Données projet'!$B$10,Paramètres!$A$1:$I$89,3,0)*VLOOKUP('Données projet'!$B$10,Paramètres!$A$1:$I$89,5,0)</f>
        <v>111.88799999999995</v>
      </c>
      <c r="AK84" s="13">
        <f t="shared" si="89"/>
        <v>29.775370562311142</v>
      </c>
      <c r="AL84" s="20">
        <f t="shared" si="58"/>
        <v>246.73037039602514</v>
      </c>
      <c r="AM84" s="59">
        <f t="shared" si="59"/>
        <v>540.06370372935839</v>
      </c>
      <c r="AN84" s="59">
        <f ca="1">AVERAGE(OFFSET($AM$3,0,0,'Données projet'!$E$10+1,1))-AVERAGE(OFFSET($H$3,0,0,'Données projet'!$E$10+1,1))</f>
        <v>74.715815024475376</v>
      </c>
      <c r="AO84" s="59">
        <f t="shared" si="90"/>
        <v>87.801612218507501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16.022630881790192</v>
      </c>
      <c r="AV84" s="21">
        <f>EXP(-LN(2)/25)*AV83+(1-EXP(-LN(2)/25))/(LN(2)/25)*Calculateur!AQ84*Calculateur!AS84*VLOOKUP('Données projet'!$B$10,Paramètres!$A$1:$I$89,3,0)*0.475*44/12</f>
        <v>8.300761003588315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24.323391885378506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-1.1368683772161603E-13</v>
      </c>
      <c r="O85" s="13">
        <f>N85*VLOOKUP('Données projet'!$B$9,Paramètres!$A$1:$I$89,3,0)*VLOOKUP('Données projet'!$B$9,Paramètres!$A$1:$I$89,5,0)</f>
        <v>-6.7984728957526396E-14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212.70058550761718</v>
      </c>
      <c r="T85" s="59">
        <f t="shared" si="88"/>
        <v>208.28274083874896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89.453423526114122</v>
      </c>
      <c r="AA85" s="21">
        <f>EXP(-LN(2)/25)*AA84+(1-EXP(-LN(2)/25))/(LN(2)/25)*Calculateur!V85*Calculateur!X85*VLOOKUP('Données projet'!$B$9,Paramètres!$A$1:$I$89,3,0)*0.475*44/12</f>
        <v>46.564057627115027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136.01748115322914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1.7948717948717898</v>
      </c>
      <c r="AI85" s="13">
        <f>IF('Données projet'!$A$62&gt;35,AI84+AH85-AQ84,IF(A85&lt;'Données projet'!$A$62,$AF$205^A85,IF(A85='Données projet'!$A$62,'Données projet'!$B$62,AI84+AH85-AQ84)))</f>
        <v>129.8717948717948</v>
      </c>
      <c r="AJ85" s="13">
        <f>AI85*VLOOKUP('Données projet'!$B$10,Paramètres!$A$1:$I$89,3,0)*VLOOKUP('Données projet'!$B$10,Paramètres!$A$1:$I$89,5,0)</f>
        <v>113.45599999999996</v>
      </c>
      <c r="AK85" s="13">
        <f t="shared" si="89"/>
        <v>30.143773345943128</v>
      </c>
      <c r="AL85" s="20">
        <f t="shared" si="58"/>
        <v>250.10293857751753</v>
      </c>
      <c r="AM85" s="59">
        <f t="shared" si="59"/>
        <v>543.43627191085079</v>
      </c>
      <c r="AN85" s="59">
        <f ca="1">AVERAGE(OFFSET($AM$3,0,0,'Données projet'!$E$10+1,1))-AVERAGE(OFFSET($H$3,0,0,'Données projet'!$E$10+1,1))</f>
        <v>74.715815024475376</v>
      </c>
      <c r="AO85" s="59">
        <f t="shared" si="90"/>
        <v>87.801612218507501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15.708436863038136</v>
      </c>
      <c r="AV85" s="21">
        <f>EXP(-LN(2)/25)*AV84+(1-EXP(-LN(2)/25))/(LN(2)/25)*Calculateur!AQ85*Calculateur!AS85*VLOOKUP('Données projet'!$B$10,Paramètres!$A$1:$I$89,3,0)*0.475*44/12</f>
        <v>8.0737762574271432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23.782213120465279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-1.1368683772161603E-13</v>
      </c>
      <c r="O86" s="13">
        <f>N86*VLOOKUP('Données projet'!$B$9,Paramètres!$A$1:$I$89,3,0)*VLOOKUP('Données projet'!$B$9,Paramètres!$A$1:$I$89,5,0)</f>
        <v>-6.7984728957526396E-14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212.70058550761718</v>
      </c>
      <c r="T86" s="59">
        <f t="shared" si="88"/>
        <v>208.28274083874896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87.699296451967911</v>
      </c>
      <c r="AA86" s="21">
        <f>EXP(-LN(2)/25)*AA85+(1-EXP(-LN(2)/25))/(LN(2)/25)*Calculateur!V86*Calculateur!X86*VLOOKUP('Données projet'!$B$9,Paramètres!$A$1:$I$89,3,0)*0.475*44/12</f>
        <v>45.290761022604201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132.9900574745721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1.7948717948717898</v>
      </c>
      <c r="AI86" s="13">
        <f>IF('Données projet'!$A$62&gt;35,AI85+AH86-AQ85,IF(A86&lt;'Données projet'!$A$62,$AF$205^A86,IF(A86='Données projet'!$A$62,'Données projet'!$B$62,AI85+AH86-AQ85)))</f>
        <v>131.6666666666666</v>
      </c>
      <c r="AJ86" s="13">
        <f>AI86*VLOOKUP('Données projet'!$B$10,Paramètres!$A$1:$I$89,3,0)*VLOOKUP('Données projet'!$B$10,Paramètres!$A$1:$I$89,5,0)</f>
        <v>115.02399999999996</v>
      </c>
      <c r="AK86" s="13">
        <f t="shared" si="89"/>
        <v>30.511583941282172</v>
      </c>
      <c r="AL86" s="20">
        <f t="shared" si="58"/>
        <v>253.47447536439972</v>
      </c>
      <c r="AM86" s="59">
        <f t="shared" si="59"/>
        <v>546.80780869773298</v>
      </c>
      <c r="AN86" s="59">
        <f ca="1">AVERAGE(OFFSET($AM$3,0,0,'Données projet'!$E$10+1,1))-AVERAGE(OFFSET($H$3,0,0,'Données projet'!$E$10+1,1))</f>
        <v>74.715815024475376</v>
      </c>
      <c r="AO86" s="59">
        <f t="shared" si="90"/>
        <v>87.801612218507501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15.400403997354379</v>
      </c>
      <c r="AV86" s="21">
        <f>EXP(-LN(2)/25)*AV85+(1-EXP(-LN(2)/25))/(LN(2)/25)*Calculateur!AQ86*Calculateur!AS86*VLOOKUP('Données projet'!$B$10,Paramètres!$A$1:$I$89,3,0)*0.475*44/12</f>
        <v>7.8529984210863573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23.253402418440736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-1.1368683772161603E-13</v>
      </c>
      <c r="O87" s="13">
        <f>N87*VLOOKUP('Données projet'!$B$9,Paramètres!$A$1:$I$89,3,0)*VLOOKUP('Données projet'!$B$9,Paramètres!$A$1:$I$89,5,0)</f>
        <v>-6.7984728957526396E-14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212.70058550761718</v>
      </c>
      <c r="T87" s="59">
        <f t="shared" si="88"/>
        <v>208.28274083874896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85.979566739833828</v>
      </c>
      <c r="AA87" s="21">
        <f>EXP(-LN(2)/25)*AA86+(1-EXP(-LN(2)/25))/(LN(2)/25)*Calculateur!V87*Calculateur!X87*VLOOKUP('Données projet'!$B$9,Paramètres!$A$1:$I$89,3,0)*0.475*44/12</f>
        <v>44.052282780703479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130.03184952053732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1.7948717948717898</v>
      </c>
      <c r="AI87" s="13">
        <f>IF('Données projet'!$A$62&gt;35,AI86+AH87-AQ86,IF(A87&lt;'Données projet'!$A$62,$AF$205^A87,IF(A87='Données projet'!$A$62,'Données projet'!$B$62,AI86+AH87-AQ86)))</f>
        <v>133.4615384615384</v>
      </c>
      <c r="AJ87" s="13">
        <f>AI87*VLOOKUP('Données projet'!$B$10,Paramètres!$A$1:$I$89,3,0)*VLOOKUP('Données projet'!$B$10,Paramètres!$A$1:$I$89,5,0)</f>
        <v>116.59199999999996</v>
      </c>
      <c r="AK87" s="13">
        <f t="shared" si="89"/>
        <v>30.87881135407634</v>
      </c>
      <c r="AL87" s="20">
        <f t="shared" si="58"/>
        <v>256.84499644168284</v>
      </c>
      <c r="AM87" s="59">
        <f t="shared" si="59"/>
        <v>550.17832977501621</v>
      </c>
      <c r="AN87" s="59">
        <f ca="1">AVERAGE(OFFSET($AM$3,0,0,'Données projet'!$E$10+1,1))-AVERAGE(OFFSET($H$3,0,0,'Données projet'!$E$10+1,1))</f>
        <v>74.715815024475376</v>
      </c>
      <c r="AO87" s="59">
        <f t="shared" si="90"/>
        <v>87.801612218507501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15.098411468285185</v>
      </c>
      <c r="AV87" s="21">
        <f>EXP(-LN(2)/25)*AV86+(1-EXP(-LN(2)/25))/(LN(2)/25)*Calculateur!AQ87*Calculateur!AS87*VLOOKUP('Données projet'!$B$10,Paramètres!$A$1:$I$89,3,0)*0.475*44/12</f>
        <v>7.6382577662905122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22.736669234575697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-1.1368683772161603E-13</v>
      </c>
      <c r="O88" s="13">
        <f>N88*VLOOKUP('Données projet'!$B$9,Paramètres!$A$1:$I$89,3,0)*VLOOKUP('Données projet'!$B$9,Paramètres!$A$1:$I$89,5,0)</f>
        <v>-6.7984728957526396E-14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212.70058550761718</v>
      </c>
      <c r="T88" s="59">
        <f t="shared" si="88"/>
        <v>208.28274083874896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84.293559878423139</v>
      </c>
      <c r="AA88" s="21">
        <f>EXP(-LN(2)/25)*AA87+(1-EXP(-LN(2)/25))/(LN(2)/25)*Calculateur!V88*Calculateur!X88*VLOOKUP('Données projet'!$B$9,Paramètres!$A$1:$I$89,3,0)*0.475*44/12</f>
        <v>42.847670791456274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127.14123066987941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135.25641025641025</v>
      </c>
      <c r="AG88" s="12">
        <f>VLOOKUP(A88,'Données projet'!$A$61:$I$81,9,0)</f>
        <v>1.7948717948717898</v>
      </c>
      <c r="AH88" s="12">
        <f t="array" ref="AH88">INDEX(AG:AG,MIN(IF(ISNUMBER(AG88:AG284),ROW(AG88:AG284),"")))</f>
        <v>1.7948717948717898</v>
      </c>
      <c r="AI88" s="13">
        <f>IF('Données projet'!$A$62&gt;35,AI87+AH88-AQ87,IF(A88&lt;'Données projet'!$A$62,$AF$205^A88,IF(A88='Données projet'!$A$62,'Données projet'!$B$62,AI87+AH88-AQ87)))</f>
        <v>135.25641025641019</v>
      </c>
      <c r="AJ88" s="13">
        <f>AI88*VLOOKUP('Données projet'!$B$10,Paramètres!$A$1:$I$89,3,0)*VLOOKUP('Données projet'!$B$10,Paramètres!$A$1:$I$89,5,0)</f>
        <v>118.15999999999995</v>
      </c>
      <c r="AK88" s="13">
        <f t="shared" si="89"/>
        <v>31.245464333923785</v>
      </c>
      <c r="AL88" s="20">
        <f t="shared" si="58"/>
        <v>260.21451704825046</v>
      </c>
      <c r="AM88" s="59">
        <f t="shared" si="59"/>
        <v>553.54785038158377</v>
      </c>
      <c r="AN88" s="59">
        <f ca="1">AVERAGE(OFFSET($AM$3,0,0,'Données projet'!$E$10+1,1))-AVERAGE(OFFSET($H$3,0,0,'Données projet'!$E$10+1,1))</f>
        <v>74.715815024475376</v>
      </c>
      <c r="AO88" s="59">
        <f t="shared" si="90"/>
        <v>87.801612218507501</v>
      </c>
      <c r="AP88" s="15">
        <f>IF(ISNA(VLOOKUP(A88,'Données projet'!$A$61:$I$81,3,0)),0,VLOOKUP(A88,'Données projet'!$A$61:$I$81,3,0))</f>
        <v>16</v>
      </c>
      <c r="AQ88" s="15">
        <f>IF(ISNA(VLOOKUP(A88,'Données projet'!$A$61:$I$81,4,0)),0,VLOOKUP(A88,'Données projet'!$A$61:$I$81,4,0))</f>
        <v>6.4102564102564097</v>
      </c>
      <c r="AR88" s="16">
        <f>IF(ISNA(VLOOKUP(A88,'Données projet'!$A$61:$I$81,5,0)),0%,VLOOKUP(A88,'Données projet'!$A$61:$I$81,5,0)*VLOOKUP('Données projet'!$B$10,Paramètres!$A$1:$I$89,7,0))</f>
        <v>0.25800000000000001</v>
      </c>
      <c r="AS88" s="16">
        <f>IF(ISNA(VLOOKUP(A88,'Données projet'!$A$61:$I$81,6,0)),0%,VLOOKUP(A88,'Données projet'!$A$61:$I$81,6,0)*VLOOKUP('Données projet'!$B$10,Paramètres!$A$1:$I$89,7,0))</f>
        <v>0.129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16.399524432862989</v>
      </c>
      <c r="AV88" s="21">
        <f>EXP(-LN(2)/25)*AV87+(1-EXP(-LN(2)/25))/(LN(2)/25)*Calculateur!AQ88*Calculateur!AS88*VLOOKUP('Données projet'!$B$10,Paramètres!$A$1:$I$89,3,0)*0.475*44/12</f>
        <v>8.2248366479548896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24.624361080817877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-1.1368683772161603E-13</v>
      </c>
      <c r="O89" s="13">
        <f>N89*VLOOKUP('Données projet'!$B$9,Paramètres!$A$1:$I$89,3,0)*VLOOKUP('Données projet'!$B$9,Paramètres!$A$1:$I$89,5,0)</f>
        <v>-6.7984728957526396E-14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212.70058550761718</v>
      </c>
      <c r="T89" s="59">
        <f t="shared" si="88"/>
        <v>208.28274083874896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82.64061458320208</v>
      </c>
      <c r="AA89" s="21">
        <f>EXP(-LN(2)/25)*AA88+(1-EXP(-LN(2)/25))/(LN(2)/25)*Calculateur!V89*Calculateur!X89*VLOOKUP('Données projet'!$B$9,Paramètres!$A$1:$I$89,3,0)*0.475*44/12</f>
        <v>41.675998980402824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124.3166135636049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1.7948717948717956</v>
      </c>
      <c r="AI89" s="13">
        <f>IF('Données projet'!$A$62&gt;35,AI88+AH89-AQ88,IF(A89&lt;'Données projet'!$A$62,$AF$205^A89,IF(A89='Données projet'!$A$62,'Données projet'!$B$62,AI88+AH89-AQ88)))</f>
        <v>130.64102564102558</v>
      </c>
      <c r="AJ89" s="13">
        <f>AI89*VLOOKUP('Données projet'!$B$10,Paramètres!$A$1:$I$89,3,0)*VLOOKUP('Données projet'!$B$10,Paramètres!$A$1:$I$89,5,0)</f>
        <v>114.12799999999996</v>
      </c>
      <c r="AK89" s="13">
        <f t="shared" si="89"/>
        <v>30.301478439970456</v>
      </c>
      <c r="AL89" s="20">
        <f t="shared" si="58"/>
        <v>251.54800828294844</v>
      </c>
      <c r="AM89" s="59">
        <f t="shared" si="59"/>
        <v>544.88134161628182</v>
      </c>
      <c r="AN89" s="59">
        <f ca="1">AVERAGE(OFFSET($AM$3,0,0,'Données projet'!$E$10+1,1))-AVERAGE(OFFSET($H$3,0,0,'Données projet'!$E$10+1,1))</f>
        <v>74.715815024475376</v>
      </c>
      <c r="AO89" s="59">
        <f t="shared" si="90"/>
        <v>87.801612218507501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16.077939761456765</v>
      </c>
      <c r="AV89" s="21">
        <f>EXP(-LN(2)/25)*AV88+(1-EXP(-LN(2)/25))/(LN(2)/25)*Calculateur!AQ89*Calculateur!AS89*VLOOKUP('Données projet'!$B$10,Paramètres!$A$1:$I$89,3,0)*0.475*44/12</f>
        <v>7.9999280572912017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24.077867818747968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-1.1368683772161603E-13</v>
      </c>
      <c r="O90" s="13">
        <f>N90*VLOOKUP('Données projet'!$B$9,Paramètres!$A$1:$I$89,3,0)*VLOOKUP('Données projet'!$B$9,Paramètres!$A$1:$I$89,5,0)</f>
        <v>-6.7984728957526396E-14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212.70058550761718</v>
      </c>
      <c r="T90" s="59">
        <f t="shared" si="88"/>
        <v>208.28274083874896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81.020082537023228</v>
      </c>
      <c r="AA90" s="21">
        <f>EXP(-LN(2)/25)*AA89+(1-EXP(-LN(2)/25))/(LN(2)/25)*Calculateur!V90*Calculateur!X90*VLOOKUP('Données projet'!$B$9,Paramètres!$A$1:$I$89,3,0)*0.475*44/12</f>
        <v>40.536366596638175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121.5564491336614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1.7948717948717956</v>
      </c>
      <c r="AI90" s="13">
        <f>IF('Données projet'!$A$62&gt;35,AI89+AH90-AQ89,IF(A90&lt;'Données projet'!$A$62,$AF$205^A90,IF(A90='Données projet'!$A$62,'Données projet'!$B$62,AI89+AH90-AQ89)))</f>
        <v>132.43589743589737</v>
      </c>
      <c r="AJ90" s="13">
        <f>AI90*VLOOKUP('Données projet'!$B$10,Paramètres!$A$1:$I$89,3,0)*VLOOKUP('Données projet'!$B$10,Paramètres!$A$1:$I$89,5,0)</f>
        <v>115.69599999999996</v>
      </c>
      <c r="AK90" s="13">
        <f t="shared" si="89"/>
        <v>30.669038012373807</v>
      </c>
      <c r="AL90" s="20">
        <f t="shared" si="58"/>
        <v>254.91910787155098</v>
      </c>
      <c r="AM90" s="59">
        <f t="shared" si="59"/>
        <v>548.25244120488424</v>
      </c>
      <c r="AN90" s="59">
        <f ca="1">AVERAGE(OFFSET($AM$3,0,0,'Données projet'!$E$10+1,1))-AVERAGE(OFFSET($H$3,0,0,'Données projet'!$E$10+1,1))</f>
        <v>74.715815024475376</v>
      </c>
      <c r="AO90" s="59">
        <f t="shared" si="90"/>
        <v>87.801612218507501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15.762661169309533</v>
      </c>
      <c r="AV90" s="21">
        <f>EXP(-LN(2)/25)*AV89+(1-EXP(-LN(2)/25))/(LN(2)/25)*Calculateur!AQ90*Calculateur!AS90*VLOOKUP('Données projet'!$B$10,Paramètres!$A$1:$I$89,3,0)*0.475*44/12</f>
        <v>7.7811696038666414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23.543830773176175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-1.1368683772161603E-13</v>
      </c>
      <c r="O91" s="13">
        <f>N91*VLOOKUP('Données projet'!$B$9,Paramètres!$A$1:$I$89,3,0)*VLOOKUP('Données projet'!$B$9,Paramètres!$A$1:$I$89,5,0)</f>
        <v>-6.7984728957526396E-14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212.70058550761718</v>
      </c>
      <c r="T91" s="59">
        <f t="shared" si="88"/>
        <v>208.28274083874896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79.431328135842989</v>
      </c>
      <c r="AA91" s="21">
        <f>EXP(-LN(2)/25)*AA90+(1-EXP(-LN(2)/25))/(LN(2)/25)*Calculateur!V91*Calculateur!X91*VLOOKUP('Données projet'!$B$9,Paramètres!$A$1:$I$89,3,0)*0.475*44/12</f>
        <v>39.427897520338234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118.85922565618122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1.7948717948717956</v>
      </c>
      <c r="AI91" s="13">
        <f>IF('Données projet'!$A$62&gt;35,AI90+AH91-AQ90,IF(A91&lt;'Données projet'!$A$62,$AF$205^A91,IF(A91='Données projet'!$A$62,'Données projet'!$B$62,AI90+AH91-AQ90)))</f>
        <v>134.23076923076917</v>
      </c>
      <c r="AJ91" s="13">
        <f>AI91*VLOOKUP('Données projet'!$B$10,Paramètres!$A$1:$I$89,3,0)*VLOOKUP('Données projet'!$B$10,Paramètres!$A$1:$I$89,5,0)</f>
        <v>117.26399999999995</v>
      </c>
      <c r="AK91" s="13">
        <f t="shared" si="89"/>
        <v>31.03601818279456</v>
      </c>
      <c r="AL91" s="20">
        <f t="shared" si="58"/>
        <v>258.28919833503375</v>
      </c>
      <c r="AM91" s="59">
        <f t="shared" si="59"/>
        <v>551.62253166836706</v>
      </c>
      <c r="AN91" s="59">
        <f ca="1">AVERAGE(OFFSET($AM$3,0,0,'Données projet'!$E$10+1,1))-AVERAGE(OFFSET($H$3,0,0,'Données projet'!$E$10+1,1))</f>
        <v>74.715815024475376</v>
      </c>
      <c r="AO91" s="59">
        <f t="shared" si="90"/>
        <v>87.801612218507501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15.453564998053356</v>
      </c>
      <c r="AV91" s="21">
        <f>EXP(-LN(2)/25)*AV90+(1-EXP(-LN(2)/25))/(LN(2)/25)*Calculateur!AQ91*Calculateur!AS91*VLOOKUP('Données projet'!$B$10,Paramètres!$A$1:$I$89,3,0)*0.475*44/12</f>
        <v>7.5683931118549825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23.02195810990834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-1.1368683772161603E-13</v>
      </c>
      <c r="O92" s="13">
        <f>N92*VLOOKUP('Données projet'!$B$9,Paramètres!$A$1:$I$89,3,0)*VLOOKUP('Données projet'!$B$9,Paramètres!$A$1:$I$89,5,0)</f>
        <v>-6.7984728957526396E-14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212.70058550761718</v>
      </c>
      <c r="T92" s="59">
        <f t="shared" si="88"/>
        <v>208.28274083874896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77.87372823942539</v>
      </c>
      <c r="AA92" s="21">
        <f>EXP(-LN(2)/25)*AA91+(1-EXP(-LN(2)/25))/(LN(2)/25)*Calculateur!V92*Calculateur!X92*VLOOKUP('Données projet'!$B$9,Paramètres!$A$1:$I$89,3,0)*0.475*44/12</f>
        <v>38.349739589221571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116.22346782864696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1.7948717948717956</v>
      </c>
      <c r="AI92" s="13">
        <f>IF('Données projet'!$A$62&gt;35,AI91+AH92-AQ91,IF(A92&lt;'Données projet'!$A$62,$AF$205^A92,IF(A92='Données projet'!$A$62,'Données projet'!$B$62,AI91+AH92-AQ91)))</f>
        <v>136.02564102564097</v>
      </c>
      <c r="AJ92" s="13">
        <f>AI92*VLOOKUP('Données projet'!$B$10,Paramètres!$A$1:$I$89,3,0)*VLOOKUP('Données projet'!$B$10,Paramètres!$A$1:$I$89,5,0)</f>
        <v>118.83199999999997</v>
      </c>
      <c r="AK92" s="13">
        <f t="shared" si="89"/>
        <v>31.402427594327239</v>
      </c>
      <c r="AL92" s="20">
        <f t="shared" si="58"/>
        <v>261.65829472678655</v>
      </c>
      <c r="AM92" s="59">
        <f t="shared" si="59"/>
        <v>554.99162806011987</v>
      </c>
      <c r="AN92" s="59">
        <f ca="1">AVERAGE(OFFSET($AM$3,0,0,'Données projet'!$E$10+1,1))-AVERAGE(OFFSET($H$3,0,0,'Données projet'!$E$10+1,1))</f>
        <v>74.715815024475376</v>
      </c>
      <c r="AO92" s="59">
        <f t="shared" si="90"/>
        <v>87.801612218507501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15.150530014185463</v>
      </c>
      <c r="AV92" s="21">
        <f>EXP(-LN(2)/25)*AV91+(1-EXP(-LN(2)/25))/(LN(2)/25)*Calculateur!AQ92*Calculateur!AS92*VLOOKUP('Données projet'!$B$10,Paramètres!$A$1:$I$89,3,0)*0.475*44/12</f>
        <v>7.361435004206812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22.511965018392274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-1.1368683772161603E-13</v>
      </c>
      <c r="O93" s="13">
        <f>N93*VLOOKUP('Données projet'!$B$9,Paramètres!$A$1:$I$89,3,0)*VLOOKUP('Données projet'!$B$9,Paramètres!$A$1:$I$89,5,0)</f>
        <v>-6.7984728957526396E-14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212.70058550761718</v>
      </c>
      <c r="T93" s="59">
        <f t="shared" si="88"/>
        <v>208.28274083874896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76.34667192693442</v>
      </c>
      <c r="AA93" s="21">
        <f>EXP(-LN(2)/25)*AA92+(1-EXP(-LN(2)/25))/(LN(2)/25)*Calculateur!V93*Calculateur!X93*VLOOKUP('Données projet'!$B$9,Paramètres!$A$1:$I$89,3,0)*0.475*44/12</f>
        <v>37.301063943429149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113.64773587036356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137.82051282051282</v>
      </c>
      <c r="AG93" s="12">
        <f>VLOOKUP(A93,'Données projet'!$A$61:$I$81,9,0)</f>
        <v>1.7948717948717956</v>
      </c>
      <c r="AH93" s="12">
        <f t="array" ref="AH93">INDEX(AG:AG,MIN(IF(ISNUMBER(AG93:AG289),ROW(AG93:AG289),"")))</f>
        <v>1.7948717948717956</v>
      </c>
      <c r="AI93" s="13">
        <f>IF('Données projet'!$A$62&gt;35,AI92+AH93-AQ92,IF(A93&lt;'Données projet'!$A$62,$AF$205^A93,IF(A93='Données projet'!$A$62,'Données projet'!$B$62,AI92+AH93-AQ92)))</f>
        <v>137.82051282051276</v>
      </c>
      <c r="AJ93" s="13">
        <f>AI93*VLOOKUP('Données projet'!$B$10,Paramètres!$A$1:$I$89,3,0)*VLOOKUP('Données projet'!$B$10,Paramètres!$A$1:$I$89,5,0)</f>
        <v>120.39999999999996</v>
      </c>
      <c r="AK93" s="13">
        <f t="shared" si="89"/>
        <v>31.768274648862857</v>
      </c>
      <c r="AL93" s="20">
        <f t="shared" si="58"/>
        <v>265.02641168010274</v>
      </c>
      <c r="AM93" s="59">
        <f t="shared" si="59"/>
        <v>558.35974501343605</v>
      </c>
      <c r="AN93" s="59">
        <f ca="1">AVERAGE(OFFSET($AM$3,0,0,'Données projet'!$E$10+1,1))-AVERAGE(OFFSET($H$3,0,0,'Données projet'!$E$10+1,1))</f>
        <v>74.715815024475376</v>
      </c>
      <c r="AO93" s="59">
        <f t="shared" si="90"/>
        <v>87.801612218507501</v>
      </c>
      <c r="AP93" s="15">
        <f>IF(ISNA(VLOOKUP(A93,'Données projet'!$A$61:$I$81,3,0)),0,VLOOKUP(A93,'Données projet'!$A$61:$I$81,3,0))</f>
        <v>17</v>
      </c>
      <c r="AQ93" s="15">
        <f>IF(ISNA(VLOOKUP(A93,'Données projet'!$A$61:$I$81,4,0)),0,VLOOKUP(A93,'Données projet'!$A$61:$I$81,4,0))</f>
        <v>6.4102564102564097</v>
      </c>
      <c r="AR93" s="16">
        <f>IF(ISNA(VLOOKUP(A93,'Données projet'!$A$61:$I$81,5,0)),0%,VLOOKUP(A93,'Données projet'!$A$61:$I$81,5,0)*VLOOKUP('Données projet'!$B$10,Paramètres!$A$1:$I$89,7,0))</f>
        <v>0.25800000000000001</v>
      </c>
      <c r="AS93" s="16">
        <f>IF(ISNA(VLOOKUP(A93,'Données projet'!$A$61:$I$81,6,0)),0%,VLOOKUP(A93,'Données projet'!$A$61:$I$81,6,0)*VLOOKUP('Données projet'!$B$10,Paramètres!$A$1:$I$89,7,0))</f>
        <v>0.129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16.450620965867337</v>
      </c>
      <c r="AV93" s="21">
        <f>EXP(-LN(2)/25)*AV92+(1-EXP(-LN(2)/25))/(LN(2)/25)*Calculateur!AQ93*Calculateur!AS93*VLOOKUP('Données projet'!$B$10,Paramètres!$A$1:$I$89,3,0)*0.475*44/12</f>
        <v>7.9555836188578439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24.406204584725181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-1.1368683772161603E-13</v>
      </c>
      <c r="O94" s="13">
        <f>N94*VLOOKUP('Données projet'!$B$9,Paramètres!$A$1:$I$89,3,0)*VLOOKUP('Données projet'!$B$9,Paramètres!$A$1:$I$89,5,0)</f>
        <v>-6.7984728957526396E-14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212.70058550761718</v>
      </c>
      <c r="T94" s="59">
        <f t="shared" si="88"/>
        <v>208.28274083874896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74.849560257319013</v>
      </c>
      <c r="AA94" s="21">
        <f>EXP(-LN(2)/25)*AA93+(1-EXP(-LN(2)/25))/(LN(2)/25)*Calculateur!V94*Calculateur!X94*VLOOKUP('Données projet'!$B$9,Paramètres!$A$1:$I$89,3,0)*0.475*44/12</f>
        <v>36.281064388318377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111.1306246456374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1.7948717948717956</v>
      </c>
      <c r="AI94" s="13">
        <f>IF('Données projet'!$A$62&gt;35,AI93+AH94-AQ93,IF(A94&lt;'Données projet'!$A$62,$AF$205^A94,IF(A94='Données projet'!$A$62,'Données projet'!$B$62,AI93+AH94-AQ93)))</f>
        <v>133.20512820512815</v>
      </c>
      <c r="AJ94" s="13">
        <f>AI94*VLOOKUP('Données projet'!$B$10,Paramètres!$A$1:$I$89,3,0)*VLOOKUP('Données projet'!$B$10,Paramètres!$A$1:$I$89,5,0)</f>
        <v>116.36799999999995</v>
      </c>
      <c r="AK94" s="13">
        <f t="shared" si="89"/>
        <v>30.826385665835112</v>
      </c>
      <c r="AL94" s="20">
        <f t="shared" si="58"/>
        <v>256.36355503466274</v>
      </c>
      <c r="AM94" s="59">
        <f t="shared" si="59"/>
        <v>549.69688836799605</v>
      </c>
      <c r="AN94" s="59">
        <f ca="1">AVERAGE(OFFSET($AM$3,0,0,'Données projet'!$E$10+1,1))-AVERAGE(OFFSET($H$3,0,0,'Données projet'!$E$10+1,1))</f>
        <v>74.715815024475376</v>
      </c>
      <c r="AO94" s="59">
        <f t="shared" si="90"/>
        <v>87.801612218507501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16.128034322614702</v>
      </c>
      <c r="AV94" s="21">
        <f>EXP(-LN(2)/25)*AV93+(1-EXP(-LN(2)/25))/(LN(2)/25)*Calculateur!AQ94*Calculateur!AS94*VLOOKUP('Données projet'!$B$10,Paramètres!$A$1:$I$89,3,0)*0.475*44/12</f>
        <v>7.7380377664342168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23.86607208904892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-1.1368683772161603E-13</v>
      </c>
      <c r="O95" s="13">
        <f>N95*VLOOKUP('Données projet'!$B$9,Paramètres!$A$1:$I$89,3,0)*VLOOKUP('Données projet'!$B$9,Paramètres!$A$1:$I$89,5,0)</f>
        <v>-6.7984728957526396E-14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212.70058550761718</v>
      </c>
      <c r="T95" s="59">
        <f t="shared" si="88"/>
        <v>208.28274083874896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73.381806034396817</v>
      </c>
      <c r="AA95" s="21">
        <f>EXP(-LN(2)/25)*AA94+(1-EXP(-LN(2)/25))/(LN(2)/25)*Calculateur!V95*Calculateur!X95*VLOOKUP('Données projet'!$B$9,Paramètres!$A$1:$I$89,3,0)*0.475*44/12</f>
        <v>35.288956774681559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108.67076280907838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1.7948717948717956</v>
      </c>
      <c r="AI95" s="13">
        <f>IF('Données projet'!$A$62&gt;35,AI94+AH95-AQ94,IF(A95&lt;'Données projet'!$A$62,$AF$205^A95,IF(A95='Données projet'!$A$62,'Données projet'!$B$62,AI94+AH95-AQ94)))</f>
        <v>134.99999999999994</v>
      </c>
      <c r="AJ95" s="13">
        <f>AI95*VLOOKUP('Données projet'!$B$10,Paramètres!$A$1:$I$89,3,0)*VLOOKUP('Données projet'!$B$10,Paramètres!$A$1:$I$89,5,0)</f>
        <v>117.93599999999998</v>
      </c>
      <c r="AK95" s="13">
        <f t="shared" si="89"/>
        <v>31.1931201812605</v>
      </c>
      <c r="AL95" s="20">
        <f t="shared" si="58"/>
        <v>259.73321764902863</v>
      </c>
      <c r="AM95" s="59">
        <f t="shared" si="59"/>
        <v>553.06655098236195</v>
      </c>
      <c r="AN95" s="59">
        <f ca="1">AVERAGE(OFFSET($AM$3,0,0,'Données projet'!$E$10+1,1))-AVERAGE(OFFSET($H$3,0,0,'Données projet'!$E$10+1,1))</f>
        <v>74.715815024475376</v>
      </c>
      <c r="AO95" s="59">
        <f t="shared" si="90"/>
        <v>87.801612218507501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15.81177340667783</v>
      </c>
      <c r="AV95" s="21">
        <f>EXP(-LN(2)/25)*AV94+(1-EXP(-LN(2)/25))/(LN(2)/25)*Calculateur!AQ95*Calculateur!AS95*VLOOKUP('Données projet'!$B$10,Paramètres!$A$1:$I$89,3,0)*0.475*44/12</f>
        <v>7.5264407167853529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23.338214123463182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-1.1368683772161603E-13</v>
      </c>
      <c r="O96" s="13">
        <f>N96*VLOOKUP('Données projet'!$B$9,Paramètres!$A$1:$I$89,3,0)*VLOOKUP('Données projet'!$B$9,Paramètres!$A$1:$I$89,5,0)</f>
        <v>-6.7984728957526396E-14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212.70058550761718</v>
      </c>
      <c r="T96" s="59">
        <f t="shared" si="88"/>
        <v>208.28274083874896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71.942833576544444</v>
      </c>
      <c r="AA96" s="21">
        <f>EXP(-LN(2)/25)*AA95+(1-EXP(-LN(2)/25))/(LN(2)/25)*Calculateur!V96*Calculateur!X96*VLOOKUP('Données projet'!$B$9,Paramètres!$A$1:$I$89,3,0)*0.475*44/12</f>
        <v>34.323978395912306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106.26681197245675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1.7948717948717956</v>
      </c>
      <c r="AI96" s="13">
        <f>IF('Données projet'!$A$62&gt;35,AI95+AH96-AQ95,IF(A96&lt;'Données projet'!$A$62,$AF$205^A96,IF(A96='Données projet'!$A$62,'Données projet'!$B$62,AI95+AH96-AQ95)))</f>
        <v>136.79487179487174</v>
      </c>
      <c r="AJ96" s="13">
        <f>AI96*VLOOKUP('Données projet'!$B$10,Paramètres!$A$1:$I$89,3,0)*VLOOKUP('Données projet'!$B$10,Paramètres!$A$1:$I$89,5,0)</f>
        <v>119.50399999999996</v>
      </c>
      <c r="AK96" s="13">
        <f t="shared" si="89"/>
        <v>31.55928756756072</v>
      </c>
      <c r="AL96" s="20">
        <f t="shared" si="58"/>
        <v>263.10189251350153</v>
      </c>
      <c r="AM96" s="59">
        <f t="shared" si="59"/>
        <v>556.43522584683478</v>
      </c>
      <c r="AN96" s="59">
        <f ca="1">AVERAGE(OFFSET($AM$3,0,0,'Données projet'!$E$10+1,1))-AVERAGE(OFFSET($H$3,0,0,'Données projet'!$E$10+1,1))</f>
        <v>74.715815024475376</v>
      </c>
      <c r="AO96" s="59">
        <f t="shared" si="90"/>
        <v>87.801612218507501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15.501714174402366</v>
      </c>
      <c r="AV96" s="21">
        <f>EXP(-LN(2)/25)*AV95+(1-EXP(-LN(2)/25))/(LN(2)/25)*Calculateur!AQ96*Calculateur!AS96*VLOOKUP('Données projet'!$B$10,Paramètres!$A$1:$I$89,3,0)*0.475*44/12</f>
        <v>7.3206297995865421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22.822343973988907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-1.1368683772161603E-13</v>
      </c>
      <c r="O97" s="13">
        <f>N97*VLOOKUP('Données projet'!$B$9,Paramètres!$A$1:$I$89,3,0)*VLOOKUP('Données projet'!$B$9,Paramètres!$A$1:$I$89,5,0)</f>
        <v>-6.7984728957526396E-14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212.70058550761718</v>
      </c>
      <c r="T97" s="59">
        <f t="shared" si="88"/>
        <v>208.28274083874896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70.532078490904027</v>
      </c>
      <c r="AA97" s="21">
        <f>EXP(-LN(2)/25)*AA96+(1-EXP(-LN(2)/25))/(LN(2)/25)*Calculateur!V97*Calculateur!X97*VLOOKUP('Données projet'!$B$9,Paramètres!$A$1:$I$89,3,0)*0.475*44/12</f>
        <v>33.385387401656509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103.91746589256053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1.7948717948717956</v>
      </c>
      <c r="AI97" s="13">
        <f>IF('Données projet'!$A$62&gt;35,AI96+AH97-AQ96,IF(A97&lt;'Données projet'!$A$62,$AF$205^A97,IF(A97='Données projet'!$A$62,'Données projet'!$B$62,AI96+AH97-AQ96)))</f>
        <v>138.58974358974353</v>
      </c>
      <c r="AJ97" s="13">
        <f>AI97*VLOOKUP('Données projet'!$B$10,Paramètres!$A$1:$I$89,3,0)*VLOOKUP('Données projet'!$B$10,Paramètres!$A$1:$I$89,5,0)</f>
        <v>121.07199999999996</v>
      </c>
      <c r="AK97" s="13">
        <f t="shared" si="89"/>
        <v>31.924896126279531</v>
      </c>
      <c r="AL97" s="20">
        <f t="shared" si="58"/>
        <v>266.46959408660342</v>
      </c>
      <c r="AM97" s="59">
        <f t="shared" si="59"/>
        <v>559.80292741993674</v>
      </c>
      <c r="AN97" s="59">
        <f ca="1">AVERAGE(OFFSET($AM$3,0,0,'Données projet'!$E$10+1,1))-AVERAGE(OFFSET($H$3,0,0,'Données projet'!$E$10+1,1))</f>
        <v>74.715815024475376</v>
      </c>
      <c r="AO97" s="59">
        <f t="shared" si="90"/>
        <v>87.801612218507501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15.197735014554368</v>
      </c>
      <c r="AV97" s="21">
        <f>EXP(-LN(2)/25)*AV96+(1-EXP(-LN(2)/25))/(LN(2)/25)*Calculateur!AQ97*Calculateur!AS97*VLOOKUP('Données projet'!$B$10,Paramètres!$A$1:$I$89,3,0)*0.475*44/12</f>
        <v>7.1204467927416584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22.318181807296028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-1.1368683772161603E-13</v>
      </c>
      <c r="O98" s="13">
        <f>N98*VLOOKUP('Données projet'!$B$9,Paramètres!$A$1:$I$89,3,0)*VLOOKUP('Données projet'!$B$9,Paramètres!$A$1:$I$89,5,0)</f>
        <v>-6.7984728957526396E-14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212.70058550761718</v>
      </c>
      <c r="T98" s="59">
        <f t="shared" si="88"/>
        <v>208.28274083874896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69.14898745201738</v>
      </c>
      <c r="AA98" s="21">
        <f>EXP(-LN(2)/25)*AA97+(1-EXP(-LN(2)/25))/(LN(2)/25)*Calculateur!V98*Calculateur!X98*VLOOKUP('Données projet'!$B$9,Paramètres!$A$1:$I$89,3,0)*0.475*44/12</f>
        <v>32.47246222749699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101.62144967951437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140.38461538461539</v>
      </c>
      <c r="AG98" s="12">
        <f>VLOOKUP(A98,'Données projet'!$A$61:$I$81,9,0)</f>
        <v>1.7948717948717956</v>
      </c>
      <c r="AH98" s="12">
        <f t="array" ref="AH98">INDEX(AG:AG,MIN(IF(ISNUMBER(AG98:AG294),ROW(AG98:AG294),"")))</f>
        <v>1.7948717948717956</v>
      </c>
      <c r="AI98" s="13">
        <f>IF('Données projet'!$A$62&gt;35,AI97+AH98-AQ97,IF(A98&lt;'Données projet'!$A$62,$AF$205^A98,IF(A98='Données projet'!$A$62,'Données projet'!$B$62,AI97+AH98-AQ97)))</f>
        <v>140.38461538461533</v>
      </c>
      <c r="AJ98" s="13">
        <f>AI98*VLOOKUP('Données projet'!$B$10,Paramètres!$A$1:$I$89,3,0)*VLOOKUP('Données projet'!$B$10,Paramètres!$A$1:$I$89,5,0)</f>
        <v>122.63999999999997</v>
      </c>
      <c r="AK98" s="13">
        <f t="shared" si="89"/>
        <v>32.289953931572668</v>
      </c>
      <c r="AL98" s="20">
        <f t="shared" si="58"/>
        <v>269.83633643082231</v>
      </c>
      <c r="AM98" s="59">
        <f t="shared" si="59"/>
        <v>563.16966976415563</v>
      </c>
      <c r="AN98" s="59">
        <f ca="1">AVERAGE(OFFSET($AM$3,0,0,'Données projet'!$E$10+1,1))-AVERAGE(OFFSET($H$3,0,0,'Données projet'!$E$10+1,1))</f>
        <v>74.715815024475376</v>
      </c>
      <c r="AO98" s="59">
        <f t="shared" si="90"/>
        <v>87.801612218507501</v>
      </c>
      <c r="AP98" s="15">
        <f>IF(ISNA(VLOOKUP(A98,'Données projet'!$A$61:$I$81,3,0)),0,VLOOKUP(A98,'Données projet'!$A$61:$I$81,3,0))</f>
        <v>18</v>
      </c>
      <c r="AQ98" s="15">
        <f>IF(ISNA(VLOOKUP(A98,'Données projet'!$A$61:$I$81,4,0)),0,VLOOKUP(A98,'Données projet'!$A$61:$I$81,4,0))</f>
        <v>7.0512820512820511</v>
      </c>
      <c r="AR98" s="16">
        <f>IF(ISNA(VLOOKUP(A98,'Données projet'!$A$61:$I$81,5,0)),0%,VLOOKUP(A98,'Données projet'!$A$61:$I$81,5,0)*VLOOKUP('Données projet'!$B$10,Paramètres!$A$1:$I$89,7,0))</f>
        <v>0.25800000000000001</v>
      </c>
      <c r="AS98" s="16">
        <f>IF(ISNA(VLOOKUP(A98,'Données projet'!$A$61:$I$81,6,0)),0%,VLOOKUP(A98,'Données projet'!$A$61:$I$81,6,0)*VLOOKUP('Données projet'!$B$10,Paramètres!$A$1:$I$89,7,0))</f>
        <v>0.129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16.656618665406135</v>
      </c>
      <c r="AV98" s="21">
        <f>EXP(-LN(2)/25)*AV97+(1-EXP(-LN(2)/25))/(LN(2)/25)*Calculateur!AQ98*Calculateur!AS98*VLOOKUP('Données projet'!$B$10,Paramètres!$A$1:$I$89,3,0)*0.475*44/12</f>
        <v>7.8007299869044351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24.457348652310571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-1.1368683772161603E-13</v>
      </c>
      <c r="O99" s="13">
        <f>N99*VLOOKUP('Données projet'!$B$9,Paramètres!$A$1:$I$89,3,0)*VLOOKUP('Données projet'!$B$9,Paramètres!$A$1:$I$89,5,0)</f>
        <v>-6.7984728957526396E-14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212.70058550761718</v>
      </c>
      <c r="T99" s="59">
        <f t="shared" si="88"/>
        <v>208.28274083874896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67.793017984801054</v>
      </c>
      <c r="AA99" s="21">
        <f>EXP(-LN(2)/25)*AA98+(1-EXP(-LN(2)/25))/(LN(2)/25)*Calculateur!V99*Calculateur!X99*VLOOKUP('Données projet'!$B$9,Paramètres!$A$1:$I$89,3,0)*0.475*44/12</f>
        <v>31.584501040233512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99.377519025034559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1.9230769230769169</v>
      </c>
      <c r="AI99" s="13">
        <f>IF('Données projet'!$A$62&gt;35,AI98+AH99-AQ98,IF(A99&lt;'Données projet'!$A$62,$AF$205^A99,IF(A99='Données projet'!$A$62,'Données projet'!$B$62,AI98+AH99-AQ98)))</f>
        <v>135.25641025641019</v>
      </c>
      <c r="AJ99" s="13">
        <f>AI99*VLOOKUP('Données projet'!$B$10,Paramètres!$A$1:$I$89,3,0)*VLOOKUP('Données projet'!$B$10,Paramètres!$A$1:$I$89,5,0)</f>
        <v>118.15999999999995</v>
      </c>
      <c r="AK99" s="13">
        <f t="shared" si="89"/>
        <v>31.245464333923785</v>
      </c>
      <c r="AL99" s="20">
        <f t="shared" si="58"/>
        <v>260.21451704825046</v>
      </c>
      <c r="AM99" s="59">
        <f t="shared" si="59"/>
        <v>553.54785038158377</v>
      </c>
      <c r="AN99" s="59">
        <f ca="1">AVERAGE(OFFSET($AM$3,0,0,'Données projet'!$E$10+1,1))-AVERAGE(OFFSET($H$3,0,0,'Données projet'!$E$10+1,1))</f>
        <v>74.715815024475376</v>
      </c>
      <c r="AO99" s="59">
        <f t="shared" si="90"/>
        <v>87.801612218507501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16.329992532911735</v>
      </c>
      <c r="AV99" s="21">
        <f>EXP(-LN(2)/25)*AV98+(1-EXP(-LN(2)/25))/(LN(2)/25)*Calculateur!AQ99*Calculateur!AS99*VLOOKUP('Données projet'!$B$10,Paramètres!$A$1:$I$89,3,0)*0.475*44/12</f>
        <v>7.5874186151899723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23.917411148101706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-1.1368683772161603E-13</v>
      </c>
      <c r="O100" s="13">
        <f>N100*VLOOKUP('Données projet'!$B$9,Paramètres!$A$1:$I$89,3,0)*VLOOKUP('Données projet'!$B$9,Paramètres!$A$1:$I$89,5,0)</f>
        <v>-6.7984728957526396E-14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212.70058550761718</v>
      </c>
      <c r="T100" s="59">
        <f t="shared" si="88"/>
        <v>208.28274083874896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66.463638251777141</v>
      </c>
      <c r="AA100" s="21">
        <f>EXP(-LN(2)/25)*AA99+(1-EXP(-LN(2)/25))/(LN(2)/25)*Calculateur!V100*Calculateur!X100*VLOOKUP('Données projet'!$B$9,Paramètres!$A$1:$I$89,3,0)*0.475*44/12</f>
        <v>30.720821198331603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97.184459450108747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1.9230769230769169</v>
      </c>
      <c r="AI100" s="13">
        <f>IF('Données projet'!$A$62&gt;35,AI99+AH100-AQ99,IF(A100&lt;'Données projet'!$A$62,$AF$205^A100,IF(A100='Données projet'!$A$62,'Données projet'!$B$62,AI99+AH100-AQ99)))</f>
        <v>137.1794871794871</v>
      </c>
      <c r="AJ100" s="13">
        <f>AI100*VLOOKUP('Données projet'!$B$10,Paramètres!$A$1:$I$89,3,0)*VLOOKUP('Données projet'!$B$10,Paramètres!$A$1:$I$89,5,0)</f>
        <v>119.83999999999993</v>
      </c>
      <c r="AK100" s="13">
        <f t="shared" si="89"/>
        <v>31.637679024355371</v>
      </c>
      <c r="AL100" s="20">
        <f t="shared" si="58"/>
        <v>263.8236243007521</v>
      </c>
      <c r="AM100" s="59">
        <f t="shared" si="59"/>
        <v>557.15695763408542</v>
      </c>
      <c r="AN100" s="59">
        <f ca="1">AVERAGE(OFFSET($AM$3,0,0,'Données projet'!$E$10+1,1))-AVERAGE(OFFSET($H$3,0,0,'Données projet'!$E$10+1,1))</f>
        <v>74.715815024475376</v>
      </c>
      <c r="AO100" s="59">
        <f t="shared" si="90"/>
        <v>87.801612218507501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16.00977133965328</v>
      </c>
      <c r="AV100" s="21">
        <f>EXP(-LN(2)/25)*AV99+(1-EXP(-LN(2)/25))/(LN(2)/25)*Calculateur!AQ100*Calculateur!AS100*VLOOKUP('Données projet'!$B$10,Paramètres!$A$1:$I$89,3,0)*0.475*44/12</f>
        <v>7.3799402541525989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23.389711593805877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-1.1368683772161603E-13</v>
      </c>
      <c r="O101" s="13">
        <f>N101*VLOOKUP('Données projet'!$B$9,Paramètres!$A$1:$I$89,3,0)*VLOOKUP('Données projet'!$B$9,Paramètres!$A$1:$I$89,5,0)</f>
        <v>-6.7984728957526396E-14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212.70058550761718</v>
      </c>
      <c r="T101" s="59">
        <f t="shared" si="88"/>
        <v>208.28274083874896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65.160326844476245</v>
      </c>
      <c r="AA101" s="21">
        <f>EXP(-LN(2)/25)*AA100+(1-EXP(-LN(2)/25))/(LN(2)/25)*Calculateur!V101*Calculateur!X101*VLOOKUP('Données projet'!$B$9,Paramètres!$A$1:$I$89,3,0)*0.475*44/12</f>
        <v>29.88075872712545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95.041085571601698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1.9230769230769169</v>
      </c>
      <c r="AI101" s="13">
        <f>IF('Données projet'!$A$62&gt;35,AI100+AH101-AQ100,IF(A101&lt;'Données projet'!$A$62,$AF$205^A101,IF(A101='Données projet'!$A$62,'Données projet'!$B$62,AI100+AH101-AQ100)))</f>
        <v>139.102564102564</v>
      </c>
      <c r="AJ101" s="13">
        <f>AI101*VLOOKUP('Données projet'!$B$10,Paramètres!$A$1:$I$89,3,0)*VLOOKUP('Données projet'!$B$10,Paramètres!$A$1:$I$89,5,0)</f>
        <v>121.51999999999994</v>
      </c>
      <c r="AK101" s="13">
        <f t="shared" si="89"/>
        <v>32.029254208126616</v>
      </c>
      <c r="AL101" s="20">
        <f t="shared" si="58"/>
        <v>267.43161774582046</v>
      </c>
      <c r="AM101" s="59">
        <f t="shared" si="59"/>
        <v>560.76495107915378</v>
      </c>
      <c r="AN101" s="59">
        <f ca="1">AVERAGE(OFFSET($AM$3,0,0,'Données projet'!$E$10+1,1))-AVERAGE(OFFSET($H$3,0,0,'Données projet'!$E$10+1,1))</f>
        <v>74.715815024475376</v>
      </c>
      <c r="AO101" s="59">
        <f t="shared" si="90"/>
        <v>87.801612218507501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15.695829488678983</v>
      </c>
      <c r="AV101" s="21">
        <f>EXP(-LN(2)/25)*AV100+(1-EXP(-LN(2)/25))/(LN(2)/25)*Calculateur!AQ101*Calculateur!AS101*VLOOKUP('Données projet'!$B$10,Paramètres!$A$1:$I$89,3,0)*0.475*44/12</f>
        <v>7.178135399808605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22.873964888487588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-1.1368683772161603E-13</v>
      </c>
      <c r="O102" s="13">
        <f>N102*VLOOKUP('Données projet'!$B$9,Paramètres!$A$1:$I$89,3,0)*VLOOKUP('Données projet'!$B$9,Paramètres!$A$1:$I$89,5,0)</f>
        <v>-6.7984728957526396E-14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212.70058550761718</v>
      </c>
      <c r="T102" s="59">
        <f t="shared" si="88"/>
        <v>208.28274083874896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63.882572578931061</v>
      </c>
      <c r="AA102" s="21">
        <f>EXP(-LN(2)/25)*AA101+(1-EXP(-LN(2)/25))/(LN(2)/25)*Calculateur!V102*Calculateur!X102*VLOOKUP('Données projet'!$B$9,Paramètres!$A$1:$I$89,3,0)*0.475*44/12</f>
        <v>29.063667808371395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92.946240387302453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1.9230769230769169</v>
      </c>
      <c r="AI102" s="13">
        <f>IF('Données projet'!$A$62&gt;35,AI101+AH102-AQ101,IF(A102&lt;'Données projet'!$A$62,$AF$205^A102,IF(A102='Données projet'!$A$62,'Données projet'!$B$62,AI101+AH102-AQ101)))</f>
        <v>141.02564102564091</v>
      </c>
      <c r="AJ102" s="13">
        <f>AI102*VLOOKUP('Données projet'!$B$10,Paramètres!$A$1:$I$89,3,0)*VLOOKUP('Données projet'!$B$10,Paramètres!$A$1:$I$89,5,0)</f>
        <v>123.19999999999992</v>
      </c>
      <c r="AK102" s="13">
        <f t="shared" si="89"/>
        <v>32.420199748143126</v>
      </c>
      <c r="AL102" s="20">
        <f t="shared" si="58"/>
        <v>271.03851456134913</v>
      </c>
      <c r="AM102" s="59">
        <f t="shared" si="59"/>
        <v>564.37184789468245</v>
      </c>
      <c r="AN102" s="59">
        <f ca="1">AVERAGE(OFFSET($AM$3,0,0,'Données projet'!$E$10+1,1))-AVERAGE(OFFSET($H$3,0,0,'Données projet'!$E$10+1,1))</f>
        <v>74.715815024475376</v>
      </c>
      <c r="AO102" s="59">
        <f t="shared" si="90"/>
        <v>87.801612218507501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15.388043845916672</v>
      </c>
      <c r="AV102" s="21">
        <f>EXP(-LN(2)/25)*AV101+(1-EXP(-LN(2)/25))/(LN(2)/25)*Calculateur!AQ102*Calculateur!AS102*VLOOKUP('Données projet'!$B$10,Paramètres!$A$1:$I$89,3,0)*0.475*44/12</f>
        <v>6.9818489098191039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22.369892755735776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-1.1368683772161603E-13</v>
      </c>
      <c r="O103" s="13">
        <f>N103*VLOOKUP('Données projet'!$B$9,Paramètres!$A$1:$I$89,3,0)*VLOOKUP('Données projet'!$B$9,Paramètres!$A$1:$I$89,5,0)</f>
        <v>-6.7984728957526396E-14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212.70058550761718</v>
      </c>
      <c r="T103" s="59">
        <f t="shared" si="88"/>
        <v>208.28274083874896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62.629874295180066</v>
      </c>
      <c r="AA103" s="21">
        <f>EXP(-LN(2)/25)*AA102+(1-EXP(-LN(2)/25))/(LN(2)/25)*Calculateur!V103*Calculateur!X103*VLOOKUP('Données projet'!$B$9,Paramètres!$A$1:$I$89,3,0)*0.475*44/12</f>
        <v>28.268920283759616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90.898794578939686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142.94871794871793</v>
      </c>
      <c r="AG103" s="12">
        <f>VLOOKUP(A103,'Données projet'!$A$61:$I$81,9,0)</f>
        <v>1.9230769230769169</v>
      </c>
      <c r="AH103" s="12">
        <f t="array" ref="AH103">INDEX(AG:AG,MIN(IF(ISNUMBER(AG103:AG299),ROW(AG103:AG299),"")))</f>
        <v>1.9230769230769169</v>
      </c>
      <c r="AI103" s="13">
        <f>IF('Données projet'!$A$62&gt;35,AI102+AH103-AQ102,IF(A103&lt;'Données projet'!$A$62,$AF$205^A103,IF(A103='Données projet'!$A$62,'Données projet'!$B$62,AI102+AH103-AQ102)))</f>
        <v>142.94871794871781</v>
      </c>
      <c r="AJ103" s="13">
        <f>AI103*VLOOKUP('Données projet'!$B$10,Paramètres!$A$1:$I$89,3,0)*VLOOKUP('Données projet'!$B$10,Paramètres!$A$1:$I$89,5,0)</f>
        <v>124.87999999999991</v>
      </c>
      <c r="AK103" s="13">
        <f t="shared" si="89"/>
        <v>32.81052522286641</v>
      </c>
      <c r="AL103" s="20">
        <f t="shared" si="58"/>
        <v>274.64433142982551</v>
      </c>
      <c r="AM103" s="59">
        <f t="shared" si="59"/>
        <v>567.97766476315883</v>
      </c>
      <c r="AN103" s="59">
        <f ca="1">AVERAGE(OFFSET($AM$3,0,0,'Données projet'!$E$10+1,1))-AVERAGE(OFFSET($H$3,0,0,'Données projet'!$E$10+1,1))</f>
        <v>74.715815024475376</v>
      </c>
      <c r="AO103" s="59">
        <f t="shared" si="90"/>
        <v>87.801612218507501</v>
      </c>
      <c r="AP103" s="15">
        <f>IF(ISNA(VLOOKUP(A103,'Données projet'!$A$61:$I$81,3,0)),0,VLOOKUP(A103,'Données projet'!$A$61:$I$81,3,0))</f>
        <v>19</v>
      </c>
      <c r="AQ103" s="15">
        <f>IF(ISNA(VLOOKUP(A103,'Données projet'!$A$61:$I$81,4,0)),0,VLOOKUP(A103,'Données projet'!$A$61:$I$81,4,0))</f>
        <v>7.0512820512820511</v>
      </c>
      <c r="AR103" s="16">
        <f>IF(ISNA(VLOOKUP(A103,'Données projet'!$A$61:$I$81,5,0)),0%,VLOOKUP(A103,'Données projet'!$A$61:$I$81,5,0)*VLOOKUP('Données projet'!$B$10,Paramètres!$A$1:$I$89,7,0))</f>
        <v>0.25800000000000001</v>
      </c>
      <c r="AS103" s="16">
        <f>IF(ISNA(VLOOKUP(A103,'Données projet'!$A$61:$I$81,6,0)),0%,VLOOKUP(A103,'Données projet'!$A$61:$I$81,6,0)*VLOOKUP('Données projet'!$B$10,Paramètres!$A$1:$I$89,7,0))</f>
        <v>0.129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16.843195656662353</v>
      </c>
      <c r="AV103" s="21">
        <f>EXP(-LN(2)/25)*AV102+(1-EXP(-LN(2)/25))/(LN(2)/25)*Calculateur!AQ103*Calculateur!AS103*VLOOKUP('Données projet'!$B$10,Paramètres!$A$1:$I$89,3,0)*0.475*44/12</f>
        <v>7.6659220703789437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24.509117727041296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-6.7984728957526396E-14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212.70058550761718</v>
      </c>
      <c r="T104" s="59">
        <f t="shared" si="88"/>
        <v>208.28274083874896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61.401740660702927</v>
      </c>
      <c r="AA104" s="21">
        <f>EXP(-LN(2)/25)*AA103+(1-EXP(-LN(2)/25))/(LN(2)/25)*Calculateur!V104*Calculateur!X104*VLOOKUP('Données projet'!$B$9,Paramètres!$A$1:$I$89,3,0)*0.475*44/12</f>
        <v>27.495905172002303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88.897645832705223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135.89743589743577</v>
      </c>
      <c r="AJ104" s="13">
        <f>AI104*VLOOKUP('Données projet'!$B$10,Paramètres!$A$1:$I$89,3,0)*VLOOKUP('Données projet'!$B$10,Paramètres!$A$1:$I$89,5,0)</f>
        <v>118.71999999999991</v>
      </c>
      <c r="AK104" s="13">
        <f t="shared" si="89"/>
        <v>31.376274241265865</v>
      </c>
      <c r="AL104" s="20">
        <f t="shared" si="58"/>
        <v>261.41767763687125</v>
      </c>
      <c r="AM104" s="59">
        <f t="shared" si="59"/>
        <v>554.75101097020456</v>
      </c>
      <c r="AN104" s="59">
        <f ca="1">AVERAGE(OFFSET($AM$3,0,0,'Données projet'!$E$10+1,1))-AVERAGE(OFFSET($H$3,0,0,'Données projet'!$E$10+1,1))</f>
        <v>74.715815024475376</v>
      </c>
      <c r="AO104" s="59">
        <f t="shared" si="90"/>
        <v>87.801612218507501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16.512910863170148</v>
      </c>
      <c r="AV104" s="21">
        <f>EXP(-LN(2)/25)*AV103+(1-EXP(-LN(2)/25))/(LN(2)/25)*Calculateur!AQ104*Calculateur!AS104*VLOOKUP('Données projet'!$B$10,Paramètres!$A$1:$I$89,3,0)*0.475*44/12</f>
        <v>7.4562970282311101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23.969207891401258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-6.7984728957526396E-14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212.70058550761718</v>
      </c>
      <c r="T105" s="59">
        <f t="shared" si="88"/>
        <v>208.28274083874896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60.197689977710333</v>
      </c>
      <c r="AA105" s="21">
        <f>EXP(-LN(2)/25)*AA104+(1-EXP(-LN(2)/25))/(LN(2)/25)*Calculateur!V105*Calculateur!X105*VLOOKUP('Données projet'!$B$9,Paramètres!$A$1:$I$89,3,0)*0.475*44/12</f>
        <v>26.74402819912709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86.941718176837426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135.89743589743577</v>
      </c>
      <c r="AJ105" s="13">
        <f>AI105*VLOOKUP('Données projet'!$B$10,Paramètres!$A$1:$I$89,3,0)*VLOOKUP('Données projet'!$B$10,Paramètres!$A$1:$I$89,5,0)</f>
        <v>118.71999999999991</v>
      </c>
      <c r="AK105" s="13">
        <f t="shared" si="89"/>
        <v>31.376274241265865</v>
      </c>
      <c r="AL105" s="20">
        <f t="shared" si="58"/>
        <v>261.41767763687125</v>
      </c>
      <c r="AM105" s="59">
        <f t="shared" si="59"/>
        <v>554.75101097020456</v>
      </c>
      <c r="AN105" s="59">
        <f ca="1">AVERAGE(OFFSET($AM$3,0,0,'Données projet'!$E$10+1,1))-AVERAGE(OFFSET($H$3,0,0,'Données projet'!$E$10+1,1))</f>
        <v>74.715815024475376</v>
      </c>
      <c r="AO105" s="59">
        <f t="shared" si="90"/>
        <v>87.801612218507501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16.189102753024493</v>
      </c>
      <c r="AV105" s="21">
        <f>EXP(-LN(2)/25)*AV104+(1-EXP(-LN(2)/25))/(LN(2)/25)*Calculateur!AQ105*Calculateur!AS105*VLOOKUP('Données projet'!$B$10,Paramètres!$A$1:$I$89,3,0)*0.475*44/12</f>
        <v>7.2524041938845114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23.441506946909005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-6.7984728957526396E-14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212.70058550761718</v>
      </c>
      <c r="T106" s="59">
        <f t="shared" si="88"/>
        <v>208.28274083874896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59.017249994212818</v>
      </c>
      <c r="AA106" s="21">
        <f>EXP(-LN(2)/25)*AA105+(1-EXP(-LN(2)/25))/(LN(2)/25)*Calculateur!V106*Calculateur!X106*VLOOKUP('Données projet'!$B$9,Paramètres!$A$1:$I$89,3,0)*0.475*44/12</f>
        <v>26.01271134161464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85.029961335827466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135.89743589743577</v>
      </c>
      <c r="AJ106" s="13">
        <f>AI106*VLOOKUP('Données projet'!$B$10,Paramètres!$A$1:$I$89,3,0)*VLOOKUP('Données projet'!$B$10,Paramètres!$A$1:$I$89,5,0)</f>
        <v>118.71999999999991</v>
      </c>
      <c r="AK106" s="13">
        <f t="shared" si="89"/>
        <v>31.376274241265865</v>
      </c>
      <c r="AL106" s="20">
        <f t="shared" si="58"/>
        <v>261.41767763687125</v>
      </c>
      <c r="AM106" s="59">
        <f t="shared" si="59"/>
        <v>554.75101097020456</v>
      </c>
      <c r="AN106" s="59">
        <f ca="1">AVERAGE(OFFSET($AM$3,0,0,'Données projet'!$E$10+1,1))-AVERAGE(OFFSET($H$3,0,0,'Données projet'!$E$10+1,1))</f>
        <v>74.715815024475376</v>
      </c>
      <c r="AO106" s="59">
        <f t="shared" si="90"/>
        <v>87.801612218507501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15.871644322415348</v>
      </c>
      <c r="AV106" s="21">
        <f>EXP(-LN(2)/25)*AV105+(1-EXP(-LN(2)/25))/(LN(2)/25)*Calculateur!AQ106*Calculateur!AS106*VLOOKUP('Données projet'!$B$10,Paramètres!$A$1:$I$89,3,0)*0.475*44/12</f>
        <v>7.0540868198153781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22.925731142230724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-6.7984728957526396E-14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212.70058550761718</v>
      </c>
      <c r="T107" s="59">
        <f t="shared" si="88"/>
        <v>208.28274083874896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57.859957718794398</v>
      </c>
      <c r="AA107" s="21">
        <f>EXP(-LN(2)/25)*AA106+(1-EXP(-LN(2)/25))/(LN(2)/25)*Calculateur!V107*Calculateur!X107*VLOOKUP('Données projet'!$B$9,Paramètres!$A$1:$I$89,3,0)*0.475*44/12</f>
        <v>25.30139238202915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83.16135010082354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135.89743589743577</v>
      </c>
      <c r="AJ107" s="13">
        <f>AI107*VLOOKUP('Données projet'!$B$10,Paramètres!$A$1:$I$89,3,0)*VLOOKUP('Données projet'!$B$10,Paramètres!$A$1:$I$89,5,0)</f>
        <v>118.71999999999991</v>
      </c>
      <c r="AK107" s="13">
        <f t="shared" si="89"/>
        <v>31.376274241265865</v>
      </c>
      <c r="AL107" s="20">
        <f t="shared" si="58"/>
        <v>261.41767763687125</v>
      </c>
      <c r="AM107" s="59">
        <f t="shared" si="59"/>
        <v>554.75101097020456</v>
      </c>
      <c r="AN107" s="59">
        <f ca="1">AVERAGE(OFFSET($AM$3,0,0,'Données projet'!$E$10+1,1))-AVERAGE(OFFSET($H$3,0,0,'Données projet'!$E$10+1,1))</f>
        <v>74.715815024475376</v>
      </c>
      <c r="AO107" s="59">
        <f t="shared" si="90"/>
        <v>87.801612218507501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15.560411057999925</v>
      </c>
      <c r="AV107" s="21">
        <f>EXP(-LN(2)/25)*AV106+(1-EXP(-LN(2)/25))/(LN(2)/25)*Calculateur!AQ107*Calculateur!AS107*VLOOKUP('Données projet'!$B$10,Paramètres!$A$1:$I$89,3,0)*0.475*44/12</f>
        <v>6.8611924447692232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22.421603502769148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-6.7984728957526396E-14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212.70058550761718</v>
      </c>
      <c r="T108" s="59">
        <f t="shared" si="88"/>
        <v>208.28274083874896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56.725359239018346</v>
      </c>
      <c r="AA108" s="21">
        <f>EXP(-LN(2)/25)*AA107+(1-EXP(-LN(2)/25))/(LN(2)/25)*Calculateur!V108*Calculateur!X108*VLOOKUP('Données projet'!$B$9,Paramètres!$A$1:$I$89,3,0)*0.475*44/12</f>
        <v>24.609524476800164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81.334883715818506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135.89743589743577</v>
      </c>
      <c r="AJ108" s="13">
        <f>AI108*VLOOKUP('Données projet'!$B$10,Paramètres!$A$1:$I$89,3,0)*VLOOKUP('Données projet'!$B$10,Paramètres!$A$1:$I$89,5,0)</f>
        <v>118.71999999999991</v>
      </c>
      <c r="AK108" s="13">
        <f t="shared" si="89"/>
        <v>31.376274241265865</v>
      </c>
      <c r="AL108" s="20">
        <f t="shared" si="58"/>
        <v>261.41767763687125</v>
      </c>
      <c r="AM108" s="59">
        <f t="shared" si="59"/>
        <v>554.75101097020456</v>
      </c>
      <c r="AN108" s="59">
        <f ca="1">AVERAGE(OFFSET($AM$3,0,0,'Données projet'!$E$10+1,1))-AVERAGE(OFFSET($H$3,0,0,'Données projet'!$E$10+1,1))</f>
        <v>74.715815024475376</v>
      </c>
      <c r="AO108" s="59">
        <f t="shared" si="90"/>
        <v>87.801612218507501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15.255280888066142</v>
      </c>
      <c r="AV108" s="21">
        <f>EXP(-LN(2)/25)*AV107+(1-EXP(-LN(2)/25))/(LN(2)/25)*Calculateur!AQ108*Calculateur!AS108*VLOOKUP('Données projet'!$B$10,Paramètres!$A$1:$I$89,3,0)*0.475*44/12</f>
        <v>6.6735727765525796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21.928853664618721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-6.7984728957526396E-14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212.70058550761718</v>
      </c>
      <c r="T109" s="59">
        <f t="shared" si="88"/>
        <v>208.28274083874896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55.613009543393957</v>
      </c>
      <c r="AA109" s="21">
        <f>EXP(-LN(2)/25)*AA108+(1-EXP(-LN(2)/25))/(LN(2)/25)*Calculateur!V109*Calculateur!X109*VLOOKUP('Données projet'!$B$9,Paramètres!$A$1:$I$89,3,0)*0.475*44/12</f>
        <v>23.936575735823418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79.549585279217382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135.89743589743577</v>
      </c>
      <c r="AJ109" s="13">
        <f>AI109*VLOOKUP('Données projet'!$B$10,Paramètres!$A$1:$I$89,3,0)*VLOOKUP('Données projet'!$B$10,Paramètres!$A$1:$I$89,5,0)</f>
        <v>118.71999999999991</v>
      </c>
      <c r="AK109" s="13">
        <f t="shared" si="89"/>
        <v>31.376274241265865</v>
      </c>
      <c r="AL109" s="20">
        <f t="shared" si="58"/>
        <v>261.41767763687125</v>
      </c>
      <c r="AM109" s="59">
        <f t="shared" si="59"/>
        <v>554.75101097020456</v>
      </c>
      <c r="AN109" s="59">
        <f ca="1">AVERAGE(OFFSET($AM$3,0,0,'Données projet'!$E$10+1,1))-AVERAGE(OFFSET($H$3,0,0,'Données projet'!$E$10+1,1))</f>
        <v>74.715815024475376</v>
      </c>
      <c r="AO109" s="59">
        <f t="shared" si="90"/>
        <v>87.801612218507501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14.956134134653734</v>
      </c>
      <c r="AV109" s="21">
        <f>EXP(-LN(2)/25)*AV108+(1-EXP(-LN(2)/25))/(LN(2)/25)*Calculateur!AQ109*Calculateur!AS109*VLOOKUP('Données projet'!$B$10,Paramètres!$A$1:$I$89,3,0)*0.475*44/12</f>
        <v>6.4910835780298095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21.447217712683543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-6.7984728957526396E-14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212.70058550761718</v>
      </c>
      <c r="T110" s="59">
        <f t="shared" si="88"/>
        <v>208.28274083874896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54.522472346834441</v>
      </c>
      <c r="AA110" s="21">
        <f>EXP(-LN(2)/25)*AA109+(1-EXP(-LN(2)/25))/(LN(2)/25)*Calculateur!V110*Calculateur!X110*VLOOKUP('Données projet'!$B$9,Paramètres!$A$1:$I$89,3,0)*0.475*44/12</f>
        <v>23.282028813557517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77.804501160391965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135.89743589743577</v>
      </c>
      <c r="AJ110" s="13">
        <f>AI110*VLOOKUP('Données projet'!$B$10,Paramètres!$A$1:$I$89,3,0)*VLOOKUP('Données projet'!$B$10,Paramètres!$A$1:$I$89,5,0)</f>
        <v>118.71999999999991</v>
      </c>
      <c r="AK110" s="13">
        <f t="shared" si="89"/>
        <v>31.376274241265865</v>
      </c>
      <c r="AL110" s="20">
        <f t="shared" si="58"/>
        <v>261.41767763687125</v>
      </c>
      <c r="AM110" s="59">
        <f t="shared" si="59"/>
        <v>554.75101097020456</v>
      </c>
      <c r="AN110" s="59">
        <f ca="1">AVERAGE(OFFSET($AM$3,0,0,'Données projet'!$E$10+1,1))-AVERAGE(OFFSET($H$3,0,0,'Données projet'!$E$10+1,1))</f>
        <v>74.715815024475376</v>
      </c>
      <c r="AO110" s="59">
        <f t="shared" si="90"/>
        <v>87.801612218507501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14.662853466614241</v>
      </c>
      <c r="AV110" s="21">
        <f>EXP(-LN(2)/25)*AV109+(1-EXP(-LN(2)/25))/(LN(2)/25)*Calculateur!AQ110*Calculateur!AS110*VLOOKUP('Données projet'!$B$10,Paramètres!$A$1:$I$89,3,0)*0.475*44/12</f>
        <v>6.3135845562373349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20.976438022851575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-6.7984728957526396E-14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212.70058550761718</v>
      </c>
      <c r="T111" s="59">
        <f t="shared" si="88"/>
        <v>208.28274083874896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53.453319919537449</v>
      </c>
      <c r="AA111" s="21">
        <f>EXP(-LN(2)/25)*AA110+(1-EXP(-LN(2)/25))/(LN(2)/25)*Calculateur!V111*Calculateur!X111*VLOOKUP('Données projet'!$B$9,Paramètres!$A$1:$I$89,3,0)*0.475*44/12</f>
        <v>22.645380511302104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76.098700430839557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135.89743589743577</v>
      </c>
      <c r="AJ111" s="13">
        <f>AI111*VLOOKUP('Données projet'!$B$10,Paramètres!$A$1:$I$89,3,0)*VLOOKUP('Données projet'!$B$10,Paramètres!$A$1:$I$89,5,0)</f>
        <v>118.71999999999991</v>
      </c>
      <c r="AK111" s="13">
        <f t="shared" si="89"/>
        <v>31.376274241265865</v>
      </c>
      <c r="AL111" s="20">
        <f t="shared" si="58"/>
        <v>261.41767763687125</v>
      </c>
      <c r="AM111" s="59">
        <f t="shared" si="59"/>
        <v>554.75101097020456</v>
      </c>
      <c r="AN111" s="59">
        <f ca="1">AVERAGE(OFFSET($AM$3,0,0,'Données projet'!$E$10+1,1))-AVERAGE(OFFSET($H$3,0,0,'Données projet'!$E$10+1,1))</f>
        <v>74.715815024475376</v>
      </c>
      <c r="AO111" s="59">
        <f t="shared" si="90"/>
        <v>87.801612218507501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14.375323853591457</v>
      </c>
      <c r="AV111" s="21">
        <f>EXP(-LN(2)/25)*AV110+(1-EXP(-LN(2)/25))/(LN(2)/25)*Calculateur!AQ111*Calculateur!AS111*VLOOKUP('Données projet'!$B$10,Paramètres!$A$1:$I$89,3,0)*0.475*44/12</f>
        <v>6.1409392545300427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20.5162631081215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-6.7984728957526396E-14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212.70058550761718</v>
      </c>
      <c r="T112" s="59">
        <f t="shared" si="88"/>
        <v>208.28274083874896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52.40513291922116</v>
      </c>
      <c r="AA112" s="21">
        <f>EXP(-LN(2)/25)*AA111+(1-EXP(-LN(2)/25))/(LN(2)/25)*Calculateur!V112*Calculateur!X112*VLOOKUP('Données projet'!$B$9,Paramètres!$A$1:$I$89,3,0)*0.475*44/12</f>
        <v>22.026141390351743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74.431274309572899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135.89743589743577</v>
      </c>
      <c r="AJ112" s="13">
        <f>AI112*VLOOKUP('Données projet'!$B$10,Paramètres!$A$1:$I$89,3,0)*VLOOKUP('Données projet'!$B$10,Paramètres!$A$1:$I$89,5,0)</f>
        <v>118.71999999999991</v>
      </c>
      <c r="AK112" s="13">
        <f t="shared" si="89"/>
        <v>31.376274241265865</v>
      </c>
      <c r="AL112" s="20">
        <f t="shared" si="58"/>
        <v>261.41767763687125</v>
      </c>
      <c r="AM112" s="59">
        <f t="shared" si="59"/>
        <v>554.75101097020456</v>
      </c>
      <c r="AN112" s="59">
        <f ca="1">AVERAGE(OFFSET($AM$3,0,0,'Données projet'!$E$10+1,1))-AVERAGE(OFFSET($H$3,0,0,'Données projet'!$E$10+1,1))</f>
        <v>74.715815024475376</v>
      </c>
      <c r="AO112" s="59">
        <f t="shared" si="90"/>
        <v>87.801612218507501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14.093432520904303</v>
      </c>
      <c r="AV112" s="21">
        <f>EXP(-LN(2)/25)*AV111+(1-EXP(-LN(2)/25))/(LN(2)/25)*Calculateur!AQ112*Calculateur!AS112*VLOOKUP('Données projet'!$B$10,Paramètres!$A$1:$I$89,3,0)*0.475*44/12</f>
        <v>5.9730149476769583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20.066447468581259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-6.7984728957526396E-14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212.70058550761718</v>
      </c>
      <c r="T113" s="59">
        <f t="shared" si="88"/>
        <v>208.28274083874896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51.377500226650135</v>
      </c>
      <c r="AA113" s="21">
        <f>EXP(-LN(2)/25)*AA112+(1-EXP(-LN(2)/25))/(LN(2)/25)*Calculateur!V113*Calculateur!X113*VLOOKUP('Données projet'!$B$9,Paramètres!$A$1:$I$89,3,0)*0.475*44/12</f>
        <v>21.42383539572814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72.801335622378275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135.89743589743577</v>
      </c>
      <c r="AJ113" s="13">
        <f>AI113*VLOOKUP('Données projet'!$B$10,Paramètres!$A$1:$I$89,3,0)*VLOOKUP('Données projet'!$B$10,Paramètres!$A$1:$I$89,5,0)</f>
        <v>118.71999999999991</v>
      </c>
      <c r="AK113" s="13">
        <f t="shared" si="89"/>
        <v>31.376274241265865</v>
      </c>
      <c r="AL113" s="20">
        <f t="shared" si="58"/>
        <v>261.41767763687125</v>
      </c>
      <c r="AM113" s="59">
        <f t="shared" si="59"/>
        <v>554.75101097020456</v>
      </c>
      <c r="AN113" s="59">
        <f ca="1">AVERAGE(OFFSET($AM$3,0,0,'Données projet'!$E$10+1,1))-AVERAGE(OFFSET($H$3,0,0,'Données projet'!$E$10+1,1))</f>
        <v>74.715815024475376</v>
      </c>
      <c r="AO113" s="59">
        <f t="shared" si="90"/>
        <v>87.801612218507501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13.817068905314409</v>
      </c>
      <c r="AV113" s="21">
        <f>EXP(-LN(2)/25)*AV112+(1-EXP(-LN(2)/25))/(LN(2)/25)*Calculateur!AQ113*Calculateur!AS113*VLOOKUP('Données projet'!$B$10,Paramètres!$A$1:$I$89,3,0)*0.475*44/12</f>
        <v>5.809682539825527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19.626751445139938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-6.7984728957526396E-14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212.70058550761718</v>
      </c>
      <c r="T114" s="59">
        <f t="shared" si="88"/>
        <v>208.28274083874896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50.370018784386374</v>
      </c>
      <c r="AA114" s="21">
        <f>EXP(-LN(2)/25)*AA113+(1-EXP(-LN(2)/25))/(LN(2)/25)*Calculateur!V114*Calculateur!X114*VLOOKUP('Données projet'!$B$9,Paramètres!$A$1:$I$89,3,0)*0.475*44/12</f>
        <v>20.837999490201415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71.208018274587786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135.89743589743577</v>
      </c>
      <c r="AJ114" s="13">
        <f>AI114*VLOOKUP('Données projet'!$B$10,Paramètres!$A$1:$I$89,3,0)*VLOOKUP('Données projet'!$B$10,Paramètres!$A$1:$I$89,5,0)</f>
        <v>118.71999999999991</v>
      </c>
      <c r="AK114" s="13">
        <f t="shared" si="89"/>
        <v>31.376274241265865</v>
      </c>
      <c r="AL114" s="20">
        <f t="shared" si="58"/>
        <v>261.41767763687125</v>
      </c>
      <c r="AM114" s="59">
        <f t="shared" si="59"/>
        <v>554.75101097020456</v>
      </c>
      <c r="AN114" s="59">
        <f ca="1">AVERAGE(OFFSET($AM$3,0,0,'Données projet'!$E$10+1,1))-AVERAGE(OFFSET($H$3,0,0,'Données projet'!$E$10+1,1))</f>
        <v>74.715815024475376</v>
      </c>
      <c r="AO114" s="59">
        <f t="shared" si="90"/>
        <v>87.801612218507501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13.546124611661071</v>
      </c>
      <c r="AV114" s="21">
        <f>EXP(-LN(2)/25)*AV113+(1-EXP(-LN(2)/25))/(LN(2)/25)*Calculateur!AQ114*Calculateur!AS114*VLOOKUP('Données projet'!$B$10,Paramètres!$A$1:$I$89,3,0)*0.475*44/12</f>
        <v>5.6508164652560717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19.196941076917142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-6.7984728957526396E-14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212.70058550761718</v>
      </c>
      <c r="T115" s="59">
        <f t="shared" si="88"/>
        <v>208.28274083874896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49.382293438702405</v>
      </c>
      <c r="AA115" s="21">
        <f>EXP(-LN(2)/25)*AA114+(1-EXP(-LN(2)/25))/(LN(2)/25)*Calculateur!V115*Calculateur!X115*VLOOKUP('Données projet'!$B$9,Paramètres!$A$1:$I$89,3,0)*0.475*44/12</f>
        <v>20.268183298319091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69.650476737021492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135.89743589743577</v>
      </c>
      <c r="AJ115" s="13">
        <f>AI115*VLOOKUP('Données projet'!$B$10,Paramètres!$A$1:$I$89,3,0)*VLOOKUP('Données projet'!$B$10,Paramètres!$A$1:$I$89,5,0)</f>
        <v>118.71999999999991</v>
      </c>
      <c r="AK115" s="13">
        <f t="shared" si="89"/>
        <v>31.376274241265865</v>
      </c>
      <c r="AL115" s="20">
        <f t="shared" si="58"/>
        <v>261.41767763687125</v>
      </c>
      <c r="AM115" s="59">
        <f t="shared" si="59"/>
        <v>554.75101097020456</v>
      </c>
      <c r="AN115" s="59">
        <f ca="1">AVERAGE(OFFSET($AM$3,0,0,'Données projet'!$E$10+1,1))-AVERAGE(OFFSET($H$3,0,0,'Données projet'!$E$10+1,1))</f>
        <v>74.715815024475376</v>
      </c>
      <c r="AO115" s="59">
        <f t="shared" si="90"/>
        <v>87.801612218507501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13.280493370346575</v>
      </c>
      <c r="AV115" s="21">
        <f>EXP(-LN(2)/25)*AV114+(1-EXP(-LN(2)/25))/(LN(2)/25)*Calculateur!AQ115*Calculateur!AS115*VLOOKUP('Données projet'!$B$10,Paramètres!$A$1:$I$89,3,0)*0.475*44/12</f>
        <v>5.4962945918501216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18.776787962196696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-6.7984728957526396E-14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212.70058550761718</v>
      </c>
      <c r="T116" s="59">
        <f t="shared" si="88"/>
        <v>208.28274083874896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48.41393678459432</v>
      </c>
      <c r="AA116" s="21">
        <f>EXP(-LN(2)/25)*AA115+(1-EXP(-LN(2)/25))/(LN(2)/25)*Calculateur!V116*Calculateur!X116*VLOOKUP('Données projet'!$B$9,Paramètres!$A$1:$I$89,3,0)*0.475*44/12</f>
        <v>19.713948760169121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68.127885544763444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135.89743589743577</v>
      </c>
      <c r="AJ116" s="13">
        <f>AI116*VLOOKUP('Données projet'!$B$10,Paramètres!$A$1:$I$89,3,0)*VLOOKUP('Données projet'!$B$10,Paramètres!$A$1:$I$89,5,0)</f>
        <v>118.71999999999991</v>
      </c>
      <c r="AK116" s="13">
        <f t="shared" si="89"/>
        <v>31.376274241265865</v>
      </c>
      <c r="AL116" s="20">
        <f t="shared" si="58"/>
        <v>261.41767763687125</v>
      </c>
      <c r="AM116" s="59">
        <f t="shared" si="59"/>
        <v>554.75101097020456</v>
      </c>
      <c r="AN116" s="59">
        <f ca="1">AVERAGE(OFFSET($AM$3,0,0,'Données projet'!$E$10+1,1))-AVERAGE(OFFSET($H$3,0,0,'Données projet'!$E$10+1,1))</f>
        <v>74.715815024475376</v>
      </c>
      <c r="AO116" s="59">
        <f t="shared" si="90"/>
        <v>87.801612218507501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13.020070995655196</v>
      </c>
      <c r="AV116" s="21">
        <f>EXP(-LN(2)/25)*AV115+(1-EXP(-LN(2)/25))/(LN(2)/25)*Calculateur!AQ116*Calculateur!AS116*VLOOKUP('Données projet'!$B$10,Paramètres!$A$1:$I$89,3,0)*0.475*44/12</f>
        <v>5.3459981271984089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18.366069122853606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-6.7984728957526396E-14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212.70058550761718</v>
      </c>
      <c r="T117" s="59">
        <f t="shared" si="88"/>
        <v>208.28274083874896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47.464569013834058</v>
      </c>
      <c r="AA117" s="21">
        <f>EXP(-LN(2)/25)*AA116+(1-EXP(-LN(2)/25))/(LN(2)/25)*Calculateur!V117*Calculateur!X117*VLOOKUP('Données projet'!$B$9,Paramètres!$A$1:$I$89,3,0)*0.475*44/12</f>
        <v>19.174869794610789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66.639438808444851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135.89743589743577</v>
      </c>
      <c r="AJ117" s="13">
        <f>AI117*VLOOKUP('Données projet'!$B$10,Paramètres!$A$1:$I$89,3,0)*VLOOKUP('Données projet'!$B$10,Paramètres!$A$1:$I$89,5,0)</f>
        <v>118.71999999999991</v>
      </c>
      <c r="AK117" s="13">
        <f t="shared" si="89"/>
        <v>31.376274241265865</v>
      </c>
      <c r="AL117" s="20">
        <f t="shared" si="58"/>
        <v>261.41767763687125</v>
      </c>
      <c r="AM117" s="59">
        <f t="shared" si="59"/>
        <v>554.75101097020456</v>
      </c>
      <c r="AN117" s="59">
        <f ca="1">AVERAGE(OFFSET($AM$3,0,0,'Données projet'!$E$10+1,1))-AVERAGE(OFFSET($H$3,0,0,'Données projet'!$E$10+1,1))</f>
        <v>74.715815024475376</v>
      </c>
      <c r="AO117" s="59">
        <f t="shared" si="90"/>
        <v>87.801612218507501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12.764755344889551</v>
      </c>
      <c r="AV117" s="21">
        <f>EXP(-LN(2)/25)*AV116+(1-EXP(-LN(2)/25))/(LN(2)/25)*Calculateur!AQ117*Calculateur!AS117*VLOOKUP('Données projet'!$B$10,Paramètres!$A$1:$I$89,3,0)*0.475*44/12</f>
        <v>5.1998115272763457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17.964566872165896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-6.7984728957526396E-14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212.70058550761718</v>
      </c>
      <c r="T118" s="59">
        <f t="shared" si="88"/>
        <v>208.28274083874896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46.533817766001242</v>
      </c>
      <c r="AA118" s="21">
        <f>EXP(-LN(2)/25)*AA117+(1-EXP(-LN(2)/25))/(LN(2)/25)*Calculateur!V118*Calculateur!X118*VLOOKUP('Données projet'!$B$9,Paramètres!$A$1:$I$89,3,0)*0.475*44/12</f>
        <v>18.650531971714578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65.18434973771582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135.89743589743577</v>
      </c>
      <c r="AJ118" s="13">
        <f>AI118*VLOOKUP('Données projet'!$B$10,Paramètres!$A$1:$I$89,3,0)*VLOOKUP('Données projet'!$B$10,Paramètres!$A$1:$I$89,5,0)</f>
        <v>118.71999999999991</v>
      </c>
      <c r="AK118" s="13">
        <f t="shared" si="89"/>
        <v>31.376274241265865</v>
      </c>
      <c r="AL118" s="20">
        <f t="shared" si="58"/>
        <v>261.41767763687125</v>
      </c>
      <c r="AM118" s="59">
        <f t="shared" si="59"/>
        <v>554.75101097020456</v>
      </c>
      <c r="AN118" s="59">
        <f ca="1">AVERAGE(OFFSET($AM$3,0,0,'Données projet'!$E$10+1,1))-AVERAGE(OFFSET($H$3,0,0,'Données projet'!$E$10+1,1))</f>
        <v>74.715815024475376</v>
      </c>
      <c r="AO118" s="59">
        <f t="shared" si="90"/>
        <v>87.801612218507501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12.514446278308251</v>
      </c>
      <c r="AV118" s="21">
        <f>EXP(-LN(2)/25)*AV117+(1-EXP(-LN(2)/25))/(LN(2)/25)*Calculateur!AQ118*Calculateur!AS118*VLOOKUP('Données projet'!$B$10,Paramètres!$A$1:$I$89,3,0)*0.475*44/12</f>
        <v>5.05762240761677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17.572068685925021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-6.7984728957526396E-14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212.70058550761718</v>
      </c>
      <c r="T119" s="59">
        <f t="shared" si="88"/>
        <v>208.28274083874896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45.621317982436224</v>
      </c>
      <c r="AA119" s="21">
        <f>EXP(-LN(2)/25)*AA118+(1-EXP(-LN(2)/25))/(LN(2)/25)*Calculateur!V119*Calculateur!X119*VLOOKUP('Données projet'!$B$9,Paramètres!$A$1:$I$89,3,0)*0.475*44/12</f>
        <v>18.140532194159192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63.761850176595416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135.89743589743577</v>
      </c>
      <c r="AJ119" s="13">
        <f>AI119*VLOOKUP('Données projet'!$B$10,Paramètres!$A$1:$I$89,3,0)*VLOOKUP('Données projet'!$B$10,Paramètres!$A$1:$I$89,5,0)</f>
        <v>118.71999999999991</v>
      </c>
      <c r="AK119" s="13">
        <f t="shared" si="89"/>
        <v>31.376274241265865</v>
      </c>
      <c r="AL119" s="20">
        <f t="shared" si="58"/>
        <v>261.41767763687125</v>
      </c>
      <c r="AM119" s="59">
        <f t="shared" si="59"/>
        <v>554.75101097020456</v>
      </c>
      <c r="AN119" s="59">
        <f ca="1">AVERAGE(OFFSET($AM$3,0,0,'Données projet'!$E$10+1,1))-AVERAGE(OFFSET($H$3,0,0,'Données projet'!$E$10+1,1))</f>
        <v>74.715815024475376</v>
      </c>
      <c r="AO119" s="59">
        <f t="shared" si="90"/>
        <v>87.801612218507501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12.269045619849154</v>
      </c>
      <c r="AV119" s="21">
        <f>EXP(-LN(2)/25)*AV118+(1-EXP(-LN(2)/25))/(LN(2)/25)*Calculateur!AQ119*Calculateur!AS119*VLOOKUP('Données projet'!$B$10,Paramètres!$A$1:$I$89,3,0)*0.475*44/12</f>
        <v>4.9193214569116863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17.188367076760841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-6.7984728957526396E-14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212.70058550761718</v>
      </c>
      <c r="T120" s="59">
        <f t="shared" si="88"/>
        <v>208.28274083874896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44.726711763057004</v>
      </c>
      <c r="AA120" s="21">
        <f>EXP(-LN(2)/25)*AA119+(1-EXP(-LN(2)/25))/(LN(2)/25)*Calculateur!V120*Calculateur!X120*VLOOKUP('Données projet'!$B$9,Paramètres!$A$1:$I$89,3,0)*0.475*44/12</f>
        <v>17.644478387340783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62.371190150397787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135.89743589743577</v>
      </c>
      <c r="AJ120" s="13">
        <f>AI120*VLOOKUP('Données projet'!$B$10,Paramètres!$A$1:$I$89,3,0)*VLOOKUP('Données projet'!$B$10,Paramètres!$A$1:$I$89,5,0)</f>
        <v>118.71999999999991</v>
      </c>
      <c r="AK120" s="13">
        <f t="shared" si="89"/>
        <v>31.376274241265865</v>
      </c>
      <c r="AL120" s="20">
        <f t="shared" si="58"/>
        <v>261.41767763687125</v>
      </c>
      <c r="AM120" s="59">
        <f t="shared" si="59"/>
        <v>554.75101097020456</v>
      </c>
      <c r="AN120" s="59">
        <f ca="1">AVERAGE(OFFSET($AM$3,0,0,'Données projet'!$E$10+1,1))-AVERAGE(OFFSET($H$3,0,0,'Données projet'!$E$10+1,1))</f>
        <v>74.715815024475376</v>
      </c>
      <c r="AO120" s="59">
        <f t="shared" si="90"/>
        <v>87.801612218507501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12.028457118622818</v>
      </c>
      <c r="AV120" s="21">
        <f>EXP(-LN(2)/25)*AV119+(1-EXP(-LN(2)/25))/(LN(2)/25)*Calculateur!AQ120*Calculateur!AS120*VLOOKUP('Données projet'!$B$10,Paramètres!$A$1:$I$89,3,0)*0.475*44/12</f>
        <v>4.7848023529765644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16.81325947159938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-6.7984728957526396E-14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212.70058550761718</v>
      </c>
      <c r="T121" s="59">
        <f t="shared" si="88"/>
        <v>208.28274083874896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43.849648225983898</v>
      </c>
      <c r="AA121" s="21">
        <f>EXP(-LN(2)/25)*AA120+(1-EXP(-LN(2)/25))/(LN(2)/25)*Calculateur!V121*Calculateur!X121*VLOOKUP('Données projet'!$B$9,Paramètres!$A$1:$I$89,3,0)*0.475*44/12</f>
        <v>17.161989197956157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61.011637423940059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135.89743589743577</v>
      </c>
      <c r="AJ121" s="13">
        <f>AI121*VLOOKUP('Données projet'!$B$10,Paramètres!$A$1:$I$89,3,0)*VLOOKUP('Données projet'!$B$10,Paramètres!$A$1:$I$89,5,0)</f>
        <v>118.71999999999991</v>
      </c>
      <c r="AK121" s="13">
        <f t="shared" si="89"/>
        <v>31.376274241265865</v>
      </c>
      <c r="AL121" s="20">
        <f t="shared" si="58"/>
        <v>261.41767763687125</v>
      </c>
      <c r="AM121" s="59">
        <f t="shared" si="59"/>
        <v>554.75101097020456</v>
      </c>
      <c r="AN121" s="59">
        <f ca="1">AVERAGE(OFFSET($AM$3,0,0,'Données projet'!$E$10+1,1))-AVERAGE(OFFSET($H$3,0,0,'Données projet'!$E$10+1,1))</f>
        <v>74.715815024475376</v>
      </c>
      <c r="AO121" s="59">
        <f t="shared" si="90"/>
        <v>87.801612218507501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11.792586411161034</v>
      </c>
      <c r="AV121" s="21">
        <f>EXP(-LN(2)/25)*AV120+(1-EXP(-LN(2)/25))/(LN(2)/25)*Calculateur!AQ121*Calculateur!AS121*VLOOKUP('Données projet'!$B$10,Paramètres!$A$1:$I$89,3,0)*0.475*44/12</f>
        <v>4.6539616810126008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16.446548092173636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-6.7984728957526396E-14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212.70058550761718</v>
      </c>
      <c r="T122" s="59">
        <f t="shared" si="88"/>
        <v>208.28274083874896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42.989783369916857</v>
      </c>
      <c r="AA122" s="21">
        <f>EXP(-LN(2)/25)*AA121+(1-EXP(-LN(2)/25))/(LN(2)/25)*Calculateur!V122*Calculateur!X122*VLOOKUP('Données projet'!$B$9,Paramètres!$A$1:$I$89,3,0)*0.475*44/12</f>
        <v>16.692693700828258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59.682477070745115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135.89743589743577</v>
      </c>
      <c r="AJ122" s="13">
        <f>AI122*VLOOKUP('Données projet'!$B$10,Paramètres!$A$1:$I$89,3,0)*VLOOKUP('Données projet'!$B$10,Paramètres!$A$1:$I$89,5,0)</f>
        <v>118.71999999999991</v>
      </c>
      <c r="AK122" s="13">
        <f t="shared" si="89"/>
        <v>31.376274241265865</v>
      </c>
      <c r="AL122" s="20">
        <f t="shared" si="58"/>
        <v>261.41767763687125</v>
      </c>
      <c r="AM122" s="59">
        <f t="shared" si="59"/>
        <v>554.75101097020456</v>
      </c>
      <c r="AN122" s="59">
        <f ca="1">AVERAGE(OFFSET($AM$3,0,0,'Données projet'!$E$10+1,1))-AVERAGE(OFFSET($H$3,0,0,'Données projet'!$E$10+1,1))</f>
        <v>74.715815024475376</v>
      </c>
      <c r="AO122" s="59">
        <f t="shared" si="90"/>
        <v>87.801612218507501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11.56134098440565</v>
      </c>
      <c r="AV122" s="21">
        <f>EXP(-LN(2)/25)*AV121+(1-EXP(-LN(2)/25))/(LN(2)/25)*Calculateur!AQ122*Calculateur!AS122*VLOOKUP('Données projet'!$B$10,Paramètres!$A$1:$I$89,3,0)*0.475*44/12</f>
        <v>4.5266988541041036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16.088039838509754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-6.7984728957526396E-14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212.70058550761718</v>
      </c>
      <c r="T123" s="59">
        <f t="shared" si="88"/>
        <v>208.28274083874896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42.14677993921152</v>
      </c>
      <c r="AA123" s="21">
        <f>EXP(-LN(2)/25)*AA122+(1-EXP(-LN(2)/25))/(LN(2)/25)*Calculateur!V123*Calculateur!X123*VLOOKUP('Données projet'!$B$9,Paramètres!$A$1:$I$89,3,0)*0.475*44/12</f>
        <v>16.236231113748499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58.383011052960015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135.89743589743577</v>
      </c>
      <c r="AJ123" s="13">
        <f>AI123*VLOOKUP('Données projet'!$B$10,Paramètres!$A$1:$I$89,3,0)*VLOOKUP('Données projet'!$B$10,Paramètres!$A$1:$I$89,5,0)</f>
        <v>118.71999999999991</v>
      </c>
      <c r="AK123" s="13">
        <f t="shared" si="89"/>
        <v>31.376274241265865</v>
      </c>
      <c r="AL123" s="20">
        <f t="shared" si="58"/>
        <v>261.41767763687125</v>
      </c>
      <c r="AM123" s="59">
        <f t="shared" si="59"/>
        <v>554.75101097020456</v>
      </c>
      <c r="AN123" s="59">
        <f ca="1">AVERAGE(OFFSET($AM$3,0,0,'Données projet'!$E$10+1,1))-AVERAGE(OFFSET($H$3,0,0,'Données projet'!$E$10+1,1))</f>
        <v>74.715815024475376</v>
      </c>
      <c r="AO123" s="59">
        <f t="shared" si="90"/>
        <v>87.801612218507501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11.334630139423156</v>
      </c>
      <c r="AV123" s="21">
        <f>EXP(-LN(2)/25)*AV122+(1-EXP(-LN(2)/25))/(LN(2)/25)*Calculateur!AQ123*Calculateur!AS123*VLOOKUP('Données projet'!$B$10,Paramètres!$A$1:$I$89,3,0)*0.475*44/12</f>
        <v>4.4029160358898798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15.737546175313035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-6.7984728957526396E-14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212.70058550761718</v>
      </c>
      <c r="T124" s="59">
        <f t="shared" si="88"/>
        <v>208.28274083874896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41.32030729160099</v>
      </c>
      <c r="AA124" s="21">
        <f>EXP(-LN(2)/25)*AA123+(1-EXP(-LN(2)/25))/(LN(2)/25)*Calculateur!V124*Calculateur!X124*VLOOKUP('Données projet'!$B$9,Paramètres!$A$1:$I$89,3,0)*0.475*44/12</f>
        <v>15.79225052011676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57.11255781171775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135.89743589743577</v>
      </c>
      <c r="AJ124" s="13">
        <f>AI124*VLOOKUP('Données projet'!$B$10,Paramètres!$A$1:$I$89,3,0)*VLOOKUP('Données projet'!$B$10,Paramètres!$A$1:$I$89,5,0)</f>
        <v>118.71999999999991</v>
      </c>
      <c r="AK124" s="13">
        <f t="shared" si="89"/>
        <v>31.376274241265865</v>
      </c>
      <c r="AL124" s="20">
        <f t="shared" si="58"/>
        <v>261.41767763687125</v>
      </c>
      <c r="AM124" s="59">
        <f t="shared" si="59"/>
        <v>554.75101097020456</v>
      </c>
      <c r="AN124" s="59">
        <f ca="1">AVERAGE(OFFSET($AM$3,0,0,'Données projet'!$E$10+1,1))-AVERAGE(OFFSET($H$3,0,0,'Données projet'!$E$10+1,1))</f>
        <v>74.715815024475376</v>
      </c>
      <c r="AO124" s="59">
        <f t="shared" si="90"/>
        <v>87.801612218507501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11.112364955830808</v>
      </c>
      <c r="AV124" s="21">
        <f>EXP(-LN(2)/25)*AV123+(1-EXP(-LN(2)/25))/(LN(2)/25)*Calculateur!AQ124*Calculateur!AS124*VLOOKUP('Données projet'!$B$10,Paramètres!$A$1:$I$89,3,0)*0.475*44/12</f>
        <v>4.2825180653491799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15.394883021179988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-6.7984728957526396E-14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212.70058550761718</v>
      </c>
      <c r="T125" s="59">
        <f t="shared" si="88"/>
        <v>208.28274083874896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40.510041268511564</v>
      </c>
      <c r="AA125" s="21">
        <f>EXP(-LN(2)/25)*AA124+(1-EXP(-LN(2)/25))/(LN(2)/25)*Calculateur!V125*Calculateur!X125*VLOOKUP('Données projet'!$B$9,Paramètres!$A$1:$I$89,3,0)*0.475*44/12</f>
        <v>15.360410599165805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55.870451867677367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135.89743589743577</v>
      </c>
      <c r="AJ125" s="13">
        <f>AI125*VLOOKUP('Données projet'!$B$10,Paramètres!$A$1:$I$89,3,0)*VLOOKUP('Données projet'!$B$10,Paramètres!$A$1:$I$89,5,0)</f>
        <v>118.71999999999991</v>
      </c>
      <c r="AK125" s="13">
        <f t="shared" si="89"/>
        <v>31.376274241265865</v>
      </c>
      <c r="AL125" s="20">
        <f t="shared" si="58"/>
        <v>261.41767763687125</v>
      </c>
      <c r="AM125" s="59">
        <f t="shared" si="59"/>
        <v>554.75101097020456</v>
      </c>
      <c r="AN125" s="59">
        <f ca="1">AVERAGE(OFFSET($AM$3,0,0,'Données projet'!$E$10+1,1))-AVERAGE(OFFSET($H$3,0,0,'Données projet'!$E$10+1,1))</f>
        <v>74.715815024475376</v>
      </c>
      <c r="AO125" s="59">
        <f t="shared" si="90"/>
        <v>87.801612218507501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10.894458256920329</v>
      </c>
      <c r="AV125" s="21">
        <f>EXP(-LN(2)/25)*AV124+(1-EXP(-LN(2)/25))/(LN(2)/25)*Calculateur!AQ125*Calculateur!AS125*VLOOKUP('Données projet'!$B$10,Paramètres!$A$1:$I$89,3,0)*0.475*44/12</f>
        <v>4.1654123836443695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15.059870640564698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-6.7984728957526396E-14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212.70058550761718</v>
      </c>
      <c r="T126" s="59">
        <f t="shared" si="88"/>
        <v>208.28274083874896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39.715664067921445</v>
      </c>
      <c r="AA126" s="21">
        <f>EXP(-LN(2)/25)*AA125+(1-EXP(-LN(2)/25))/(LN(2)/25)*Calculateur!V126*Calculateur!X126*VLOOKUP('Données projet'!$B$9,Paramètres!$A$1:$I$89,3,0)*0.475*44/12</f>
        <v>14.940379363562728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54.656043431484171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135.89743589743577</v>
      </c>
      <c r="AJ126" s="13">
        <f>AI126*VLOOKUP('Données projet'!$B$10,Paramètres!$A$1:$I$89,3,0)*VLOOKUP('Données projet'!$B$10,Paramètres!$A$1:$I$89,5,0)</f>
        <v>118.71999999999991</v>
      </c>
      <c r="AK126" s="13">
        <f t="shared" si="89"/>
        <v>31.376274241265865</v>
      </c>
      <c r="AL126" s="20">
        <f t="shared" si="58"/>
        <v>261.41767763687125</v>
      </c>
      <c r="AM126" s="59">
        <f t="shared" si="59"/>
        <v>554.75101097020456</v>
      </c>
      <c r="AN126" s="59">
        <f ca="1">AVERAGE(OFFSET($AM$3,0,0,'Données projet'!$E$10+1,1))-AVERAGE(OFFSET($H$3,0,0,'Données projet'!$E$10+1,1))</f>
        <v>74.715815024475376</v>
      </c>
      <c r="AO126" s="59">
        <f t="shared" si="90"/>
        <v>87.801612218507501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10.680824575465522</v>
      </c>
      <c r="AV126" s="21">
        <f>EXP(-LN(2)/25)*AV125+(1-EXP(-LN(2)/25))/(LN(2)/25)*Calculateur!AQ126*Calculateur!AS126*VLOOKUP('Données projet'!$B$10,Paramètres!$A$1:$I$89,3,0)*0.475*44/12</f>
        <v>4.051508962964097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14.732333538429618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-6.7984728957526396E-14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212.70058550761718</v>
      </c>
      <c r="T127" s="59">
        <f t="shared" si="88"/>
        <v>208.28274083874896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38.936864119712652</v>
      </c>
      <c r="AA127" s="21">
        <f>EXP(-LN(2)/25)*AA126+(1-EXP(-LN(2)/25))/(LN(2)/25)*Calculateur!V127*Calculateur!X127*VLOOKUP('Données projet'!$B$9,Paramètres!$A$1:$I$89,3,0)*0.475*44/12</f>
        <v>14.531833904185701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53.468698023898355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135.89743589743577</v>
      </c>
      <c r="AJ127" s="13">
        <f>AI127*VLOOKUP('Données projet'!$B$10,Paramètres!$A$1:$I$89,3,0)*VLOOKUP('Données projet'!$B$10,Paramètres!$A$1:$I$89,5,0)</f>
        <v>118.71999999999991</v>
      </c>
      <c r="AK127" s="13">
        <f t="shared" si="89"/>
        <v>31.376274241265865</v>
      </c>
      <c r="AL127" s="20">
        <f t="shared" si="58"/>
        <v>261.41767763687125</v>
      </c>
      <c r="AM127" s="59">
        <f t="shared" si="59"/>
        <v>554.75101097020456</v>
      </c>
      <c r="AN127" s="59">
        <f ca="1">AVERAGE(OFFSET($AM$3,0,0,'Données projet'!$E$10+1,1))-AVERAGE(OFFSET($H$3,0,0,'Données projet'!$E$10+1,1))</f>
        <v>74.715815024475376</v>
      </c>
      <c r="AO127" s="59">
        <f t="shared" si="90"/>
        <v>87.801612218507501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10.471380120200365</v>
      </c>
      <c r="AV127" s="21">
        <f>EXP(-LN(2)/25)*AV126+(1-EXP(-LN(2)/25))/(LN(2)/25)*Calculateur!AQ127*Calculateur!AS127*VLOOKUP('Données projet'!$B$10,Paramètres!$A$1:$I$89,3,0)*0.475*44/12</f>
        <v>3.9407202373122474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14.412100357512612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-6.7984728957526396E-14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212.70058550761718</v>
      </c>
      <c r="T128" s="59">
        <f t="shared" si="88"/>
        <v>208.28274083874896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38.173335963467167</v>
      </c>
      <c r="AA128" s="21">
        <f>EXP(-LN(2)/25)*AA127+(1-EXP(-LN(2)/25))/(LN(2)/25)*Calculateur!V128*Calculateur!X128*VLOOKUP('Données projet'!$B$9,Paramètres!$A$1:$I$89,3,0)*0.475*44/12</f>
        <v>14.134460141879812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52.307796105346981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135.89743589743577</v>
      </c>
      <c r="AJ128" s="13">
        <f>AI128*VLOOKUP('Données projet'!$B$10,Paramètres!$A$1:$I$89,3,0)*VLOOKUP('Données projet'!$B$10,Paramètres!$A$1:$I$89,5,0)</f>
        <v>118.71999999999991</v>
      </c>
      <c r="AK128" s="13">
        <f t="shared" si="89"/>
        <v>31.376274241265865</v>
      </c>
      <c r="AL128" s="20">
        <f t="shared" si="58"/>
        <v>261.41767763687125</v>
      </c>
      <c r="AM128" s="59">
        <f t="shared" si="59"/>
        <v>554.75101097020456</v>
      </c>
      <c r="AN128" s="59">
        <f ca="1">AVERAGE(OFFSET($AM$3,0,0,'Données projet'!$E$10+1,1))-AVERAGE(OFFSET($H$3,0,0,'Données projet'!$E$10+1,1))</f>
        <v>74.715815024475376</v>
      </c>
      <c r="AO128" s="59">
        <f t="shared" si="90"/>
        <v>87.801612218507501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10.266042742954454</v>
      </c>
      <c r="AV128" s="21">
        <f>EXP(-LN(2)/25)*AV127+(1-EXP(-LN(2)/25))/(LN(2)/25)*Calculateur!AQ128*Calculateur!AS128*VLOOKUP('Données projet'!$B$10,Paramètres!$A$1:$I$89,3,0)*0.475*44/12</f>
        <v>3.8329610351894732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14.099003778143928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-6.7984728957526396E-14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212.70058550761718</v>
      </c>
      <c r="T129" s="59">
        <f t="shared" si="88"/>
        <v>208.28274083874896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37.424780128659464</v>
      </c>
      <c r="AA129" s="21">
        <f>EXP(-LN(2)/25)*AA128+(1-EXP(-LN(2)/25))/(LN(2)/25)*Calculateur!V129*Calculateur!X129*VLOOKUP('Données projet'!$B$9,Paramètres!$A$1:$I$89,3,0)*0.475*44/12</f>
        <v>13.747952586001155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51.172732714660619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135.89743589743577</v>
      </c>
      <c r="AJ129" s="13">
        <f>AI129*VLOOKUP('Données projet'!$B$10,Paramètres!$A$1:$I$89,3,0)*VLOOKUP('Données projet'!$B$10,Paramètres!$A$1:$I$89,5,0)</f>
        <v>118.71999999999991</v>
      </c>
      <c r="AK129" s="13">
        <f t="shared" si="89"/>
        <v>31.376274241265865</v>
      </c>
      <c r="AL129" s="20">
        <f t="shared" si="58"/>
        <v>261.41767763687125</v>
      </c>
      <c r="AM129" s="59">
        <f t="shared" si="59"/>
        <v>554.75101097020456</v>
      </c>
      <c r="AN129" s="59">
        <f ca="1">AVERAGE(OFFSET($AM$3,0,0,'Données projet'!$E$10+1,1))-AVERAGE(OFFSET($H$3,0,0,'Données projet'!$E$10+1,1))</f>
        <v>74.715815024475376</v>
      </c>
      <c r="AO129" s="59">
        <f t="shared" si="90"/>
        <v>87.801612218507501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10.064731906432902</v>
      </c>
      <c r="AV129" s="21">
        <f>EXP(-LN(2)/25)*AV128+(1-EXP(-LN(2)/25))/(LN(2)/25)*Calculateur!AQ129*Calculateur!AS129*VLOOKUP('Données projet'!$B$10,Paramètres!$A$1:$I$89,3,0)*0.475*44/12</f>
        <v>3.7281485141155564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13.792880420548459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-6.7984728957526396E-14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212.70058550761718</v>
      </c>
      <c r="T130" s="59">
        <f t="shared" si="88"/>
        <v>208.28274083874896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36.690903017198366</v>
      </c>
      <c r="AA130" s="21">
        <f>EXP(-LN(2)/25)*AA129+(1-EXP(-LN(2)/25))/(LN(2)/25)*Calculateur!V130*Calculateur!X130*VLOOKUP('Données projet'!$B$9,Paramètres!$A$1:$I$89,3,0)*0.475*44/12</f>
        <v>13.372014099563549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50.062917116761916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135.89743589743577</v>
      </c>
      <c r="AJ130" s="13">
        <f>AI130*VLOOKUP('Données projet'!$B$10,Paramètres!$A$1:$I$89,3,0)*VLOOKUP('Données projet'!$B$10,Paramètres!$A$1:$I$89,5,0)</f>
        <v>118.71999999999991</v>
      </c>
      <c r="AK130" s="13">
        <f t="shared" si="89"/>
        <v>31.376274241265865</v>
      </c>
      <c r="AL130" s="20">
        <f t="shared" si="58"/>
        <v>261.41767763687125</v>
      </c>
      <c r="AM130" s="59">
        <f t="shared" si="59"/>
        <v>554.75101097020456</v>
      </c>
      <c r="AN130" s="59">
        <f ca="1">AVERAGE(OFFSET($AM$3,0,0,'Données projet'!$E$10+1,1))-AVERAGE(OFFSET($H$3,0,0,'Données projet'!$E$10+1,1))</f>
        <v>74.715815024475376</v>
      </c>
      <c r="AO130" s="59">
        <f t="shared" si="90"/>
        <v>87.801612218507501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9.867368652628052</v>
      </c>
      <c r="AV130" s="21">
        <f>EXP(-LN(2)/25)*AV129+(1-EXP(-LN(2)/25))/(LN(2)/25)*Calculateur!AQ130*Calculateur!AS130*VLOOKUP('Données projet'!$B$10,Paramètres!$A$1:$I$89,3,0)*0.475*44/12</f>
        <v>3.626202096942257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13.49357074957031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-6.7984728957526396E-14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212.70058550761718</v>
      </c>
      <c r="T131" s="59">
        <f t="shared" si="88"/>
        <v>208.28274083874896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35.97141678827218</v>
      </c>
      <c r="AA131" s="21">
        <f>EXP(-LN(2)/25)*AA130+(1-EXP(-LN(2)/25))/(LN(2)/25)*Calculateur!V131*Calculateur!X131*VLOOKUP('Données projet'!$B$9,Paramètres!$A$1:$I$89,3,0)*0.475*44/12</f>
        <v>13.006355670807324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48.977772459079503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135.89743589743577</v>
      </c>
      <c r="AJ131" s="13">
        <f>AI131*VLOOKUP('Données projet'!$B$10,Paramètres!$A$1:$I$89,3,0)*VLOOKUP('Données projet'!$B$10,Paramètres!$A$1:$I$89,5,0)</f>
        <v>118.71999999999991</v>
      </c>
      <c r="AK131" s="13">
        <f t="shared" si="89"/>
        <v>31.376274241265865</v>
      </c>
      <c r="AL131" s="20">
        <f t="shared" si="58"/>
        <v>261.41767763687125</v>
      </c>
      <c r="AM131" s="59">
        <f t="shared" si="59"/>
        <v>554.75101097020456</v>
      </c>
      <c r="AN131" s="59">
        <f ca="1">AVERAGE(OFFSET($AM$3,0,0,'Données projet'!$E$10+1,1))-AVERAGE(OFFSET($H$3,0,0,'Données projet'!$E$10+1,1))</f>
        <v>74.715815024475376</v>
      </c>
      <c r="AO131" s="59">
        <f t="shared" si="90"/>
        <v>87.801612218507501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9.6738755718506155</v>
      </c>
      <c r="AV131" s="21">
        <f>EXP(-LN(2)/25)*AV130+(1-EXP(-LN(2)/25))/(LN(2)/25)*Calculateur!AQ131*Calculateur!AS131*VLOOKUP('Données projet'!$B$10,Paramètres!$A$1:$I$89,3,0)*0.475*44/12</f>
        <v>3.5270434099076904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13.200918981758306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-6.7984728957526396E-14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212.70058550761718</v>
      </c>
      <c r="T132" s="59">
        <f t="shared" si="88"/>
        <v>208.28274083874896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35.266039245451971</v>
      </c>
      <c r="AA132" s="21">
        <f>EXP(-LN(2)/25)*AA131+(1-EXP(-LN(2)/25))/(LN(2)/25)*Calculateur!V132*Calculateur!X132*VLOOKUP('Données projet'!$B$9,Paramètres!$A$1:$I$89,3,0)*0.475*44/12</f>
        <v>12.650696191014578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47.916735436466553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135.89743589743577</v>
      </c>
      <c r="AJ132" s="13">
        <f>AI132*VLOOKUP('Données projet'!$B$10,Paramètres!$A$1:$I$89,3,0)*VLOOKUP('Données projet'!$B$10,Paramètres!$A$1:$I$89,5,0)</f>
        <v>118.71999999999991</v>
      </c>
      <c r="AK132" s="13">
        <f t="shared" si="89"/>
        <v>31.376274241265865</v>
      </c>
      <c r="AL132" s="20">
        <f t="shared" ref="AL132:AL153" si="112">(AJ132+AK132)*0.475*44/12</f>
        <v>261.41767763687125</v>
      </c>
      <c r="AM132" s="59">
        <f t="shared" ref="AM132:AM195" si="113">AL132+(AD132+AE132)*44/12</f>
        <v>554.75101097020456</v>
      </c>
      <c r="AN132" s="59">
        <f ca="1">AVERAGE(OFFSET($AM$3,0,0,'Données projet'!$E$10+1,1))-AVERAGE(OFFSET($H$3,0,0,'Données projet'!$E$10+1,1))</f>
        <v>74.715815024475376</v>
      </c>
      <c r="AO132" s="59">
        <f t="shared" si="90"/>
        <v>87.801612218507501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9.4841767723680999</v>
      </c>
      <c r="AV132" s="21">
        <f>EXP(-LN(2)/25)*AV131+(1-EXP(-LN(2)/25))/(LN(2)/25)*Calculateur!AQ132*Calculateur!AS132*VLOOKUP('Données projet'!$B$10,Paramètres!$A$1:$I$89,3,0)*0.475*44/12</f>
        <v>3.4305962223846129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12.914772994752713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-6.7984728957526396E-14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212.70058550761718</v>
      </c>
      <c r="T133" s="59">
        <f t="shared" ref="T133:T196" si="142">$T$3</f>
        <v>208.28274083874896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34.574493726008647</v>
      </c>
      <c r="AA133" s="21">
        <f>EXP(-LN(2)/25)*AA132+(1-EXP(-LN(2)/25))/(LN(2)/25)*Calculateur!V133*Calculateur!X133*VLOOKUP('Données projet'!$B$9,Paramètres!$A$1:$I$89,3,0)*0.475*44/12</f>
        <v>12.304762238400086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46.879255964408735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135.89743589743577</v>
      </c>
      <c r="AJ133" s="13">
        <f>AI133*VLOOKUP('Données projet'!$B$10,Paramètres!$A$1:$I$89,3,0)*VLOOKUP('Données projet'!$B$10,Paramètres!$A$1:$I$89,5,0)</f>
        <v>118.71999999999991</v>
      </c>
      <c r="AK133" s="13">
        <f t="shared" ref="AK133:AK153" si="143">EXP(-1.0587+0.8836*LN(AJ133)+0.284)</f>
        <v>31.376274241265865</v>
      </c>
      <c r="AL133" s="20">
        <f t="shared" si="112"/>
        <v>261.41767763687125</v>
      </c>
      <c r="AM133" s="59">
        <f t="shared" si="113"/>
        <v>554.75101097020456</v>
      </c>
      <c r="AN133" s="59">
        <f ca="1">AVERAGE(OFFSET($AM$3,0,0,'Données projet'!$E$10+1,1))-AVERAGE(OFFSET($H$3,0,0,'Données projet'!$E$10+1,1))</f>
        <v>74.715815024475376</v>
      </c>
      <c r="AO133" s="59">
        <f t="shared" ref="AO133:AO196" si="144">$AO$3</f>
        <v>87.801612218507501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9.2981978506385925</v>
      </c>
      <c r="AV133" s="21">
        <f>EXP(-LN(2)/25)*AV132+(1-EXP(-LN(2)/25))/(LN(2)/25)*Calculateur!AQ133*Calculateur!AS133*VLOOKUP('Données projet'!$B$10,Paramètres!$A$1:$I$89,3,0)*0.475*44/12</f>
        <v>3.3367863882762911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12.634984238914884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-6.7984728957526396E-14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212.70058550761718</v>
      </c>
      <c r="T134" s="59">
        <f t="shared" si="142"/>
        <v>208.28274083874896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33.896508992400491</v>
      </c>
      <c r="AA134" s="21">
        <f>EXP(-LN(2)/25)*AA133+(1-EXP(-LN(2)/25))/(LN(2)/25)*Calculateur!V134*Calculateur!X134*VLOOKUP('Données projet'!$B$9,Paramètres!$A$1:$I$89,3,0)*0.475*44/12</f>
        <v>11.968287867911712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45.864796860312204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135.89743589743577</v>
      </c>
      <c r="AJ134" s="13">
        <f>AI134*VLOOKUP('Données projet'!$B$10,Paramètres!$A$1:$I$89,3,0)*VLOOKUP('Données projet'!$B$10,Paramètres!$A$1:$I$89,5,0)</f>
        <v>118.71999999999991</v>
      </c>
      <c r="AK134" s="13">
        <f t="shared" si="143"/>
        <v>31.376274241265865</v>
      </c>
      <c r="AL134" s="20">
        <f t="shared" si="112"/>
        <v>261.41767763687125</v>
      </c>
      <c r="AM134" s="59">
        <f t="shared" si="113"/>
        <v>554.75101097020456</v>
      </c>
      <c r="AN134" s="59">
        <f ca="1">AVERAGE(OFFSET($AM$3,0,0,'Données projet'!$E$10+1,1))-AVERAGE(OFFSET($H$3,0,0,'Données projet'!$E$10+1,1))</f>
        <v>74.715815024475376</v>
      </c>
      <c r="AO134" s="59">
        <f t="shared" si="144"/>
        <v>87.801612218507501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9.1158658621282598</v>
      </c>
      <c r="AV134" s="21">
        <f>EXP(-LN(2)/25)*AV133+(1-EXP(-LN(2)/25))/(LN(2)/25)*Calculateur!AQ134*Calculateur!AS134*VLOOKUP('Données projet'!$B$10,Paramètres!$A$1:$I$89,3,0)*0.475*44/12</f>
        <v>3.2455417890149061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12.361407651143166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-6.7984728957526396E-14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212.70058550761718</v>
      </c>
      <c r="T135" s="59">
        <f t="shared" si="142"/>
        <v>208.28274083874896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33.231819125888535</v>
      </c>
      <c r="AA135" s="21">
        <f>EXP(-LN(2)/25)*AA134+(1-EXP(-LN(2)/25))/(LN(2)/25)*Calculateur!V135*Calculateur!X135*VLOOKUP('Données projet'!$B$9,Paramètres!$A$1:$I$89,3,0)*0.475*44/12</f>
        <v>11.641014406778762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44.8728335326673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135.89743589743577</v>
      </c>
      <c r="AJ135" s="13">
        <f>AI135*VLOOKUP('Données projet'!$B$10,Paramètres!$A$1:$I$89,3,0)*VLOOKUP('Données projet'!$B$10,Paramètres!$A$1:$I$89,5,0)</f>
        <v>118.71999999999991</v>
      </c>
      <c r="AK135" s="13">
        <f t="shared" si="143"/>
        <v>31.376274241265865</v>
      </c>
      <c r="AL135" s="20">
        <f t="shared" si="112"/>
        <v>261.41767763687125</v>
      </c>
      <c r="AM135" s="59">
        <f t="shared" si="113"/>
        <v>554.75101097020456</v>
      </c>
      <c r="AN135" s="59">
        <f ca="1">AVERAGE(OFFSET($AM$3,0,0,'Données projet'!$E$10+1,1))-AVERAGE(OFFSET($H$3,0,0,'Données projet'!$E$10+1,1))</f>
        <v>74.715815024475376</v>
      </c>
      <c r="AO135" s="59">
        <f t="shared" si="144"/>
        <v>87.801612218507501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8.9371092927010842</v>
      </c>
      <c r="AV135" s="21">
        <f>EXP(-LN(2)/25)*AV134+(1-EXP(-LN(2)/25))/(LN(2)/25)*Calculateur!AQ135*Calculateur!AS135*VLOOKUP('Données projet'!$B$10,Paramètres!$A$1:$I$89,3,0)*0.475*44/12</f>
        <v>3.1567922781186684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12.093901570819753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-6.7984728957526396E-14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212.70058550761718</v>
      </c>
      <c r="T136" s="59">
        <f t="shared" si="142"/>
        <v>208.28274083874896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32.580163422238087</v>
      </c>
      <c r="AA136" s="21">
        <f>EXP(-LN(2)/25)*AA135+(1-EXP(-LN(2)/25))/(LN(2)/25)*Calculateur!V136*Calculateur!X136*VLOOKUP('Données projet'!$B$9,Paramètres!$A$1:$I$89,3,0)*0.475*44/12</f>
        <v>11.322690255651056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43.902853677889141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135.89743589743577</v>
      </c>
      <c r="AJ136" s="13">
        <f>AI136*VLOOKUP('Données projet'!$B$10,Paramètres!$A$1:$I$89,3,0)*VLOOKUP('Données projet'!$B$10,Paramètres!$A$1:$I$89,5,0)</f>
        <v>118.71999999999991</v>
      </c>
      <c r="AK136" s="13">
        <f t="shared" si="143"/>
        <v>31.376274241265865</v>
      </c>
      <c r="AL136" s="20">
        <f t="shared" si="112"/>
        <v>261.41767763687125</v>
      </c>
      <c r="AM136" s="59">
        <f t="shared" si="113"/>
        <v>554.75101097020456</v>
      </c>
      <c r="AN136" s="59">
        <f ca="1">AVERAGE(OFFSET($AM$3,0,0,'Données projet'!$E$10+1,1))-AVERAGE(OFFSET($H$3,0,0,'Données projet'!$E$10+1,1))</f>
        <v>74.715815024475376</v>
      </c>
      <c r="AO136" s="59">
        <f t="shared" si="144"/>
        <v>87.801612218507501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8.7618580305696341</v>
      </c>
      <c r="AV136" s="21">
        <f>EXP(-LN(2)/25)*AV135+(1-EXP(-LN(2)/25))/(LN(2)/25)*Calculateur!AQ136*Calculateur!AS136*VLOOKUP('Données projet'!$B$10,Paramètres!$A$1:$I$89,3,0)*0.475*44/12</f>
        <v>3.0704696272650223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11.832327657834657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-6.7984728957526396E-14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212.70058550761718</v>
      </c>
      <c r="T137" s="59">
        <f t="shared" si="142"/>
        <v>208.28274083874896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31.941286289465495</v>
      </c>
      <c r="AA137" s="21">
        <f>EXP(-LN(2)/25)*AA136+(1-EXP(-LN(2)/25))/(LN(2)/25)*Calculateur!V137*Calculateur!X137*VLOOKUP('Données projet'!$B$9,Paramètres!$A$1:$I$89,3,0)*0.475*44/12</f>
        <v>11.013070695175875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42.954356984641372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135.89743589743577</v>
      </c>
      <c r="AJ137" s="13">
        <f>AI137*VLOOKUP('Données projet'!$B$10,Paramètres!$A$1:$I$89,3,0)*VLOOKUP('Données projet'!$B$10,Paramètres!$A$1:$I$89,5,0)</f>
        <v>118.71999999999991</v>
      </c>
      <c r="AK137" s="13">
        <f t="shared" si="143"/>
        <v>31.376274241265865</v>
      </c>
      <c r="AL137" s="20">
        <f t="shared" si="112"/>
        <v>261.41767763687125</v>
      </c>
      <c r="AM137" s="59">
        <f t="shared" si="113"/>
        <v>554.75101097020456</v>
      </c>
      <c r="AN137" s="59">
        <f ca="1">AVERAGE(OFFSET($AM$3,0,0,'Données projet'!$E$10+1,1))-AVERAGE(OFFSET($H$3,0,0,'Données projet'!$E$10+1,1))</f>
        <v>74.715815024475376</v>
      </c>
      <c r="AO137" s="59">
        <f t="shared" si="144"/>
        <v>87.801612218507501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8.5900433387958657</v>
      </c>
      <c r="AV137" s="21">
        <f>EXP(-LN(2)/25)*AV136+(1-EXP(-LN(2)/25))/(LN(2)/25)*Calculateur!AQ137*Calculateur!AS137*VLOOKUP('Données projet'!$B$10,Paramètres!$A$1:$I$89,3,0)*0.475*44/12</f>
        <v>2.98650747383848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11.576550812634345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-6.7984728957526396E-14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212.70058550761718</v>
      </c>
      <c r="T138" s="59">
        <f t="shared" si="142"/>
        <v>208.28274083874896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31.314937147590001</v>
      </c>
      <c r="AA138" s="21">
        <f>EXP(-LN(2)/25)*AA137+(1-EXP(-LN(2)/25))/(LN(2)/25)*Calculateur!V138*Calculateur!X138*VLOOKUP('Données projet'!$B$9,Paramètres!$A$1:$I$89,3,0)*0.475*44/12</f>
        <v>10.711917697864074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42.026854845454075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135.89743589743577</v>
      </c>
      <c r="AJ138" s="13">
        <f>AI138*VLOOKUP('Données projet'!$B$10,Paramètres!$A$1:$I$89,3,0)*VLOOKUP('Données projet'!$B$10,Paramètres!$A$1:$I$89,5,0)</f>
        <v>118.71999999999991</v>
      </c>
      <c r="AK138" s="13">
        <f t="shared" si="143"/>
        <v>31.376274241265865</v>
      </c>
      <c r="AL138" s="20">
        <f t="shared" si="112"/>
        <v>261.41767763687125</v>
      </c>
      <c r="AM138" s="59">
        <f t="shared" si="113"/>
        <v>554.75101097020456</v>
      </c>
      <c r="AN138" s="59">
        <f ca="1">AVERAGE(OFFSET($AM$3,0,0,'Données projet'!$E$10+1,1))-AVERAGE(OFFSET($H$3,0,0,'Données projet'!$E$10+1,1))</f>
        <v>74.715815024475376</v>
      </c>
      <c r="AO138" s="59">
        <f t="shared" si="144"/>
        <v>87.801612218507501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8.4215978283311674</v>
      </c>
      <c r="AV138" s="21">
        <f>EXP(-LN(2)/25)*AV137+(1-EXP(-LN(2)/25))/(LN(2)/25)*Calculateur!AQ138*Calculateur!AS138*VLOOKUP('Données projet'!$B$10,Paramètres!$A$1:$I$89,3,0)*0.475*44/12</f>
        <v>2.9048412699127644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11.326439098243931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-6.7984728957526396E-14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212.70058550761718</v>
      </c>
      <c r="T139" s="59">
        <f t="shared" si="142"/>
        <v>208.28274083874896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30.700870330351432</v>
      </c>
      <c r="AA139" s="21">
        <f>EXP(-LN(2)/25)*AA138+(1-EXP(-LN(2)/25))/(LN(2)/25)*Calculateur!V139*Calculateur!X139*VLOOKUP('Données projet'!$B$9,Paramètres!$A$1:$I$89,3,0)*0.475*44/12</f>
        <v>10.418999745100711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41.119870075452141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135.89743589743577</v>
      </c>
      <c r="AJ139" s="13">
        <f>AI139*VLOOKUP('Données projet'!$B$10,Paramètres!$A$1:$I$89,3,0)*VLOOKUP('Données projet'!$B$10,Paramètres!$A$1:$I$89,5,0)</f>
        <v>118.71999999999991</v>
      </c>
      <c r="AK139" s="13">
        <f t="shared" si="143"/>
        <v>31.376274241265865</v>
      </c>
      <c r="AL139" s="20">
        <f t="shared" si="112"/>
        <v>261.41767763687125</v>
      </c>
      <c r="AM139" s="59">
        <f t="shared" si="113"/>
        <v>554.75101097020456</v>
      </c>
      <c r="AN139" s="59">
        <f ca="1">AVERAGE(OFFSET($AM$3,0,0,'Données projet'!$E$10+1,1))-AVERAGE(OFFSET($H$3,0,0,'Données projet'!$E$10+1,1))</f>
        <v>74.715815024475376</v>
      </c>
      <c r="AO139" s="59">
        <f t="shared" si="144"/>
        <v>87.801612218507501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8.2564554315850653</v>
      </c>
      <c r="AV139" s="21">
        <f>EXP(-LN(2)/25)*AV138+(1-EXP(-LN(2)/25))/(LN(2)/25)*Calculateur!AQ139*Calculateur!AS139*VLOOKUP('Données projet'!$B$10,Paramètres!$A$1:$I$89,3,0)*0.475*44/12</f>
        <v>2.8254082326280368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11.081863664213103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-6.7984728957526396E-14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212.70058550761718</v>
      </c>
      <c r="T140" s="59">
        <f t="shared" si="142"/>
        <v>208.28274083874896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30.098844988855134</v>
      </c>
      <c r="AA140" s="21">
        <f>EXP(-LN(2)/25)*AA139+(1-EXP(-LN(2)/25))/(LN(2)/25)*Calculateur!V140*Calculateur!X140*VLOOKUP('Données projet'!$B$9,Paramètres!$A$1:$I$89,3,0)*0.475*44/12</f>
        <v>10.134091649159549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40.232936638014685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135.89743589743577</v>
      </c>
      <c r="AJ140" s="13">
        <f>AI140*VLOOKUP('Données projet'!$B$10,Paramètres!$A$1:$I$89,3,0)*VLOOKUP('Données projet'!$B$10,Paramètres!$A$1:$I$89,5,0)</f>
        <v>118.71999999999991</v>
      </c>
      <c r="AK140" s="13">
        <f t="shared" si="143"/>
        <v>31.376274241265865</v>
      </c>
      <c r="AL140" s="20">
        <f t="shared" si="112"/>
        <v>261.41767763687125</v>
      </c>
      <c r="AM140" s="59">
        <f t="shared" si="113"/>
        <v>554.75101097020456</v>
      </c>
      <c r="AN140" s="59">
        <f ca="1">AVERAGE(OFFSET($AM$3,0,0,'Données projet'!$E$10+1,1))-AVERAGE(OFFSET($H$3,0,0,'Données projet'!$E$10+1,1))</f>
        <v>74.715815024475376</v>
      </c>
      <c r="AO140" s="59">
        <f t="shared" si="144"/>
        <v>87.801612218507501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8.0945513765122374</v>
      </c>
      <c r="AV140" s="21">
        <f>EXP(-LN(2)/25)*AV139+(1-EXP(-LN(2)/25))/(LN(2)/25)*Calculateur!AQ140*Calculateur!AS140*VLOOKUP('Données projet'!$B$10,Paramètres!$A$1:$I$89,3,0)*0.475*44/12</f>
        <v>2.7481472959250617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10.842698672437299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-6.7984728957526396E-14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212.70058550761718</v>
      </c>
      <c r="T141" s="59">
        <f t="shared" si="142"/>
        <v>208.28274083874896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29.508624997106377</v>
      </c>
      <c r="AA141" s="21">
        <f>EXP(-LN(2)/25)*AA140+(1-EXP(-LN(2)/25))/(LN(2)/25)*Calculateur!V141*Calculateur!X141*VLOOKUP('Données projet'!$B$9,Paramètres!$A$1:$I$89,3,0)*0.475*44/12</f>
        <v>9.8569743800845622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39.365599377190939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135.89743589743577</v>
      </c>
      <c r="AJ141" s="13">
        <f>AI141*VLOOKUP('Données projet'!$B$10,Paramètres!$A$1:$I$89,3,0)*VLOOKUP('Données projet'!$B$10,Paramètres!$A$1:$I$89,5,0)</f>
        <v>118.71999999999991</v>
      </c>
      <c r="AK141" s="13">
        <f t="shared" si="143"/>
        <v>31.376274241265865</v>
      </c>
      <c r="AL141" s="20">
        <f t="shared" si="112"/>
        <v>261.41767763687125</v>
      </c>
      <c r="AM141" s="59">
        <f t="shared" si="113"/>
        <v>554.75101097020456</v>
      </c>
      <c r="AN141" s="59">
        <f ca="1">AVERAGE(OFFSET($AM$3,0,0,'Données projet'!$E$10+1,1))-AVERAGE(OFFSET($H$3,0,0,'Données projet'!$E$10+1,1))</f>
        <v>74.715815024475376</v>
      </c>
      <c r="AO141" s="59">
        <f t="shared" si="144"/>
        <v>87.801612218507501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7.9358221612076649</v>
      </c>
      <c r="AV141" s="21">
        <f>EXP(-LN(2)/25)*AV140+(1-EXP(-LN(2)/25))/(LN(2)/25)*Calculateur!AQ141*Calculateur!AS141*VLOOKUP('Données projet'!$B$10,Paramètres!$A$1:$I$89,3,0)*0.475*44/12</f>
        <v>2.6729990635992054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10.608821224806871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-6.7984728957526396E-14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212.70058550761718</v>
      </c>
      <c r="T142" s="59">
        <f t="shared" si="142"/>
        <v>208.28274083874896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28.929978859397167</v>
      </c>
      <c r="AA142" s="21">
        <f>EXP(-LN(2)/25)*AA141+(1-EXP(-LN(2)/25))/(LN(2)/25)*Calculateur!V142*Calculateur!X142*VLOOKUP('Données projet'!$B$9,Paramètres!$A$1:$I$89,3,0)*0.475*44/12</f>
        <v>9.5874348973053962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38.517413756702567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135.89743589743577</v>
      </c>
      <c r="AJ142" s="13">
        <f>AI142*VLOOKUP('Données projet'!$B$10,Paramètres!$A$1:$I$89,3,0)*VLOOKUP('Données projet'!$B$10,Paramètres!$A$1:$I$89,5,0)</f>
        <v>118.71999999999991</v>
      </c>
      <c r="AK142" s="13">
        <f t="shared" si="143"/>
        <v>31.376274241265865</v>
      </c>
      <c r="AL142" s="20">
        <f t="shared" si="112"/>
        <v>261.41767763687125</v>
      </c>
      <c r="AM142" s="59">
        <f t="shared" si="113"/>
        <v>554.75101097020456</v>
      </c>
      <c r="AN142" s="59">
        <f ca="1">AVERAGE(OFFSET($AM$3,0,0,'Données projet'!$E$10+1,1))-AVERAGE(OFFSET($H$3,0,0,'Données projet'!$E$10+1,1))</f>
        <v>74.715815024475376</v>
      </c>
      <c r="AO142" s="59">
        <f t="shared" si="144"/>
        <v>87.801612218507501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7.7802055289999537</v>
      </c>
      <c r="AV142" s="21">
        <f>EXP(-LN(2)/25)*AV141+(1-EXP(-LN(2)/25))/(LN(2)/25)*Calculateur!AQ142*Calculateur!AS142*VLOOKUP('Données projet'!$B$10,Paramètres!$A$1:$I$89,3,0)*0.475*44/12</f>
        <v>2.5999057636381737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10.380111292638126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-6.7984728957526396E-14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212.70058550761718</v>
      </c>
      <c r="T143" s="59">
        <f t="shared" si="142"/>
        <v>208.28274083874896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28.362679619509141</v>
      </c>
      <c r="AA143" s="21">
        <f>EXP(-LN(2)/25)*AA142+(1-EXP(-LN(2)/25))/(LN(2)/25)*Calculateur!V143*Calculateur!X143*VLOOKUP('Données projet'!$B$9,Paramètres!$A$1:$I$89,3,0)*0.475*44/12</f>
        <v>9.3252659858572908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37.68794560536643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135.89743589743577</v>
      </c>
      <c r="AJ143" s="13">
        <f>AI143*VLOOKUP('Données projet'!$B$10,Paramètres!$A$1:$I$89,3,0)*VLOOKUP('Données projet'!$B$10,Paramètres!$A$1:$I$89,5,0)</f>
        <v>118.71999999999991</v>
      </c>
      <c r="AK143" s="13">
        <f t="shared" si="143"/>
        <v>31.376274241265865</v>
      </c>
      <c r="AL143" s="20">
        <f t="shared" si="112"/>
        <v>261.41767763687125</v>
      </c>
      <c r="AM143" s="59">
        <f t="shared" si="113"/>
        <v>554.75101097020456</v>
      </c>
      <c r="AN143" s="59">
        <f ca="1">AVERAGE(OFFSET($AM$3,0,0,'Données projet'!$E$10+1,1))-AVERAGE(OFFSET($H$3,0,0,'Données projet'!$E$10+1,1))</f>
        <v>74.715815024475376</v>
      </c>
      <c r="AO143" s="59">
        <f t="shared" si="144"/>
        <v>87.801612218507501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7.6276404440330623</v>
      </c>
      <c r="AV143" s="21">
        <f>EXP(-LN(2)/25)*AV142+(1-EXP(-LN(2)/25))/(LN(2)/25)*Calculateur!AQ143*Calculateur!AS143*VLOOKUP('Données projet'!$B$10,Paramètres!$A$1:$I$89,3,0)*0.475*44/12</f>
        <v>2.5288112038083859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10.156451647841449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-6.7984728957526396E-14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212.70058550761718</v>
      </c>
      <c r="T144" s="59">
        <f t="shared" si="142"/>
        <v>208.28274083874896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27.806504771696947</v>
      </c>
      <c r="AA144" s="21">
        <f>EXP(-LN(2)/25)*AA143+(1-EXP(-LN(2)/25))/(LN(2)/25)*Calculateur!V144*Calculateur!X144*VLOOKUP('Données projet'!$B$9,Paramètres!$A$1:$I$89,3,0)*0.475*44/12</f>
        <v>9.0702660970795979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36.876770868776546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135.89743589743577</v>
      </c>
      <c r="AJ144" s="13">
        <f>AI144*VLOOKUP('Données projet'!$B$10,Paramètres!$A$1:$I$89,3,0)*VLOOKUP('Données projet'!$B$10,Paramètres!$A$1:$I$89,5,0)</f>
        <v>118.71999999999991</v>
      </c>
      <c r="AK144" s="13">
        <f t="shared" si="143"/>
        <v>31.376274241265865</v>
      </c>
      <c r="AL144" s="20">
        <f t="shared" si="112"/>
        <v>261.41767763687125</v>
      </c>
      <c r="AM144" s="59">
        <f t="shared" si="113"/>
        <v>554.75101097020456</v>
      </c>
      <c r="AN144" s="59">
        <f ca="1">AVERAGE(OFFSET($AM$3,0,0,'Données projet'!$E$10+1,1))-AVERAGE(OFFSET($H$3,0,0,'Données projet'!$E$10+1,1))</f>
        <v>74.715815024475376</v>
      </c>
      <c r="AO144" s="59">
        <f t="shared" si="144"/>
        <v>87.801612218507501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7.4780670673268581</v>
      </c>
      <c r="AV144" s="21">
        <f>EXP(-LN(2)/25)*AV143+(1-EXP(-LN(2)/25))/(LN(2)/25)*Calculateur!AQ144*Calculateur!AS144*VLOOKUP('Données projet'!$B$10,Paramètres!$A$1:$I$89,3,0)*0.475*44/12</f>
        <v>2.459660728455844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9.9377277957827026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-6.7984728957526396E-14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212.70058550761718</v>
      </c>
      <c r="T145" s="59">
        <f t="shared" si="142"/>
        <v>208.28274083874896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27.261236173417192</v>
      </c>
      <c r="AA145" s="21">
        <f>EXP(-LN(2)/25)*AA144+(1-EXP(-LN(2)/25))/(LN(2)/25)*Calculateur!V145*Calculateur!X145*VLOOKUP('Données projet'!$B$9,Paramètres!$A$1:$I$89,3,0)*0.475*44/12</f>
        <v>8.8222391936703932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36.083475367087587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135.89743589743577</v>
      </c>
      <c r="AJ145" s="13">
        <f>AI145*VLOOKUP('Données projet'!$B$10,Paramètres!$A$1:$I$89,3,0)*VLOOKUP('Données projet'!$B$10,Paramètres!$A$1:$I$89,5,0)</f>
        <v>118.71999999999991</v>
      </c>
      <c r="AK145" s="13">
        <f t="shared" si="143"/>
        <v>31.376274241265865</v>
      </c>
      <c r="AL145" s="20">
        <f t="shared" si="112"/>
        <v>261.41767763687125</v>
      </c>
      <c r="AM145" s="59">
        <f t="shared" si="113"/>
        <v>554.75101097020456</v>
      </c>
      <c r="AN145" s="59">
        <f ca="1">AVERAGE(OFFSET($AM$3,0,0,'Données projet'!$E$10+1,1))-AVERAGE(OFFSET($H$3,0,0,'Données projet'!$E$10+1,1))</f>
        <v>74.715815024475376</v>
      </c>
      <c r="AO145" s="59">
        <f t="shared" si="144"/>
        <v>87.801612218507501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7.3314267333071115</v>
      </c>
      <c r="AV145" s="21">
        <f>EXP(-LN(2)/25)*AV144+(1-EXP(-LN(2)/25))/(LN(2)/25)*Calculateur!AQ145*Calculateur!AS145*VLOOKUP('Données projet'!$B$10,Paramètres!$A$1:$I$89,3,0)*0.475*44/12</f>
        <v>2.3924011764882831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9.7238279097953946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-6.7984728957526396E-14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212.70058550761718</v>
      </c>
      <c r="T146" s="59">
        <f t="shared" si="142"/>
        <v>208.28274083874896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26.726659959768696</v>
      </c>
      <c r="AA146" s="21">
        <f>EXP(-LN(2)/25)*AA145+(1-EXP(-LN(2)/25))/(LN(2)/25)*Calculateur!V146*Calculateur!X146*VLOOKUP('Données projet'!$B$9,Paramètres!$A$1:$I$89,3,0)*0.475*44/12</f>
        <v>8.58099459897808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35.307654558746776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135.89743589743577</v>
      </c>
      <c r="AJ146" s="13">
        <f>AI146*VLOOKUP('Données projet'!$B$10,Paramètres!$A$1:$I$89,3,0)*VLOOKUP('Données projet'!$B$10,Paramètres!$A$1:$I$89,5,0)</f>
        <v>118.71999999999991</v>
      </c>
      <c r="AK146" s="13">
        <f t="shared" si="143"/>
        <v>31.376274241265865</v>
      </c>
      <c r="AL146" s="20">
        <f t="shared" si="112"/>
        <v>261.41767763687125</v>
      </c>
      <c r="AM146" s="59">
        <f t="shared" si="113"/>
        <v>554.75101097020456</v>
      </c>
      <c r="AN146" s="59">
        <f ca="1">AVERAGE(OFFSET($AM$3,0,0,'Données projet'!$E$10+1,1))-AVERAGE(OFFSET($H$3,0,0,'Données projet'!$E$10+1,1))</f>
        <v>74.715815024475376</v>
      </c>
      <c r="AO146" s="59">
        <f t="shared" si="144"/>
        <v>87.801612218507501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7.1876619267957196</v>
      </c>
      <c r="AV146" s="21">
        <f>EXP(-LN(2)/25)*AV145+(1-EXP(-LN(2)/25))/(LN(2)/25)*Calculateur!AQ146*Calculateur!AS146*VLOOKUP('Données projet'!$B$10,Paramètres!$A$1:$I$89,3,0)*0.475*44/12</f>
        <v>2.3269808405063008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9.5146427673020213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-6.7984728957526396E-14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212.70058550761718</v>
      </c>
      <c r="T147" s="59">
        <f t="shared" si="142"/>
        <v>208.28274083874896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26.202566459610551</v>
      </c>
      <c r="AA147" s="21">
        <f>EXP(-LN(2)/25)*AA146+(1-EXP(-LN(2)/25))/(LN(2)/25)*Calculateur!V147*Calculateur!X147*VLOOKUP('Données projet'!$B$9,Paramètres!$A$1:$I$89,3,0)*0.475*44/12</f>
        <v>8.3463468504141307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34.54891331002468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135.89743589743577</v>
      </c>
      <c r="AJ147" s="13">
        <f>AI147*VLOOKUP('Données projet'!$B$10,Paramètres!$A$1:$I$89,3,0)*VLOOKUP('Données projet'!$B$10,Paramètres!$A$1:$I$89,5,0)</f>
        <v>118.71999999999991</v>
      </c>
      <c r="AK147" s="13">
        <f t="shared" si="143"/>
        <v>31.376274241265865</v>
      </c>
      <c r="AL147" s="20">
        <f t="shared" si="112"/>
        <v>261.41767763687125</v>
      </c>
      <c r="AM147" s="59">
        <f t="shared" si="113"/>
        <v>554.75101097020456</v>
      </c>
      <c r="AN147" s="59">
        <f ca="1">AVERAGE(OFFSET($AM$3,0,0,'Données projet'!$E$10+1,1))-AVERAGE(OFFSET($H$3,0,0,'Données projet'!$E$10+1,1))</f>
        <v>74.715815024475376</v>
      </c>
      <c r="AO147" s="59">
        <f t="shared" si="144"/>
        <v>87.801612218507501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7.0467162604521425</v>
      </c>
      <c r="AV147" s="21">
        <f>EXP(-LN(2)/25)*AV146+(1-EXP(-LN(2)/25))/(LN(2)/25)*Calculateur!AQ147*Calculateur!AS147*VLOOKUP('Données projet'!$B$10,Paramètres!$A$1:$I$89,3,0)*0.475*44/12</f>
        <v>2.2633494270520522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9.3100656875041956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-6.7984728957526396E-14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212.70058550761718</v>
      </c>
      <c r="T148" s="59">
        <f t="shared" si="142"/>
        <v>208.28274083874896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25.688750113325039</v>
      </c>
      <c r="AA148" s="21">
        <f>EXP(-LN(2)/25)*AA147+(1-EXP(-LN(2)/25))/(LN(2)/25)*Calculateur!V148*Calculateur!X148*VLOOKUP('Données projet'!$B$9,Paramètres!$A$1:$I$89,3,0)*0.475*44/12</f>
        <v>8.1181155568742511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33.806865670199286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135.89743589743577</v>
      </c>
      <c r="AJ148" s="13">
        <f>AI148*VLOOKUP('Données projet'!$B$10,Paramètres!$A$1:$I$89,3,0)*VLOOKUP('Données projet'!$B$10,Paramètres!$A$1:$I$89,5,0)</f>
        <v>118.71999999999991</v>
      </c>
      <c r="AK148" s="13">
        <f t="shared" si="143"/>
        <v>31.376274241265865</v>
      </c>
      <c r="AL148" s="20">
        <f t="shared" si="112"/>
        <v>261.41767763687125</v>
      </c>
      <c r="AM148" s="59">
        <f t="shared" si="113"/>
        <v>554.75101097020456</v>
      </c>
      <c r="AN148" s="59">
        <f ca="1">AVERAGE(OFFSET($AM$3,0,0,'Données projet'!$E$10+1,1))-AVERAGE(OFFSET($H$3,0,0,'Données projet'!$E$10+1,1))</f>
        <v>74.715815024475376</v>
      </c>
      <c r="AO148" s="59">
        <f t="shared" si="144"/>
        <v>87.801612218507501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6.9085344526571957</v>
      </c>
      <c r="AV148" s="21">
        <f>EXP(-LN(2)/25)*AV147+(1-EXP(-LN(2)/25))/(LN(2)/25)*Calculateur!AQ148*Calculateur!AS148*VLOOKUP('Données projet'!$B$10,Paramètres!$A$1:$I$89,3,0)*0.475*44/12</f>
        <v>2.2014580179449403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9.1099924706021369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-6.7984728957526396E-14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212.70058550761718</v>
      </c>
      <c r="T149" s="59">
        <f t="shared" si="142"/>
        <v>208.28274083874896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25.185009392193159</v>
      </c>
      <c r="AA149" s="21">
        <f>EXP(-LN(2)/25)*AA148+(1-EXP(-LN(2)/25))/(LN(2)/25)*Calculateur!V149*Calculateur!X149*VLOOKUP('Données projet'!$B$9,Paramètres!$A$1:$I$89,3,0)*0.475*44/12</f>
        <v>7.8961252600583816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33.081134652251542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135.89743589743577</v>
      </c>
      <c r="AJ149" s="13">
        <f>AI149*VLOOKUP('Données projet'!$B$10,Paramètres!$A$1:$I$89,3,0)*VLOOKUP('Données projet'!$B$10,Paramètres!$A$1:$I$89,5,0)</f>
        <v>118.71999999999991</v>
      </c>
      <c r="AK149" s="13">
        <f t="shared" si="143"/>
        <v>31.376274241265865</v>
      </c>
      <c r="AL149" s="20">
        <f t="shared" si="112"/>
        <v>261.41767763687125</v>
      </c>
      <c r="AM149" s="59">
        <f t="shared" si="113"/>
        <v>554.75101097020456</v>
      </c>
      <c r="AN149" s="59">
        <f ca="1">AVERAGE(OFFSET($AM$3,0,0,'Données projet'!$E$10+1,1))-AVERAGE(OFFSET($H$3,0,0,'Données projet'!$E$10+1,1))</f>
        <v>74.715815024475376</v>
      </c>
      <c r="AO149" s="59">
        <f t="shared" si="144"/>
        <v>87.801612218507501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6.7730623058305266</v>
      </c>
      <c r="AV149" s="21">
        <f>EXP(-LN(2)/25)*AV148+(1-EXP(-LN(2)/25))/(LN(2)/25)*Calculateur!AQ149*Calculateur!AS149*VLOOKUP('Données projet'!$B$10,Paramètres!$A$1:$I$89,3,0)*0.475*44/12</f>
        <v>2.1412590326745904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8.9143213385051165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-6.7984728957526396E-14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212.70058550761718</v>
      </c>
      <c r="T150" s="59">
        <f t="shared" si="142"/>
        <v>208.28274083874896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24.691146719351174</v>
      </c>
      <c r="AA150" s="21">
        <f>EXP(-LN(2)/25)*AA149+(1-EXP(-LN(2)/25))/(LN(2)/25)*Calculateur!V150*Calculateur!X150*VLOOKUP('Données projet'!$B$9,Paramètres!$A$1:$I$89,3,0)*0.475*44/12</f>
        <v>7.6802052995829042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32.371352018934076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135.89743589743577</v>
      </c>
      <c r="AJ150" s="13">
        <f>AI150*VLOOKUP('Données projet'!$B$10,Paramètres!$A$1:$I$89,3,0)*VLOOKUP('Données projet'!$B$10,Paramètres!$A$1:$I$89,5,0)</f>
        <v>118.71999999999991</v>
      </c>
      <c r="AK150" s="13">
        <f t="shared" si="143"/>
        <v>31.376274241265865</v>
      </c>
      <c r="AL150" s="20">
        <f t="shared" si="112"/>
        <v>261.41767763687125</v>
      </c>
      <c r="AM150" s="59">
        <f t="shared" si="113"/>
        <v>554.75101097020456</v>
      </c>
      <c r="AN150" s="59">
        <f ca="1">AVERAGE(OFFSET($AM$3,0,0,'Données projet'!$E$10+1,1))-AVERAGE(OFFSET($H$3,0,0,'Données projet'!$E$10+1,1))</f>
        <v>74.715815024475376</v>
      </c>
      <c r="AO150" s="59">
        <f t="shared" si="144"/>
        <v>87.801612218507501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6.6402466851732784</v>
      </c>
      <c r="AV150" s="21">
        <f>EXP(-LN(2)/25)*AV149+(1-EXP(-LN(2)/25))/(LN(2)/25)*Calculateur!AQ150*Calculateur!AS150*VLOOKUP('Données projet'!$B$10,Paramètres!$A$1:$I$89,3,0)*0.475*44/12</f>
        <v>2.0827061918221852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8.7229528769954641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-6.7984728957526396E-14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212.70058550761718</v>
      </c>
      <c r="T151" s="59">
        <f t="shared" si="142"/>
        <v>208.28274083874896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24.206968392297135</v>
      </c>
      <c r="AA151" s="21">
        <f>EXP(-LN(2)/25)*AA150+(1-EXP(-LN(2)/25))/(LN(2)/25)*Calculateur!V151*Calculateur!X151*VLOOKUP('Données projet'!$B$9,Paramètres!$A$1:$I$89,3,0)*0.475*44/12</f>
        <v>7.470189681781366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31.677158074078502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135.89743589743577</v>
      </c>
      <c r="AJ151" s="13">
        <f>AI151*VLOOKUP('Données projet'!$B$10,Paramètres!$A$1:$I$89,3,0)*VLOOKUP('Données projet'!$B$10,Paramètres!$A$1:$I$89,5,0)</f>
        <v>118.71999999999991</v>
      </c>
      <c r="AK151" s="13">
        <f t="shared" si="143"/>
        <v>31.376274241265865</v>
      </c>
      <c r="AL151" s="20">
        <f t="shared" si="112"/>
        <v>261.41767763687125</v>
      </c>
      <c r="AM151" s="59">
        <f t="shared" si="113"/>
        <v>554.75101097020456</v>
      </c>
      <c r="AN151" s="59">
        <f ca="1">AVERAGE(OFFSET($AM$3,0,0,'Données projet'!$E$10+1,1))-AVERAGE(OFFSET($H$3,0,0,'Données projet'!$E$10+1,1))</f>
        <v>74.715815024475376</v>
      </c>
      <c r="AO151" s="59">
        <f t="shared" si="144"/>
        <v>87.801612218507501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6.5100354978275892</v>
      </c>
      <c r="AV151" s="21">
        <f>EXP(-LN(2)/25)*AV150+(1-EXP(-LN(2)/25))/(LN(2)/25)*Calculateur!AQ151*Calculateur!AS151*VLOOKUP('Données projet'!$B$10,Paramètres!$A$1:$I$89,3,0)*0.475*44/12</f>
        <v>2.025754481482049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8.5357899793096372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-6.7984728957526396E-14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212.70058550761718</v>
      </c>
      <c r="T152" s="59">
        <f t="shared" si="142"/>
        <v>208.28274083874896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23.732284506917004</v>
      </c>
      <c r="AA152" s="21">
        <f>EXP(-LN(2)/25)*AA151+(1-EXP(-LN(2)/25))/(LN(2)/25)*Calculateur!V152*Calculateur!X152*VLOOKUP('Données projet'!$B$9,Paramètres!$A$1:$I$89,3,0)*0.475*44/12</f>
        <v>7.2659169520928524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30.998201459009856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135.89743589743577</v>
      </c>
      <c r="AJ152" s="13">
        <f>AI152*VLOOKUP('Données projet'!$B$10,Paramètres!$A$1:$I$89,3,0)*VLOOKUP('Données projet'!$B$10,Paramètres!$A$1:$I$89,5,0)</f>
        <v>118.71999999999991</v>
      </c>
      <c r="AK152" s="13">
        <f t="shared" si="143"/>
        <v>31.376274241265865</v>
      </c>
      <c r="AL152" s="20">
        <f t="shared" si="112"/>
        <v>261.41767763687125</v>
      </c>
      <c r="AM152" s="59">
        <f t="shared" si="113"/>
        <v>554.75101097020456</v>
      </c>
      <c r="AN152" s="59">
        <f ca="1">AVERAGE(OFFSET($AM$3,0,0,'Données projet'!$E$10+1,1))-AVERAGE(OFFSET($H$3,0,0,'Données projet'!$E$10+1,1))</f>
        <v>74.715815024475376</v>
      </c>
      <c r="AO152" s="59">
        <f t="shared" si="144"/>
        <v>87.801612218507501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6.3823776724447665</v>
      </c>
      <c r="AV152" s="21">
        <f>EXP(-LN(2)/25)*AV151+(1-EXP(-LN(2)/25))/(LN(2)/25)*Calculateur!AQ152*Calculateur!AS152*VLOOKUP('Données projet'!$B$10,Paramètres!$A$1:$I$89,3,0)*0.475*44/12</f>
        <v>1.9703601186561241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8.3527377911008909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-6.7984728957526396E-14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212.70058550761718</v>
      </c>
      <c r="T153" s="59">
        <f t="shared" si="142"/>
        <v>208.28274083874896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23.266908883000596</v>
      </c>
      <c r="AA153" s="21">
        <f>EXP(-LN(2)/25)*AA152+(1-EXP(-LN(2)/25))/(LN(2)/25)*Calculateur!V153*Calculateur!X153*VLOOKUP('Données projet'!$B$9,Paramètres!$A$1:$I$89,3,0)*0.475*44/12</f>
        <v>7.0672300709399076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30.334138953940503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135.89743589743577</v>
      </c>
      <c r="AJ153" s="13">
        <f>AI153*VLOOKUP('Données projet'!$B$10,Paramètres!$A$1:$I$89,3,0)*VLOOKUP('Données projet'!$B$10,Paramètres!$A$1:$I$89,5,0)</f>
        <v>118.71999999999991</v>
      </c>
      <c r="AK153" s="13">
        <f t="shared" si="143"/>
        <v>31.376274241265865</v>
      </c>
      <c r="AL153" s="20">
        <f t="shared" si="112"/>
        <v>261.41767763687125</v>
      </c>
      <c r="AM153" s="59">
        <f t="shared" si="113"/>
        <v>554.75101097020456</v>
      </c>
      <c r="AN153" s="59">
        <f ca="1">AVERAGE(OFFSET($AM$3,0,0,'Données projet'!$E$10+1,1))-AVERAGE(OFFSET($H$3,0,0,'Données projet'!$E$10+1,1))</f>
        <v>74.715815024475376</v>
      </c>
      <c r="AO153" s="59">
        <f t="shared" si="144"/>
        <v>87.801612218507501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6.2572231391541164</v>
      </c>
      <c r="AV153" s="21">
        <f>EXP(-LN(2)/25)*AV152+(1-EXP(-LN(2)/25))/(LN(2)/25)*Calculateur!AQ153*Calculateur!AS153*VLOOKUP('Données projet'!$B$10,Paramètres!$A$1:$I$89,3,0)*0.475*44/12</f>
        <v>1.916480517594737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8.1737036567488541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-6.7984728957526396E-14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212.70058550761718</v>
      </c>
      <c r="T154" s="59">
        <f t="shared" si="142"/>
        <v>208.28274083874896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22.810658991218087</v>
      </c>
      <c r="AA154" s="21">
        <f>EXP(-LN(2)/25)*AA153+(1-EXP(-LN(2)/25))/(LN(2)/25)*Calculateur!V154*Calculateur!X154*VLOOKUP('Données projet'!$B$9,Paramètres!$A$1:$I$89,3,0)*0.475*44/12</f>
        <v>6.8739762930005792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29.684635284218665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135.89743589743577</v>
      </c>
      <c r="AJ154" s="13">
        <f>AI154*VLOOKUP('Données projet'!$B$10,Paramètres!$A$1:$I$89,3,0)*VLOOKUP('Données projet'!$B$10,Paramètres!$A$1:$I$89,5,0)</f>
        <v>118.71999999999991</v>
      </c>
      <c r="AK154" s="13">
        <f t="shared" ref="AK154:AK203" si="164">EXP(-1.0587+0.8836*LN(AJ154)+0.284)</f>
        <v>31.376274241265865</v>
      </c>
      <c r="AL154" s="20">
        <f t="shared" ref="AL154:AL203" si="165">(AJ154+AK154)*0.475*44/12</f>
        <v>261.41767763687125</v>
      </c>
      <c r="AM154" s="59">
        <f t="shared" si="113"/>
        <v>554.75101097020456</v>
      </c>
      <c r="AN154" s="59">
        <f ca="1">AVERAGE(OFFSET($AM$3,0,0,'Données projet'!$E$10+1,1))-AVERAGE(OFFSET($H$3,0,0,'Données projet'!$E$10+1,1))</f>
        <v>74.715815024475376</v>
      </c>
      <c r="AO154" s="59">
        <f t="shared" si="144"/>
        <v>87.801612218507501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6.1345228099245679</v>
      </c>
      <c r="AV154" s="21">
        <f>EXP(-LN(2)/25)*AV153+(1-EXP(-LN(2)/25))/(LN(2)/25)*Calculateur!AQ154*Calculateur!AS154*VLOOKUP('Données projet'!$B$10,Paramètres!$A$1:$I$89,3,0)*0.475*44/12</f>
        <v>1.8640742570577786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7.998597066982347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-6.7984728957526396E-14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212.70058550761718</v>
      </c>
      <c r="T155" s="59">
        <f t="shared" si="142"/>
        <v>208.28274083874896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22.363355881528477</v>
      </c>
      <c r="AA155" s="21">
        <f>EXP(-LN(2)/25)*AA154+(1-EXP(-LN(2)/25))/(LN(2)/25)*Calculateur!V155*Calculateur!X155*VLOOKUP('Données projet'!$B$9,Paramètres!$A$1:$I$89,3,0)*0.475*44/12</f>
        <v>6.6860070497817761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29.049362931310252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135.89743589743577</v>
      </c>
      <c r="AJ155" s="13">
        <f>AI155*VLOOKUP('Données projet'!$B$10,Paramètres!$A$1:$I$89,3,0)*VLOOKUP('Données projet'!$B$10,Paramètres!$A$1:$I$89,5,0)</f>
        <v>118.71999999999991</v>
      </c>
      <c r="AK155" s="13">
        <f t="shared" si="164"/>
        <v>31.376274241265865</v>
      </c>
      <c r="AL155" s="20">
        <f t="shared" si="165"/>
        <v>261.41767763687125</v>
      </c>
      <c r="AM155" s="59">
        <f t="shared" si="113"/>
        <v>554.75101097020456</v>
      </c>
      <c r="AN155" s="59">
        <f ca="1">AVERAGE(OFFSET($AM$3,0,0,'Données projet'!$E$10+1,1))-AVERAGE(OFFSET($H$3,0,0,'Données projet'!$E$10+1,1))</f>
        <v>74.715815024475376</v>
      </c>
      <c r="AO155" s="59">
        <f t="shared" si="144"/>
        <v>87.801612218507501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6.0142285593114</v>
      </c>
      <c r="AV155" s="21">
        <f>EXP(-LN(2)/25)*AV154+(1-EXP(-LN(2)/25))/(LN(2)/25)*Calculateur!AQ155*Calculateur!AS155*VLOOKUP('Données projet'!$B$10,Paramètres!$A$1:$I$89,3,0)*0.475*44/12</f>
        <v>1.813101048471129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7.827329607782529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-6.7984728957526396E-14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212.70058550761718</v>
      </c>
      <c r="T156" s="59">
        <f t="shared" si="142"/>
        <v>208.28274083874896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21.924824112991924</v>
      </c>
      <c r="AA156" s="21">
        <f>EXP(-LN(2)/25)*AA155+(1-EXP(-LN(2)/25))/(LN(2)/25)*Calculateur!V156*Calculateur!X156*VLOOKUP('Données projet'!$B$9,Paramètres!$A$1:$I$89,3,0)*0.475*44/12</f>
        <v>6.5031778354036636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28.42800194839559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135.89743589743577</v>
      </c>
      <c r="AJ156" s="13">
        <f>AI156*VLOOKUP('Données projet'!$B$10,Paramètres!$A$1:$I$89,3,0)*VLOOKUP('Données projet'!$B$10,Paramètres!$A$1:$I$89,5,0)</f>
        <v>118.71999999999991</v>
      </c>
      <c r="AK156" s="13">
        <f t="shared" si="164"/>
        <v>31.376274241265865</v>
      </c>
      <c r="AL156" s="20">
        <f t="shared" si="165"/>
        <v>261.41767763687125</v>
      </c>
      <c r="AM156" s="59">
        <f t="shared" si="113"/>
        <v>554.75101097020456</v>
      </c>
      <c r="AN156" s="59">
        <f ca="1">AVERAGE(OFFSET($AM$3,0,0,'Données projet'!$E$10+1,1))-AVERAGE(OFFSET($H$3,0,0,'Données projet'!$E$10+1,1))</f>
        <v>74.715815024475376</v>
      </c>
      <c r="AO156" s="59">
        <f t="shared" si="144"/>
        <v>87.801612218507501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5.8962932055805082</v>
      </c>
      <c r="AV156" s="21">
        <f>EXP(-LN(2)/25)*AV155+(1-EXP(-LN(2)/25))/(LN(2)/25)*Calculateur!AQ156*Calculateur!AS156*VLOOKUP('Données projet'!$B$10,Paramètres!$A$1:$I$89,3,0)*0.475*44/12</f>
        <v>1.7635217049538456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7.6598149105343536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-6.7984728957526396E-14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212.70058550761718</v>
      </c>
      <c r="T157" s="59">
        <f t="shared" si="142"/>
        <v>208.28274083874896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21.494891684958404</v>
      </c>
      <c r="AA157" s="21">
        <f>EXP(-LN(2)/25)*AA156+(1-EXP(-LN(2)/25))/(LN(2)/25)*Calculateur!V157*Calculateur!X157*VLOOKUP('Données projet'!$B$9,Paramètres!$A$1:$I$89,3,0)*0.475*44/12</f>
        <v>6.3253480955072909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27.820239780465695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135.89743589743577</v>
      </c>
      <c r="AJ157" s="13">
        <f>AI157*VLOOKUP('Données projet'!$B$10,Paramètres!$A$1:$I$89,3,0)*VLOOKUP('Données projet'!$B$10,Paramètres!$A$1:$I$89,5,0)</f>
        <v>118.71999999999991</v>
      </c>
      <c r="AK157" s="13">
        <f t="shared" si="164"/>
        <v>31.376274241265865</v>
      </c>
      <c r="AL157" s="20">
        <f t="shared" si="165"/>
        <v>261.41767763687125</v>
      </c>
      <c r="AM157" s="59">
        <f t="shared" si="113"/>
        <v>554.75101097020456</v>
      </c>
      <c r="AN157" s="59">
        <f ca="1">AVERAGE(OFFSET($AM$3,0,0,'Données projet'!$E$10+1,1))-AVERAGE(OFFSET($H$3,0,0,'Données projet'!$E$10+1,1))</f>
        <v>74.715815024475376</v>
      </c>
      <c r="AO157" s="59">
        <f t="shared" si="144"/>
        <v>87.801612218507501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5.780670492202816</v>
      </c>
      <c r="AV157" s="21">
        <f>EXP(-LN(2)/25)*AV156+(1-EXP(-LN(2)/25))/(LN(2)/25)*Calculateur!AQ157*Calculateur!AS157*VLOOKUP('Données projet'!$B$10,Paramètres!$A$1:$I$89,3,0)*0.475*44/12</f>
        <v>1.7152981111923069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7.4959686033951227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-6.7984728957526396E-14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212.70058550761718</v>
      </c>
      <c r="T158" s="59">
        <f t="shared" si="142"/>
        <v>208.28274083874896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21.073389969605735</v>
      </c>
      <c r="AA158" s="21">
        <f>EXP(-LN(2)/25)*AA157+(1-EXP(-LN(2)/25))/(LN(2)/25)*Calculateur!V158*Calculateur!X158*VLOOKUP('Données projet'!$B$9,Paramètres!$A$1:$I$89,3,0)*0.475*44/12</f>
        <v>6.1523811192000446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27.225771088805779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135.89743589743577</v>
      </c>
      <c r="AJ158" s="13">
        <f>AI158*VLOOKUP('Données projet'!$B$10,Paramètres!$A$1:$I$89,3,0)*VLOOKUP('Données projet'!$B$10,Paramètres!$A$1:$I$89,5,0)</f>
        <v>118.71999999999991</v>
      </c>
      <c r="AK158" s="13">
        <f t="shared" si="164"/>
        <v>31.376274241265865</v>
      </c>
      <c r="AL158" s="20">
        <f t="shared" si="165"/>
        <v>261.41767763687125</v>
      </c>
      <c r="AM158" s="59">
        <f t="shared" si="113"/>
        <v>554.75101097020456</v>
      </c>
      <c r="AN158" s="59">
        <f ca="1">AVERAGE(OFFSET($AM$3,0,0,'Données projet'!$E$10+1,1))-AVERAGE(OFFSET($H$3,0,0,'Données projet'!$E$10+1,1))</f>
        <v>74.715815024475376</v>
      </c>
      <c r="AO158" s="59">
        <f t="shared" si="144"/>
        <v>87.801612218507501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5.6673150697115693</v>
      </c>
      <c r="AV158" s="21">
        <f>EXP(-LN(2)/25)*AV157+(1-EXP(-LN(2)/25))/(LN(2)/25)*Calculateur!AQ158*Calculateur!AS158*VLOOKUP('Données projet'!$B$10,Paramètres!$A$1:$I$89,3,0)*0.475*44/12</f>
        <v>1.668393194138146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7.3357082638497157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-6.7984728957526396E-14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212.70058550761718</v>
      </c>
      <c r="T159" s="59">
        <f t="shared" si="142"/>
        <v>208.28274083874896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20.66015364580047</v>
      </c>
      <c r="AA159" s="21">
        <f>EXP(-LN(2)/25)*AA158+(1-EXP(-LN(2)/25))/(LN(2)/25)*Calculateur!V159*Calculateur!X159*VLOOKUP('Données projet'!$B$9,Paramètres!$A$1:$I$89,3,0)*0.475*44/12</f>
        <v>5.984143933955858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26.644297579756326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135.89743589743577</v>
      </c>
      <c r="AJ159" s="13">
        <f>AI159*VLOOKUP('Données projet'!$B$10,Paramètres!$A$1:$I$89,3,0)*VLOOKUP('Données projet'!$B$10,Paramètres!$A$1:$I$89,5,0)</f>
        <v>118.71999999999991</v>
      </c>
      <c r="AK159" s="13">
        <f t="shared" si="164"/>
        <v>31.376274241265865</v>
      </c>
      <c r="AL159" s="20">
        <f t="shared" si="165"/>
        <v>261.41767763687125</v>
      </c>
      <c r="AM159" s="59">
        <f t="shared" si="113"/>
        <v>554.75101097020456</v>
      </c>
      <c r="AN159" s="59">
        <f ca="1">AVERAGE(OFFSET($AM$3,0,0,'Données projet'!$E$10+1,1))-AVERAGE(OFFSET($H$3,0,0,'Données projet'!$E$10+1,1))</f>
        <v>74.715815024475376</v>
      </c>
      <c r="AO159" s="59">
        <f t="shared" si="144"/>
        <v>87.801612218507501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5.556182477915395</v>
      </c>
      <c r="AV159" s="21">
        <f>EXP(-LN(2)/25)*AV158+(1-EXP(-LN(2)/25))/(LN(2)/25)*Calculateur!AQ159*Calculateur!AS159*VLOOKUP('Données projet'!$B$10,Paramètres!$A$1:$I$89,3,0)*0.475*44/12</f>
        <v>1.6227708945074535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7.178953372422848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-6.7984728957526396E-14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212.70058550761718</v>
      </c>
      <c r="T160" s="59">
        <f t="shared" si="142"/>
        <v>208.28274083874896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20.255020634255757</v>
      </c>
      <c r="AA160" s="21">
        <f>EXP(-LN(2)/25)*AA159+(1-EXP(-LN(2)/25))/(LN(2)/25)*Calculateur!V160*Calculateur!X160*VLOOKUP('Données projet'!$B$9,Paramètres!$A$1:$I$89,3,0)*0.475*44/12</f>
        <v>5.8205072033893828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26.07552783764514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135.89743589743577</v>
      </c>
      <c r="AJ160" s="13">
        <f>AI160*VLOOKUP('Données projet'!$B$10,Paramètres!$A$1:$I$89,3,0)*VLOOKUP('Données projet'!$B$10,Paramètres!$A$1:$I$89,5,0)</f>
        <v>118.71999999999991</v>
      </c>
      <c r="AK160" s="13">
        <f t="shared" si="164"/>
        <v>31.376274241265865</v>
      </c>
      <c r="AL160" s="20">
        <f t="shared" si="165"/>
        <v>261.41767763687125</v>
      </c>
      <c r="AM160" s="59">
        <f t="shared" si="113"/>
        <v>554.75101097020456</v>
      </c>
      <c r="AN160" s="59">
        <f ca="1">AVERAGE(OFFSET($AM$3,0,0,'Données projet'!$E$10+1,1))-AVERAGE(OFFSET($H$3,0,0,'Données projet'!$E$10+1,1))</f>
        <v>74.715815024475376</v>
      </c>
      <c r="AO160" s="59">
        <f t="shared" si="144"/>
        <v>87.801612218507501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5.4472291284601555</v>
      </c>
      <c r="AV160" s="21">
        <f>EXP(-LN(2)/25)*AV159+(1-EXP(-LN(2)/25))/(LN(2)/25)*Calculateur!AQ160*Calculateur!AS160*VLOOKUP('Données projet'!$B$10,Paramètres!$A$1:$I$89,3,0)*0.475*44/12</f>
        <v>1.5783961390593346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7.0256252675194899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-6.7984728957526396E-14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212.70058550761718</v>
      </c>
      <c r="T161" s="59">
        <f t="shared" si="142"/>
        <v>208.28274083874896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19.857832033960698</v>
      </c>
      <c r="AA161" s="21">
        <f>EXP(-LN(2)/25)*AA160+(1-EXP(-LN(2)/25))/(LN(2)/25)*Calculateur!V161*Calculateur!X161*VLOOKUP('Données projet'!$B$9,Paramètres!$A$1:$I$89,3,0)*0.475*44/12</f>
        <v>5.6613451278255296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25.519177161786228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135.89743589743577</v>
      </c>
      <c r="AJ161" s="13">
        <f>AI161*VLOOKUP('Données projet'!$B$10,Paramètres!$A$1:$I$89,3,0)*VLOOKUP('Données projet'!$B$10,Paramètres!$A$1:$I$89,5,0)</f>
        <v>118.71999999999991</v>
      </c>
      <c r="AK161" s="13">
        <f t="shared" si="164"/>
        <v>31.376274241265865</v>
      </c>
      <c r="AL161" s="20">
        <f t="shared" si="165"/>
        <v>261.41767763687125</v>
      </c>
      <c r="AM161" s="59">
        <f t="shared" si="113"/>
        <v>554.75101097020456</v>
      </c>
      <c r="AN161" s="59">
        <f ca="1">AVERAGE(OFFSET($AM$3,0,0,'Données projet'!$E$10+1,1))-AVERAGE(OFFSET($H$3,0,0,'Données projet'!$E$10+1,1))</f>
        <v>74.715815024475376</v>
      </c>
      <c r="AO161" s="59">
        <f t="shared" si="144"/>
        <v>87.801612218507501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5.340412287732752</v>
      </c>
      <c r="AV161" s="21">
        <f>EXP(-LN(2)/25)*AV160+(1-EXP(-LN(2)/25))/(LN(2)/25)*Calculateur!AQ161*Calculateur!AS161*VLOOKUP('Données projet'!$B$10,Paramètres!$A$1:$I$89,3,0)*0.475*44/12</f>
        <v>1.5352348136325116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6.8756471013652636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-6.7984728957526396E-14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212.70058550761718</v>
      </c>
      <c r="T162" s="59">
        <f t="shared" si="142"/>
        <v>208.28274083874896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19.468432059856301</v>
      </c>
      <c r="AA162" s="21">
        <f>EXP(-LN(2)/25)*AA161+(1-EXP(-LN(2)/25))/(LN(2)/25)*Calculateur!V162*Calculateur!X162*VLOOKUP('Données projet'!$B$9,Paramètres!$A$1:$I$89,3,0)*0.475*44/12</f>
        <v>5.5065353475879393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24.97496740744424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135.89743589743577</v>
      </c>
      <c r="AJ162" s="13">
        <f>AI162*VLOOKUP('Données projet'!$B$10,Paramètres!$A$1:$I$89,3,0)*VLOOKUP('Données projet'!$B$10,Paramètres!$A$1:$I$89,5,0)</f>
        <v>118.71999999999991</v>
      </c>
      <c r="AK162" s="13">
        <f t="shared" si="164"/>
        <v>31.376274241265865</v>
      </c>
      <c r="AL162" s="20">
        <f t="shared" si="165"/>
        <v>261.41767763687125</v>
      </c>
      <c r="AM162" s="59">
        <f t="shared" si="113"/>
        <v>554.75101097020456</v>
      </c>
      <c r="AN162" s="59">
        <f ca="1">AVERAGE(OFFSET($AM$3,0,0,'Données projet'!$E$10+1,1))-AVERAGE(OFFSET($H$3,0,0,'Données projet'!$E$10+1,1))</f>
        <v>74.715815024475376</v>
      </c>
      <c r="AO162" s="59">
        <f t="shared" si="144"/>
        <v>87.801612218507501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5.2356900601001737</v>
      </c>
      <c r="AV162" s="21">
        <f>EXP(-LN(2)/25)*AV161+(1-EXP(-LN(2)/25))/(LN(2)/25)*Calculateur!AQ162*Calculateur!AS162*VLOOKUP('Données projet'!$B$10,Paramètres!$A$1:$I$89,3,0)*0.475*44/12</f>
        <v>1.4932537369192405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6.7289437970194141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-6.7984728957526396E-14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212.70058550761718</v>
      </c>
      <c r="T163" s="59">
        <f t="shared" si="142"/>
        <v>208.28274083874896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19.086667981733559</v>
      </c>
      <c r="AA163" s="21">
        <f>EXP(-LN(2)/25)*AA162+(1-EXP(-LN(2)/25))/(LN(2)/25)*Calculateur!V163*Calculateur!X163*VLOOKUP('Données projet'!$B$9,Paramètres!$A$1:$I$89,3,0)*0.475*44/12</f>
        <v>5.3559588489320387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24.442626830665596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135.89743589743577</v>
      </c>
      <c r="AJ163" s="13">
        <f>AI163*VLOOKUP('Données projet'!$B$10,Paramètres!$A$1:$I$89,3,0)*VLOOKUP('Données projet'!$B$10,Paramètres!$A$1:$I$89,5,0)</f>
        <v>118.71999999999991</v>
      </c>
      <c r="AK163" s="13">
        <f t="shared" si="164"/>
        <v>31.376274241265865</v>
      </c>
      <c r="AL163" s="20">
        <f t="shared" si="165"/>
        <v>261.41767763687125</v>
      </c>
      <c r="AM163" s="59">
        <f t="shared" si="113"/>
        <v>554.75101097020456</v>
      </c>
      <c r="AN163" s="59">
        <f ca="1">AVERAGE(OFFSET($AM$3,0,0,'Données projet'!$E$10+1,1))-AVERAGE(OFFSET($H$3,0,0,'Données projet'!$E$10+1,1))</f>
        <v>74.715815024475376</v>
      </c>
      <c r="AO163" s="59">
        <f t="shared" si="144"/>
        <v>87.801612218507501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5.1330213714772182</v>
      </c>
      <c r="AV163" s="21">
        <f>EXP(-LN(2)/25)*AV162+(1-EXP(-LN(2)/25))/(LN(2)/25)*Calculateur!AQ163*Calculateur!AS163*VLOOKUP('Données projet'!$B$10,Paramètres!$A$1:$I$89,3,0)*0.475*44/12</f>
        <v>1.4524206349563826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6.5854420064336008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-6.7984728957526396E-14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212.70058550761718</v>
      </c>
      <c r="T164" s="59">
        <f t="shared" si="142"/>
        <v>208.28274083874896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18.712390064329707</v>
      </c>
      <c r="AA164" s="21">
        <f>EXP(-LN(2)/25)*AA163+(1-EXP(-LN(2)/25))/(LN(2)/25)*Calculateur!V164*Calculateur!X164*VLOOKUP('Données projet'!$B$9,Paramètres!$A$1:$I$89,3,0)*0.475*44/12</f>
        <v>5.2094998725503574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23.921889936880063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135.89743589743577</v>
      </c>
      <c r="AJ164" s="13">
        <f>AI164*VLOOKUP('Données projet'!$B$10,Paramètres!$A$1:$I$89,3,0)*VLOOKUP('Données projet'!$B$10,Paramètres!$A$1:$I$89,5,0)</f>
        <v>118.71999999999991</v>
      </c>
      <c r="AK164" s="13">
        <f t="shared" si="164"/>
        <v>31.376274241265865</v>
      </c>
      <c r="AL164" s="20">
        <f t="shared" si="165"/>
        <v>261.41767763687125</v>
      </c>
      <c r="AM164" s="59">
        <f t="shared" si="113"/>
        <v>554.75101097020456</v>
      </c>
      <c r="AN164" s="59">
        <f ca="1">AVERAGE(OFFSET($AM$3,0,0,'Données projet'!$E$10+1,1))-AVERAGE(OFFSET($H$3,0,0,'Données projet'!$E$10+1,1))</f>
        <v>74.715815024475376</v>
      </c>
      <c r="AO164" s="59">
        <f t="shared" si="144"/>
        <v>87.801612218507501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5.0323659532164422</v>
      </c>
      <c r="AV164" s="21">
        <f>EXP(-LN(2)/25)*AV163+(1-EXP(-LN(2)/25))/(LN(2)/25)*Calculateur!AQ164*Calculateur!AS164*VLOOKUP('Données projet'!$B$10,Paramètres!$A$1:$I$89,3,0)*0.475*44/12</f>
        <v>1.4127041163140186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6.4450700695304608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-6.7984728957526396E-14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212.70058550761718</v>
      </c>
      <c r="T165" s="59">
        <f t="shared" si="142"/>
        <v>208.28274083874896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18.345451508599158</v>
      </c>
      <c r="AA165" s="21">
        <f>EXP(-LN(2)/25)*AA164+(1-EXP(-LN(2)/25))/(LN(2)/25)*Calculateur!V165*Calculateur!X165*VLOOKUP('Données projet'!$B$9,Paramètres!$A$1:$I$89,3,0)*0.475*44/12</f>
        <v>5.0670458245797763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23.412497333178933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135.89743589743577</v>
      </c>
      <c r="AJ165" s="13">
        <f>AI165*VLOOKUP('Données projet'!$B$10,Paramètres!$A$1:$I$89,3,0)*VLOOKUP('Données projet'!$B$10,Paramètres!$A$1:$I$89,5,0)</f>
        <v>118.71999999999991</v>
      </c>
      <c r="AK165" s="13">
        <f t="shared" si="164"/>
        <v>31.376274241265865</v>
      </c>
      <c r="AL165" s="20">
        <f t="shared" si="165"/>
        <v>261.41767763687125</v>
      </c>
      <c r="AM165" s="59">
        <f t="shared" si="113"/>
        <v>554.75101097020456</v>
      </c>
      <c r="AN165" s="59">
        <f ca="1">AVERAGE(OFFSET($AM$3,0,0,'Données projet'!$E$10+1,1))-AVERAGE(OFFSET($H$3,0,0,'Données projet'!$E$10+1,1))</f>
        <v>74.715815024475376</v>
      </c>
      <c r="AO165" s="59">
        <f t="shared" si="144"/>
        <v>87.801612218507501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4.9336843263140171</v>
      </c>
      <c r="AV165" s="21">
        <f>EXP(-LN(2)/25)*AV164+(1-EXP(-LN(2)/25))/(LN(2)/25)*Calculateur!AQ165*Calculateur!AS165*VLOOKUP('Données projet'!$B$10,Paramètres!$A$1:$I$89,3,0)*0.475*44/12</f>
        <v>1.3740736479625311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6.3077579742765479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-6.7984728957526396E-14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212.70058550761718</v>
      </c>
      <c r="T166" s="59">
        <f t="shared" si="142"/>
        <v>208.28274083874896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17.985708394136065</v>
      </c>
      <c r="AA166" s="21">
        <f>EXP(-LN(2)/25)*AA165+(1-EXP(-LN(2)/25))/(LN(2)/25)*Calculateur!V166*Calculateur!X166*VLOOKUP('Données projet'!$B$9,Paramètres!$A$1:$I$89,3,0)*0.475*44/12</f>
        <v>4.9284871900422829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22.914195584178348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135.89743589743577</v>
      </c>
      <c r="AJ166" s="13">
        <f>AI166*VLOOKUP('Données projet'!$B$10,Paramètres!$A$1:$I$89,3,0)*VLOOKUP('Données projet'!$B$10,Paramètres!$A$1:$I$89,5,0)</f>
        <v>118.71999999999991</v>
      </c>
      <c r="AK166" s="13">
        <f t="shared" si="164"/>
        <v>31.376274241265865</v>
      </c>
      <c r="AL166" s="20">
        <f t="shared" si="165"/>
        <v>261.41767763687125</v>
      </c>
      <c r="AM166" s="59">
        <f t="shared" si="113"/>
        <v>554.75101097020456</v>
      </c>
      <c r="AN166" s="59">
        <f ca="1">AVERAGE(OFFSET($AM$3,0,0,'Données projet'!$E$10+1,1))-AVERAGE(OFFSET($H$3,0,0,'Données projet'!$E$10+1,1))</f>
        <v>74.715815024475376</v>
      </c>
      <c r="AO166" s="59">
        <f t="shared" si="144"/>
        <v>87.801612218507501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4.8369377859252998</v>
      </c>
      <c r="AV166" s="21">
        <f>EXP(-LN(2)/25)*AV165+(1-EXP(-LN(2)/25))/(LN(2)/25)*Calculateur!AQ166*Calculateur!AS166*VLOOKUP('Données projet'!$B$10,Paramètres!$A$1:$I$89,3,0)*0.475*44/12</f>
        <v>1.3364995317996029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6.1734373177249022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-6.7984728957526396E-14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212.70058550761718</v>
      </c>
      <c r="T167" s="59">
        <f t="shared" si="142"/>
        <v>208.28274083874896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17.633019622725961</v>
      </c>
      <c r="AA167" s="21">
        <f>EXP(-LN(2)/25)*AA166+(1-EXP(-LN(2)/25))/(LN(2)/25)*Calculateur!V167*Calculateur!X167*VLOOKUP('Données projet'!$B$9,Paramètres!$A$1:$I$89,3,0)*0.475*44/12</f>
        <v>4.7937174486526999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22.42673707137866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135.89743589743577</v>
      </c>
      <c r="AJ167" s="13">
        <f>AI167*VLOOKUP('Données projet'!$B$10,Paramètres!$A$1:$I$89,3,0)*VLOOKUP('Données projet'!$B$10,Paramètres!$A$1:$I$89,5,0)</f>
        <v>118.71999999999991</v>
      </c>
      <c r="AK167" s="13">
        <f t="shared" si="164"/>
        <v>31.376274241265865</v>
      </c>
      <c r="AL167" s="20">
        <f t="shared" si="165"/>
        <v>261.41767763687125</v>
      </c>
      <c r="AM167" s="59">
        <f t="shared" si="113"/>
        <v>554.75101097020456</v>
      </c>
      <c r="AN167" s="59">
        <f ca="1">AVERAGE(OFFSET($AM$3,0,0,'Données projet'!$E$10+1,1))-AVERAGE(OFFSET($H$3,0,0,'Données projet'!$E$10+1,1))</f>
        <v>74.715815024475376</v>
      </c>
      <c r="AO167" s="59">
        <f t="shared" si="144"/>
        <v>87.801612218507501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4.7420883861840419</v>
      </c>
      <c r="AV167" s="21">
        <f>EXP(-LN(2)/25)*AV166+(1-EXP(-LN(2)/25))/(LN(2)/25)*Calculateur!AQ167*Calculateur!AS167*VLOOKUP('Données projet'!$B$10,Paramètres!$A$1:$I$89,3,0)*0.475*44/12</f>
        <v>1.2999528818190871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6.0420412680031292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-6.7984728957526396E-14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212.70058550761718</v>
      </c>
      <c r="T168" s="59">
        <f t="shared" si="142"/>
        <v>208.28274083874896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17.287246863004299</v>
      </c>
      <c r="AA168" s="21">
        <f>EXP(-LN(2)/25)*AA167+(1-EXP(-LN(2)/25))/(LN(2)/25)*Calculateur!V168*Calculateur!X168*VLOOKUP('Données projet'!$B$9,Paramètres!$A$1:$I$89,3,0)*0.475*44/12</f>
        <v>4.6626329929286472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21.949879855932945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135.89743589743577</v>
      </c>
      <c r="AJ168" s="13">
        <f>AI168*VLOOKUP('Données projet'!$B$10,Paramètres!$A$1:$I$89,3,0)*VLOOKUP('Données projet'!$B$10,Paramètres!$A$1:$I$89,5,0)</f>
        <v>118.71999999999991</v>
      </c>
      <c r="AK168" s="13">
        <f t="shared" si="164"/>
        <v>31.376274241265865</v>
      </c>
      <c r="AL168" s="20">
        <f t="shared" si="165"/>
        <v>261.41767763687125</v>
      </c>
      <c r="AM168" s="59">
        <f t="shared" si="113"/>
        <v>554.75101097020456</v>
      </c>
      <c r="AN168" s="59">
        <f ca="1">AVERAGE(OFFSET($AM$3,0,0,'Données projet'!$E$10+1,1))-AVERAGE(OFFSET($H$3,0,0,'Données projet'!$E$10+1,1))</f>
        <v>74.715815024475376</v>
      </c>
      <c r="AO168" s="59">
        <f t="shared" si="144"/>
        <v>87.801612218507501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4.6490989253192891</v>
      </c>
      <c r="AV168" s="21">
        <f>EXP(-LN(2)/25)*AV167+(1-EXP(-LN(2)/25))/(LN(2)/25)*Calculateur!AQ168*Calculateur!AS168*VLOOKUP('Données projet'!$B$10,Paramètres!$A$1:$I$89,3,0)*0.475*44/12</f>
        <v>1.2644056019041932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5.9135045272234823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-6.7984728957526396E-14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212.70058550761718</v>
      </c>
      <c r="T169" s="59">
        <f t="shared" si="142"/>
        <v>208.28274083874896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16.948254496200221</v>
      </c>
      <c r="AA169" s="21">
        <f>EXP(-LN(2)/25)*AA168+(1-EXP(-LN(2)/25))/(LN(2)/25)*Calculateur!V169*Calculateur!X169*VLOOKUP('Données projet'!$B$9,Paramètres!$A$1:$I$89,3,0)*0.475*44/12</f>
        <v>4.5351330485398007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21.483387544740022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135.89743589743577</v>
      </c>
      <c r="AJ169" s="13">
        <f>AI169*VLOOKUP('Données projet'!$B$10,Paramètres!$A$1:$I$89,3,0)*VLOOKUP('Données projet'!$B$10,Paramètres!$A$1:$I$89,5,0)</f>
        <v>118.71999999999991</v>
      </c>
      <c r="AK169" s="13">
        <f t="shared" si="164"/>
        <v>31.376274241265865</v>
      </c>
      <c r="AL169" s="20">
        <f t="shared" si="165"/>
        <v>261.41767763687125</v>
      </c>
      <c r="AM169" s="59">
        <f t="shared" si="113"/>
        <v>554.75101097020456</v>
      </c>
      <c r="AN169" s="59">
        <f ca="1">AVERAGE(OFFSET($AM$3,0,0,'Données projet'!$E$10+1,1))-AVERAGE(OFFSET($H$3,0,0,'Données projet'!$E$10+1,1))</f>
        <v>74.715815024475376</v>
      </c>
      <c r="AO169" s="59">
        <f t="shared" si="144"/>
        <v>87.801612218507501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4.5579329310641228</v>
      </c>
      <c r="AV169" s="21">
        <f>EXP(-LN(2)/25)*AV168+(1-EXP(-LN(2)/25))/(LN(2)/25)*Calculateur!AQ169*Calculateur!AS169*VLOOKUP('Données projet'!$B$10,Paramètres!$A$1:$I$89,3,0)*0.475*44/12</f>
        <v>1.2298303642279222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5.787763295292045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-6.7984728957526396E-14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212.70058550761718</v>
      </c>
      <c r="T170" s="59">
        <f t="shared" si="142"/>
        <v>208.28274083874896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16.615909562944243</v>
      </c>
      <c r="AA170" s="21">
        <f>EXP(-LN(2)/25)*AA169+(1-EXP(-LN(2)/25))/(LN(2)/25)*Calculateur!V170*Calculateur!X170*VLOOKUP('Données projet'!$B$9,Paramètres!$A$1:$I$89,3,0)*0.475*44/12</f>
        <v>4.4111195968351984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21.027029159779442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135.89743589743577</v>
      </c>
      <c r="AJ170" s="13">
        <f>AI170*VLOOKUP('Données projet'!$B$10,Paramètres!$A$1:$I$89,3,0)*VLOOKUP('Données projet'!$B$10,Paramètres!$A$1:$I$89,5,0)</f>
        <v>118.71999999999991</v>
      </c>
      <c r="AK170" s="13">
        <f t="shared" si="164"/>
        <v>31.376274241265865</v>
      </c>
      <c r="AL170" s="20">
        <f t="shared" si="165"/>
        <v>261.41767763687125</v>
      </c>
      <c r="AM170" s="59">
        <f t="shared" si="113"/>
        <v>554.75101097020456</v>
      </c>
      <c r="AN170" s="59">
        <f ca="1">AVERAGE(OFFSET($AM$3,0,0,'Données projet'!$E$10+1,1))-AVERAGE(OFFSET($H$3,0,0,'Données projet'!$E$10+1,1))</f>
        <v>74.715815024475376</v>
      </c>
      <c r="AO170" s="59">
        <f t="shared" si="144"/>
        <v>87.801612218507501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4.468554646350535</v>
      </c>
      <c r="AV170" s="21">
        <f>EXP(-LN(2)/25)*AV169+(1-EXP(-LN(2)/25))/(LN(2)/25)*Calculateur!AQ170*Calculateur!AS170*VLOOKUP('Données projet'!$B$10,Paramètres!$A$1:$I$89,3,0)*0.475*44/12</f>
        <v>1.1962005882441418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5.6647552345946766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-6.7984728957526396E-14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212.70058550761718</v>
      </c>
      <c r="T171" s="59">
        <f t="shared" si="142"/>
        <v>208.28274083874896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16.290081711119022</v>
      </c>
      <c r="AA171" s="21">
        <f>EXP(-LN(2)/25)*AA170+(1-EXP(-LN(2)/25))/(LN(2)/25)*Calculateur!V171*Calculateur!X171*VLOOKUP('Données projet'!$B$9,Paramètres!$A$1:$I$89,3,0)*0.475*44/12</f>
        <v>4.2904972994890418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20.580579010608062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135.89743589743577</v>
      </c>
      <c r="AJ171" s="13">
        <f>AI171*VLOOKUP('Données projet'!$B$10,Paramètres!$A$1:$I$89,3,0)*VLOOKUP('Données projet'!$B$10,Paramètres!$A$1:$I$89,5,0)</f>
        <v>118.71999999999991</v>
      </c>
      <c r="AK171" s="13">
        <f t="shared" si="164"/>
        <v>31.376274241265865</v>
      </c>
      <c r="AL171" s="20">
        <f t="shared" si="165"/>
        <v>261.41767763687125</v>
      </c>
      <c r="AM171" s="59">
        <f t="shared" si="113"/>
        <v>554.75101097020456</v>
      </c>
      <c r="AN171" s="59">
        <f ca="1">AVERAGE(OFFSET($AM$3,0,0,'Données projet'!$E$10+1,1))-AVERAGE(OFFSET($H$3,0,0,'Données projet'!$E$10+1,1))</f>
        <v>74.715815024475376</v>
      </c>
      <c r="AO171" s="59">
        <f t="shared" si="144"/>
        <v>87.801612218507501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4.3809290152848099</v>
      </c>
      <c r="AV171" s="21">
        <f>EXP(-LN(2)/25)*AV170+(1-EXP(-LN(2)/25))/(LN(2)/25)*Calculateur!AQ171*Calculateur!AS171*VLOOKUP('Données projet'!$B$10,Paramètres!$A$1:$I$89,3,0)*0.475*44/12</f>
        <v>1.1634904202531506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5.5444194355379608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-6.7984728957526396E-14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212.70058550761718</v>
      </c>
      <c r="T172" s="59">
        <f t="shared" si="142"/>
        <v>208.28274083874896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15.970643144732726</v>
      </c>
      <c r="AA172" s="21">
        <f>EXP(-LN(2)/25)*AA171+(1-EXP(-LN(2)/25))/(LN(2)/25)*Calculateur!V172*Calculateur!X172*VLOOKUP('Données projet'!$B$9,Paramètres!$A$1:$I$89,3,0)*0.475*44/12</f>
        <v>4.1731734252070671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20.143816569939794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135.89743589743577</v>
      </c>
      <c r="AJ172" s="13">
        <f>AI172*VLOOKUP('Données projet'!$B$10,Paramètres!$A$1:$I$89,3,0)*VLOOKUP('Données projet'!$B$10,Paramètres!$A$1:$I$89,5,0)</f>
        <v>118.71999999999991</v>
      </c>
      <c r="AK172" s="13">
        <f t="shared" si="164"/>
        <v>31.376274241265865</v>
      </c>
      <c r="AL172" s="20">
        <f t="shared" si="165"/>
        <v>261.41767763687125</v>
      </c>
      <c r="AM172" s="59">
        <f t="shared" si="113"/>
        <v>554.75101097020456</v>
      </c>
      <c r="AN172" s="59">
        <f ca="1">AVERAGE(OFFSET($AM$3,0,0,'Données projet'!$E$10+1,1))-AVERAGE(OFFSET($H$3,0,0,'Données projet'!$E$10+1,1))</f>
        <v>74.715815024475376</v>
      </c>
      <c r="AO172" s="59">
        <f t="shared" si="144"/>
        <v>87.801612218507501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4.2950216693979257</v>
      </c>
      <c r="AV172" s="21">
        <f>EXP(-LN(2)/25)*AV171+(1-EXP(-LN(2)/25))/(LN(2)/25)*Calculateur!AQ172*Calculateur!AS172*VLOOKUP('Données projet'!$B$10,Paramètres!$A$1:$I$89,3,0)*0.475*44/12</f>
        <v>1.1316747135260263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5.4266963829239518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-6.7984728957526396E-14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212.70058550761718</v>
      </c>
      <c r="T173" s="59">
        <f t="shared" si="142"/>
        <v>208.28274083874896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15.657468573794979</v>
      </c>
      <c r="AA173" s="21">
        <f>EXP(-LN(2)/25)*AA172+(1-EXP(-LN(2)/25))/(LN(2)/25)*Calculateur!V173*Calculateur!X173*VLOOKUP('Données projet'!$B$9,Paramètres!$A$1:$I$89,3,0)*0.475*44/12</f>
        <v>4.0590577784371273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19.716526352232108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135.89743589743577</v>
      </c>
      <c r="AJ173" s="13">
        <f>AI173*VLOOKUP('Données projet'!$B$10,Paramètres!$A$1:$I$89,3,0)*VLOOKUP('Données projet'!$B$10,Paramètres!$A$1:$I$89,5,0)</f>
        <v>118.71999999999991</v>
      </c>
      <c r="AK173" s="13">
        <f t="shared" si="164"/>
        <v>31.376274241265865</v>
      </c>
      <c r="AL173" s="20">
        <f t="shared" si="165"/>
        <v>261.41767763687125</v>
      </c>
      <c r="AM173" s="59">
        <f t="shared" si="113"/>
        <v>554.75101097020456</v>
      </c>
      <c r="AN173" s="59">
        <f ca="1">AVERAGE(OFFSET($AM$3,0,0,'Données projet'!$E$10+1,1))-AVERAGE(OFFSET($H$3,0,0,'Données projet'!$E$10+1,1))</f>
        <v>74.715815024475376</v>
      </c>
      <c r="AO173" s="59">
        <f t="shared" si="144"/>
        <v>87.801612218507501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4.2107989141655766</v>
      </c>
      <c r="AV173" s="21">
        <f>EXP(-LN(2)/25)*AV172+(1-EXP(-LN(2)/25))/(LN(2)/25)*Calculateur!AQ173*Calculateur!AS173*VLOOKUP('Données projet'!$B$10,Paramètres!$A$1:$I$89,3,0)*0.475*44/12</f>
        <v>1.1007290089724704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5.3115279231380468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-6.7984728957526396E-14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212.70058550761718</v>
      </c>
      <c r="T174" s="59">
        <f t="shared" si="142"/>
        <v>208.28274083874896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15.350435165175695</v>
      </c>
      <c r="AA174" s="21">
        <f>EXP(-LN(2)/25)*AA173+(1-EXP(-LN(2)/25))/(LN(2)/25)*Calculateur!V174*Calculateur!X174*VLOOKUP('Données projet'!$B$9,Paramètres!$A$1:$I$89,3,0)*0.475*44/12</f>
        <v>3.9480626300291926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19.298497795204888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135.89743589743577</v>
      </c>
      <c r="AJ174" s="13">
        <f>AI174*VLOOKUP('Données projet'!$B$10,Paramètres!$A$1:$I$89,3,0)*VLOOKUP('Données projet'!$B$10,Paramètres!$A$1:$I$89,5,0)</f>
        <v>118.71999999999991</v>
      </c>
      <c r="AK174" s="13">
        <f t="shared" si="164"/>
        <v>31.376274241265865</v>
      </c>
      <c r="AL174" s="20">
        <f t="shared" si="165"/>
        <v>261.41767763687125</v>
      </c>
      <c r="AM174" s="59">
        <f t="shared" si="113"/>
        <v>554.75101097020456</v>
      </c>
      <c r="AN174" s="59">
        <f ca="1">AVERAGE(OFFSET($AM$3,0,0,'Données projet'!$E$10+1,1))-AVERAGE(OFFSET($H$3,0,0,'Données projet'!$E$10+1,1))</f>
        <v>74.715815024475376</v>
      </c>
      <c r="AO174" s="59">
        <f t="shared" si="144"/>
        <v>87.801612218507501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4.1282277157925256</v>
      </c>
      <c r="AV174" s="21">
        <f>EXP(-LN(2)/25)*AV173+(1-EXP(-LN(2)/25))/(LN(2)/25)*Calculateur!AQ174*Calculateur!AS174*VLOOKUP('Données projet'!$B$10,Paramètres!$A$1:$I$89,3,0)*0.475*44/12</f>
        <v>1.0706295163372954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5.1988572321298214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-6.7984728957526396E-14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212.70058550761718</v>
      </c>
      <c r="T175" s="59">
        <f t="shared" si="142"/>
        <v>208.28274083874896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15.049422494427546</v>
      </c>
      <c r="AA175" s="21">
        <f>EXP(-LN(2)/25)*AA174+(1-EXP(-LN(2)/25))/(LN(2)/25)*Calculateur!V175*Calculateur!X175*VLOOKUP('Données projet'!$B$9,Paramètres!$A$1:$I$89,3,0)*0.475*44/12</f>
        <v>3.8401026497914539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18.889525144219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135.89743589743577</v>
      </c>
      <c r="AJ175" s="13">
        <f>AI175*VLOOKUP('Données projet'!$B$10,Paramètres!$A$1:$I$89,3,0)*VLOOKUP('Données projet'!$B$10,Paramètres!$A$1:$I$89,5,0)</f>
        <v>118.71999999999991</v>
      </c>
      <c r="AK175" s="13">
        <f t="shared" si="164"/>
        <v>31.376274241265865</v>
      </c>
      <c r="AL175" s="20">
        <f t="shared" si="165"/>
        <v>261.41767763687125</v>
      </c>
      <c r="AM175" s="59">
        <f t="shared" si="113"/>
        <v>554.75101097020456</v>
      </c>
      <c r="AN175" s="59">
        <f ca="1">AVERAGE(OFFSET($AM$3,0,0,'Données projet'!$E$10+1,1))-AVERAGE(OFFSET($H$3,0,0,'Données projet'!$E$10+1,1))</f>
        <v>74.715815024475376</v>
      </c>
      <c r="AO175" s="59">
        <f t="shared" si="144"/>
        <v>87.801612218507501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4.0472756882561116</v>
      </c>
      <c r="AV175" s="21">
        <f>EXP(-LN(2)/25)*AV174+(1-EXP(-LN(2)/25))/(LN(2)/25)*Calculateur!AQ175*Calculateur!AS175*VLOOKUP('Données projet'!$B$10,Paramètres!$A$1:$I$89,3,0)*0.475*44/12</f>
        <v>1.0413530959110928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5.088628784167204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-6.7984728957526396E-14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212.70058550761718</v>
      </c>
      <c r="T176" s="59">
        <f t="shared" si="142"/>
        <v>208.28274083874896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14.754312498553169</v>
      </c>
      <c r="AA176" s="21">
        <f>EXP(-LN(2)/25)*AA175+(1-EXP(-LN(2)/25))/(LN(2)/25)*Calculateur!V176*Calculateur!X176*VLOOKUP('Données projet'!$B$9,Paramètres!$A$1:$I$89,3,0)*0.475*44/12</f>
        <v>3.7350948408906848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18.489407339443854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135.89743589743577</v>
      </c>
      <c r="AJ176" s="13">
        <f>AI176*VLOOKUP('Données projet'!$B$10,Paramètres!$A$1:$I$89,3,0)*VLOOKUP('Données projet'!$B$10,Paramètres!$A$1:$I$89,5,0)</f>
        <v>118.71999999999991</v>
      </c>
      <c r="AK176" s="13">
        <f t="shared" si="164"/>
        <v>31.376274241265865</v>
      </c>
      <c r="AL176" s="20">
        <f t="shared" si="165"/>
        <v>261.41767763687125</v>
      </c>
      <c r="AM176" s="59">
        <f t="shared" si="113"/>
        <v>554.75101097020456</v>
      </c>
      <c r="AN176" s="59">
        <f ca="1">AVERAGE(OFFSET($AM$3,0,0,'Données projet'!$E$10+1,1))-AVERAGE(OFFSET($H$3,0,0,'Données projet'!$E$10+1,1))</f>
        <v>74.715815024475376</v>
      </c>
      <c r="AO176" s="59">
        <f t="shared" si="144"/>
        <v>87.801612218507501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3.9679110806038258</v>
      </c>
      <c r="AV176" s="21">
        <f>EXP(-LN(2)/25)*AV175+(1-EXP(-LN(2)/25))/(LN(2)/25)*Calculateur!AQ176*Calculateur!AS176*VLOOKUP('Données projet'!$B$10,Paramètres!$A$1:$I$89,3,0)*0.475*44/12</f>
        <v>1.0128772407410247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4.9807883213448507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-6.7984728957526396E-14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212.70058550761718</v>
      </c>
      <c r="T177" s="59">
        <f t="shared" si="142"/>
        <v>208.28274083874896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14.464989429698564</v>
      </c>
      <c r="AA177" s="21">
        <f>EXP(-LN(2)/25)*AA176+(1-EXP(-LN(2)/25))/(LN(2)/25)*Calculateur!V177*Calculateur!X177*VLOOKUP('Données projet'!$B$9,Paramètres!$A$1:$I$89,3,0)*0.475*44/12</f>
        <v>3.632958476046428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18.097947905744991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135.89743589743577</v>
      </c>
      <c r="AJ177" s="13">
        <f>AI177*VLOOKUP('Données projet'!$B$10,Paramètres!$A$1:$I$89,3,0)*VLOOKUP('Données projet'!$B$10,Paramètres!$A$1:$I$89,5,0)</f>
        <v>118.71999999999991</v>
      </c>
      <c r="AK177" s="13">
        <f t="shared" si="164"/>
        <v>31.376274241265865</v>
      </c>
      <c r="AL177" s="20">
        <f t="shared" si="165"/>
        <v>261.41767763687125</v>
      </c>
      <c r="AM177" s="59">
        <f t="shared" si="113"/>
        <v>554.75101097020456</v>
      </c>
      <c r="AN177" s="59">
        <f ca="1">AVERAGE(OFFSET($AM$3,0,0,'Données projet'!$E$10+1,1))-AVERAGE(OFFSET($H$3,0,0,'Données projet'!$E$10+1,1))</f>
        <v>74.715815024475376</v>
      </c>
      <c r="AO177" s="59">
        <f t="shared" si="144"/>
        <v>87.801612218507501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3.8901027644999702</v>
      </c>
      <c r="AV177" s="21">
        <f>EXP(-LN(2)/25)*AV176+(1-EXP(-LN(2)/25))/(LN(2)/25)*Calculateur!AQ177*Calculateur!AS177*VLOOKUP('Données projet'!$B$10,Paramètres!$A$1:$I$89,3,0)*0.475*44/12</f>
        <v>0.9851800593280623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4.8752828238280328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-6.7984728957526396E-14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212.70058550761718</v>
      </c>
      <c r="T178" s="59">
        <f t="shared" si="142"/>
        <v>208.28274083874896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14.181339809754551</v>
      </c>
      <c r="AA178" s="21">
        <f>EXP(-LN(2)/25)*AA177+(1-EXP(-LN(2)/25))/(LN(2)/25)*Calculateur!V178*Calculateur!X178*VLOOKUP('Données projet'!$B$9,Paramètres!$A$1:$I$89,3,0)*0.475*44/12</f>
        <v>3.5336150354699556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17.714954845224508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135.89743589743577</v>
      </c>
      <c r="AJ178" s="13">
        <f>AI178*VLOOKUP('Données projet'!$B$10,Paramètres!$A$1:$I$89,3,0)*VLOOKUP('Données projet'!$B$10,Paramètres!$A$1:$I$89,5,0)</f>
        <v>118.71999999999991</v>
      </c>
      <c r="AK178" s="13">
        <f t="shared" si="164"/>
        <v>31.376274241265865</v>
      </c>
      <c r="AL178" s="20">
        <f t="shared" si="165"/>
        <v>261.41767763687125</v>
      </c>
      <c r="AM178" s="59">
        <f t="shared" si="113"/>
        <v>554.75101097020456</v>
      </c>
      <c r="AN178" s="59">
        <f ca="1">AVERAGE(OFFSET($AM$3,0,0,'Données projet'!$E$10+1,1))-AVERAGE(OFFSET($H$3,0,0,'Données projet'!$E$10+1,1))</f>
        <v>74.715815024475376</v>
      </c>
      <c r="AO178" s="59">
        <f t="shared" si="144"/>
        <v>87.801612218507501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3.8138202220165245</v>
      </c>
      <c r="AV178" s="21">
        <f>EXP(-LN(2)/25)*AV177+(1-EXP(-LN(2)/25))/(LN(2)/25)*Calculateur!AQ178*Calculateur!AS178*VLOOKUP('Données projet'!$B$10,Paramètres!$A$1:$I$89,3,0)*0.475*44/12</f>
        <v>0.95824025879736874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4.7720604808138933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-6.7984728957526396E-14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212.70058550761718</v>
      </c>
      <c r="T179" s="59">
        <f t="shared" si="142"/>
        <v>208.28274083874896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13.903252385848456</v>
      </c>
      <c r="AA179" s="21">
        <f>EXP(-LN(2)/25)*AA178+(1-EXP(-LN(2)/25))/(LN(2)/25)*Calculateur!V179*Calculateur!X179*VLOOKUP('Données projet'!$B$9,Paramètres!$A$1:$I$89,3,0)*0.475*44/12</f>
        <v>3.4369881465002909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17.340240532348748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135.89743589743577</v>
      </c>
      <c r="AJ179" s="13">
        <f>AI179*VLOOKUP('Données projet'!$B$10,Paramètres!$A$1:$I$89,3,0)*VLOOKUP('Données projet'!$B$10,Paramètres!$A$1:$I$89,5,0)</f>
        <v>118.71999999999991</v>
      </c>
      <c r="AK179" s="13">
        <f t="shared" si="164"/>
        <v>31.376274241265865</v>
      </c>
      <c r="AL179" s="20">
        <f t="shared" si="165"/>
        <v>261.41767763687125</v>
      </c>
      <c r="AM179" s="59">
        <f t="shared" si="113"/>
        <v>554.75101097020456</v>
      </c>
      <c r="AN179" s="59">
        <f ca="1">AVERAGE(OFFSET($AM$3,0,0,'Données projet'!$E$10+1,1))-AVERAGE(OFFSET($H$3,0,0,'Données projet'!$E$10+1,1))</f>
        <v>74.715815024475376</v>
      </c>
      <c r="AO179" s="59">
        <f t="shared" si="144"/>
        <v>87.801612218507501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3.7390335336634228</v>
      </c>
      <c r="AV179" s="21">
        <f>EXP(-LN(2)/25)*AV178+(1-EXP(-LN(2)/25))/(LN(2)/25)*Calculateur!AQ179*Calculateur!AS179*VLOOKUP('Données projet'!$B$10,Paramètres!$A$1:$I$89,3,0)*0.475*44/12</f>
        <v>0.93203712852888954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4.6710706621923119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-6.7984728957526396E-14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212.70058550761718</v>
      </c>
      <c r="T180" s="59">
        <f t="shared" si="142"/>
        <v>208.28274083874896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13.630618086708578</v>
      </c>
      <c r="AA180" s="21">
        <f>EXP(-LN(2)/25)*AA179+(1-EXP(-LN(2)/25))/(LN(2)/25)*Calculateur!V180*Calculateur!X180*VLOOKUP('Données projet'!$B$9,Paramètres!$A$1:$I$89,3,0)*0.475*44/12</f>
        <v>3.3430035248908894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16.973621611599469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135.89743589743577</v>
      </c>
      <c r="AJ180" s="13">
        <f>AI180*VLOOKUP('Données projet'!$B$10,Paramètres!$A$1:$I$89,3,0)*VLOOKUP('Données projet'!$B$10,Paramètres!$A$1:$I$89,5,0)</f>
        <v>118.71999999999991</v>
      </c>
      <c r="AK180" s="13">
        <f t="shared" si="164"/>
        <v>31.376274241265865</v>
      </c>
      <c r="AL180" s="20">
        <f t="shared" si="165"/>
        <v>261.41767763687125</v>
      </c>
      <c r="AM180" s="59">
        <f t="shared" si="113"/>
        <v>554.75101097020456</v>
      </c>
      <c r="AN180" s="59">
        <f ca="1">AVERAGE(OFFSET($AM$3,0,0,'Données projet'!$E$10+1,1))-AVERAGE(OFFSET($H$3,0,0,'Données projet'!$E$10+1,1))</f>
        <v>74.715815024475376</v>
      </c>
      <c r="AO180" s="59">
        <f t="shared" si="144"/>
        <v>87.801612218507501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3.6657133666535495</v>
      </c>
      <c r="AV180" s="21">
        <f>EXP(-LN(2)/25)*AV179+(1-EXP(-LN(2)/25))/(LN(2)/25)*Calculateur!AQ180*Calculateur!AS180*VLOOKUP('Données projet'!$B$10,Paramètres!$A$1:$I$89,3,0)*0.475*44/12</f>
        <v>0.9065505242355647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4.572263890889114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-6.7984728957526396E-14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212.70058550761718</v>
      </c>
      <c r="T181" s="59">
        <f t="shared" si="142"/>
        <v>208.28274083874896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13.36332997988433</v>
      </c>
      <c r="AA181" s="21">
        <f>EXP(-LN(2)/25)*AA180+(1-EXP(-LN(2)/25))/(LN(2)/25)*Calculateur!V181*Calculateur!X181*VLOOKUP('Données projet'!$B$9,Paramètres!$A$1:$I$89,3,0)*0.475*44/12</f>
        <v>3.2515889177018331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16.614918897586165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135.89743589743577</v>
      </c>
      <c r="AJ181" s="13">
        <f>AI181*VLOOKUP('Données projet'!$B$10,Paramètres!$A$1:$I$89,3,0)*VLOOKUP('Données projet'!$B$10,Paramètres!$A$1:$I$89,5,0)</f>
        <v>118.71999999999991</v>
      </c>
      <c r="AK181" s="13">
        <f t="shared" si="164"/>
        <v>31.376274241265865</v>
      </c>
      <c r="AL181" s="20">
        <f t="shared" si="165"/>
        <v>261.41767763687125</v>
      </c>
      <c r="AM181" s="59">
        <f t="shared" si="113"/>
        <v>554.75101097020456</v>
      </c>
      <c r="AN181" s="59">
        <f ca="1">AVERAGE(OFFSET($AM$3,0,0,'Données projet'!$E$10+1,1))-AVERAGE(OFFSET($H$3,0,0,'Données projet'!$E$10+1,1))</f>
        <v>74.715815024475376</v>
      </c>
      <c r="AO181" s="59">
        <f t="shared" si="144"/>
        <v>87.801612218507501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3.593830963397854</v>
      </c>
      <c r="AV181" s="21">
        <f>EXP(-LN(2)/25)*AV180+(1-EXP(-LN(2)/25))/(LN(2)/25)*Calculateur!AQ181*Calculateur!AS181*VLOOKUP('Données projet'!$B$10,Paramètres!$A$1:$I$89,3,0)*0.475*44/12</f>
        <v>0.88176085247692304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4.4755918158747772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-6.7984728957526396E-14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212.70058550761718</v>
      </c>
      <c r="T182" s="59">
        <f t="shared" si="142"/>
        <v>208.28274083874896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13.10128322980526</v>
      </c>
      <c r="AA182" s="21">
        <f>EXP(-LN(2)/25)*AA181+(1-EXP(-LN(2)/25))/(LN(2)/25)*Calculateur!V182*Calculateur!X182*VLOOKUP('Données projet'!$B$9,Paramètres!$A$1:$I$89,3,0)*0.475*44/12</f>
        <v>3.1626740477536468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16.263957277558905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135.89743589743577</v>
      </c>
      <c r="AJ182" s="13">
        <f>AI182*VLOOKUP('Données projet'!$B$10,Paramètres!$A$1:$I$89,3,0)*VLOOKUP('Données projet'!$B$10,Paramètres!$A$1:$I$89,5,0)</f>
        <v>118.71999999999991</v>
      </c>
      <c r="AK182" s="13">
        <f t="shared" si="164"/>
        <v>31.376274241265865</v>
      </c>
      <c r="AL182" s="20">
        <f t="shared" si="165"/>
        <v>261.41767763687125</v>
      </c>
      <c r="AM182" s="59">
        <f t="shared" si="113"/>
        <v>554.75101097020456</v>
      </c>
      <c r="AN182" s="59">
        <f ca="1">AVERAGE(OFFSET($AM$3,0,0,'Données projet'!$E$10+1,1))-AVERAGE(OFFSET($H$3,0,0,'Données projet'!$E$10+1,1))</f>
        <v>74.715815024475376</v>
      </c>
      <c r="AO182" s="59">
        <f t="shared" si="144"/>
        <v>87.801612218507501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3.5233581302260659</v>
      </c>
      <c r="AV182" s="21">
        <f>EXP(-LN(2)/25)*AV181+(1-EXP(-LN(2)/25))/(LN(2)/25)*Calculateur!AQ182*Calculateur!AS182*VLOOKUP('Données projet'!$B$10,Paramètres!$A$1:$I$89,3,0)*0.475*44/12</f>
        <v>0.85764905559615368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4.3810071858222193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-6.7984728957526396E-14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212.70058550761718</v>
      </c>
      <c r="T183" s="59">
        <f t="shared" si="142"/>
        <v>208.28274083874896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12.844375056662503</v>
      </c>
      <c r="AA183" s="21">
        <f>EXP(-LN(2)/25)*AA182+(1-EXP(-LN(2)/25))/(LN(2)/25)*Calculateur!V183*Calculateur!X183*VLOOKUP('Données projet'!$B$9,Paramètres!$A$1:$I$89,3,0)*0.475*44/12</f>
        <v>3.0761905596000236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15.920565616262527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135.89743589743577</v>
      </c>
      <c r="AJ183" s="13">
        <f>AI183*VLOOKUP('Données projet'!$B$10,Paramètres!$A$1:$I$89,3,0)*VLOOKUP('Données projet'!$B$10,Paramètres!$A$1:$I$89,5,0)</f>
        <v>118.71999999999991</v>
      </c>
      <c r="AK183" s="13">
        <f t="shared" si="164"/>
        <v>31.376274241265865</v>
      </c>
      <c r="AL183" s="20">
        <f t="shared" si="165"/>
        <v>261.41767763687125</v>
      </c>
      <c r="AM183" s="59">
        <f t="shared" si="113"/>
        <v>554.75101097020456</v>
      </c>
      <c r="AN183" s="59">
        <f ca="1">AVERAGE(OFFSET($AM$3,0,0,'Données projet'!$E$10+1,1))-AVERAGE(OFFSET($H$3,0,0,'Données projet'!$E$10+1,1))</f>
        <v>74.715815024475376</v>
      </c>
      <c r="AO183" s="59">
        <f t="shared" si="144"/>
        <v>87.801612218507501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3.4542672263285925</v>
      </c>
      <c r="AV183" s="21">
        <f>EXP(-LN(2)/25)*AV182+(1-EXP(-LN(2)/25))/(LN(2)/25)*Calculateur!AQ183*Calculateur!AS183*VLOOKUP('Données projet'!$B$10,Paramètres!$A$1:$I$89,3,0)*0.475*44/12</f>
        <v>0.83419659706907323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4.2884638233976657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-6.7984728957526396E-14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212.70058550761718</v>
      </c>
      <c r="T184" s="59">
        <f t="shared" si="142"/>
        <v>208.28274083874896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12.592504696096563</v>
      </c>
      <c r="AA184" s="21">
        <f>EXP(-LN(2)/25)*AA183+(1-EXP(-LN(2)/25))/(LN(2)/25)*Calculateur!V184*Calculateur!X184*VLOOKUP('Données projet'!$B$9,Paramètres!$A$1:$I$89,3,0)*0.475*44/12</f>
        <v>2.9920719669779303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15.584576663074493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135.89743589743577</v>
      </c>
      <c r="AJ184" s="13">
        <f>AI184*VLOOKUP('Données projet'!$B$10,Paramètres!$A$1:$I$89,3,0)*VLOOKUP('Données projet'!$B$10,Paramètres!$A$1:$I$89,5,0)</f>
        <v>118.71999999999991</v>
      </c>
      <c r="AK184" s="13">
        <f t="shared" si="164"/>
        <v>31.376274241265865</v>
      </c>
      <c r="AL184" s="20">
        <f t="shared" si="165"/>
        <v>261.41767763687125</v>
      </c>
      <c r="AM184" s="59">
        <f t="shared" si="113"/>
        <v>554.75101097020456</v>
      </c>
      <c r="AN184" s="59">
        <f ca="1">AVERAGE(OFFSET($AM$3,0,0,'Données projet'!$E$10+1,1))-AVERAGE(OFFSET($H$3,0,0,'Données projet'!$E$10+1,1))</f>
        <v>74.715815024475376</v>
      </c>
      <c r="AO184" s="59">
        <f t="shared" si="144"/>
        <v>87.801612218507501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3.3865311529152584</v>
      </c>
      <c r="AV184" s="21">
        <f>EXP(-LN(2)/25)*AV183+(1-EXP(-LN(2)/25))/(LN(2)/25)*Calculateur!AQ184*Calculateur!AS184*VLOOKUP('Données projet'!$B$10,Paramètres!$A$1:$I$89,3,0)*0.475*44/12</f>
        <v>0.81138544725372697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4.1979166001689858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-6.7984728957526396E-14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212.70058550761718</v>
      </c>
      <c r="T185" s="59">
        <f t="shared" si="142"/>
        <v>208.28274083874896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12.345573359675571</v>
      </c>
      <c r="AA185" s="21">
        <f>EXP(-LN(2)/25)*AA184+(1-EXP(-LN(2)/25))/(LN(2)/25)*Calculateur!V185*Calculateur!X185*VLOOKUP('Données projet'!$B$9,Paramètres!$A$1:$I$89,3,0)*0.475*44/12</f>
        <v>2.9102536016946927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15.255826961370264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135.89743589743577</v>
      </c>
      <c r="AJ185" s="13">
        <f>AI185*VLOOKUP('Données projet'!$B$10,Paramètres!$A$1:$I$89,3,0)*VLOOKUP('Données projet'!$B$10,Paramètres!$A$1:$I$89,5,0)</f>
        <v>118.71999999999991</v>
      </c>
      <c r="AK185" s="13">
        <f t="shared" si="164"/>
        <v>31.376274241265865</v>
      </c>
      <c r="AL185" s="20">
        <f t="shared" si="165"/>
        <v>261.41767763687125</v>
      </c>
      <c r="AM185" s="59">
        <f t="shared" si="113"/>
        <v>554.75101097020456</v>
      </c>
      <c r="AN185" s="59">
        <f ca="1">AVERAGE(OFFSET($AM$3,0,0,'Données projet'!$E$10+1,1))-AVERAGE(OFFSET($H$3,0,0,'Données projet'!$E$10+1,1))</f>
        <v>74.715815024475376</v>
      </c>
      <c r="AO185" s="59">
        <f t="shared" si="144"/>
        <v>87.801612218507501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3.3201233425866343</v>
      </c>
      <c r="AV185" s="21">
        <f>EXP(-LN(2)/25)*AV184+(1-EXP(-LN(2)/25))/(LN(2)/25)*Calculateur!AQ185*Calculateur!AS185*VLOOKUP('Données projet'!$B$10,Paramètres!$A$1:$I$89,3,0)*0.475*44/12</f>
        <v>0.78919806952966753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4.1093214121163015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-6.7984728957526396E-14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212.70058550761718</v>
      </c>
      <c r="T186" s="59">
        <f t="shared" si="142"/>
        <v>208.28274083874896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12.103484196148552</v>
      </c>
      <c r="AA186" s="21">
        <f>EXP(-LN(2)/25)*AA185+(1-EXP(-LN(2)/25))/(LN(2)/25)*Calculateur!V186*Calculateur!X186*VLOOKUP('Données projet'!$B$9,Paramètres!$A$1:$I$89,3,0)*0.475*44/12</f>
        <v>2.8306725639127661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14.934156760061317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135.89743589743577</v>
      </c>
      <c r="AJ186" s="13">
        <f>AI186*VLOOKUP('Données projet'!$B$10,Paramètres!$A$1:$I$89,3,0)*VLOOKUP('Données projet'!$B$10,Paramètres!$A$1:$I$89,5,0)</f>
        <v>118.71999999999991</v>
      </c>
      <c r="AK186" s="13">
        <f t="shared" si="164"/>
        <v>31.376274241265865</v>
      </c>
      <c r="AL186" s="20">
        <f t="shared" si="165"/>
        <v>261.41767763687125</v>
      </c>
      <c r="AM186" s="59">
        <f t="shared" si="113"/>
        <v>554.75101097020456</v>
      </c>
      <c r="AN186" s="59">
        <f ca="1">AVERAGE(OFFSET($AM$3,0,0,'Données projet'!$E$10+1,1))-AVERAGE(OFFSET($H$3,0,0,'Données projet'!$E$10+1,1))</f>
        <v>74.715815024475376</v>
      </c>
      <c r="AO186" s="59">
        <f t="shared" si="144"/>
        <v>87.801612218507501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3.2550177489137897</v>
      </c>
      <c r="AV186" s="21">
        <f>EXP(-LN(2)/25)*AV185+(1-EXP(-LN(2)/25))/(LN(2)/25)*Calculateur!AQ186*Calculateur!AS186*VLOOKUP('Données projet'!$B$10,Paramètres!$A$1:$I$89,3,0)*0.475*44/12</f>
        <v>0.76761740681625601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4.0226351557300459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-6.7984728957526396E-14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212.70058550761718</v>
      </c>
      <c r="T187" s="59">
        <f t="shared" si="142"/>
        <v>208.28274083874896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11.866142253458486</v>
      </c>
      <c r="AA187" s="21">
        <f>EXP(-LN(2)/25)*AA186+(1-EXP(-LN(2)/25))/(LN(2)/25)*Calculateur!V187*Calculateur!X187*VLOOKUP('Données projet'!$B$9,Paramètres!$A$1:$I$89,3,0)*0.475*44/12</f>
        <v>2.753267673793971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14.619409927252457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135.89743589743577</v>
      </c>
      <c r="AJ187" s="13">
        <f>AI187*VLOOKUP('Données projet'!$B$10,Paramètres!$A$1:$I$89,3,0)*VLOOKUP('Données projet'!$B$10,Paramètres!$A$1:$I$89,5,0)</f>
        <v>118.71999999999991</v>
      </c>
      <c r="AK187" s="13">
        <f t="shared" si="164"/>
        <v>31.376274241265865</v>
      </c>
      <c r="AL187" s="20">
        <f t="shared" si="165"/>
        <v>261.41767763687125</v>
      </c>
      <c r="AM187" s="59">
        <f t="shared" si="113"/>
        <v>554.75101097020456</v>
      </c>
      <c r="AN187" s="59">
        <f ca="1">AVERAGE(OFFSET($AM$3,0,0,'Données projet'!$E$10+1,1))-AVERAGE(OFFSET($H$3,0,0,'Données projet'!$E$10+1,1))</f>
        <v>74.715815024475376</v>
      </c>
      <c r="AO187" s="59">
        <f t="shared" si="144"/>
        <v>87.801612218507501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3.1911888362223788</v>
      </c>
      <c r="AV187" s="21">
        <f>EXP(-LN(2)/25)*AV186+(1-EXP(-LN(2)/25))/(LN(2)/25)*Calculateur!AQ187*Calculateur!AS187*VLOOKUP('Données projet'!$B$10,Paramètres!$A$1:$I$89,3,0)*0.475*44/12</f>
        <v>0.74662686845962045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3.9378157046819995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-6.7984728957526396E-14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212.70058550761718</v>
      </c>
      <c r="T188" s="59">
        <f t="shared" si="142"/>
        <v>208.28274083874896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11.633454441500284</v>
      </c>
      <c r="AA188" s="21">
        <f>EXP(-LN(2)/25)*AA187+(1-EXP(-LN(2)/25))/(LN(2)/25)*Calculateur!V188*Calculateur!X188*VLOOKUP('Données projet'!$B$9,Paramètres!$A$1:$I$89,3,0)*0.475*44/12</f>
        <v>2.6779794244660207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14.311433865966304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135.89743589743577</v>
      </c>
      <c r="AJ188" s="13">
        <f>AI188*VLOOKUP('Données projet'!$B$10,Paramètres!$A$1:$I$89,3,0)*VLOOKUP('Données projet'!$B$10,Paramètres!$A$1:$I$89,5,0)</f>
        <v>118.71999999999991</v>
      </c>
      <c r="AK188" s="13">
        <f t="shared" si="164"/>
        <v>31.376274241265865</v>
      </c>
      <c r="AL188" s="20">
        <f t="shared" si="165"/>
        <v>261.41767763687125</v>
      </c>
      <c r="AM188" s="59">
        <f t="shared" si="113"/>
        <v>554.75101097020456</v>
      </c>
      <c r="AN188" s="59">
        <f ca="1">AVERAGE(OFFSET($AM$3,0,0,'Données projet'!$E$10+1,1))-AVERAGE(OFFSET($H$3,0,0,'Données projet'!$E$10+1,1))</f>
        <v>74.715815024475376</v>
      </c>
      <c r="AO188" s="59">
        <f t="shared" si="144"/>
        <v>87.801612218507501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3.1286115695770538</v>
      </c>
      <c r="AV188" s="21">
        <f>EXP(-LN(2)/25)*AV187+(1-EXP(-LN(2)/25))/(LN(2)/25)*Calculateur!AQ188*Calculateur!AS188*VLOOKUP('Données projet'!$B$10,Paramètres!$A$1:$I$89,3,0)*0.475*44/12</f>
        <v>0.72621031747819154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3.8548218870552455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-6.7984728957526396E-14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212.70058550761718</v>
      </c>
      <c r="T189" s="59">
        <f t="shared" si="142"/>
        <v>208.28274083874896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11.405329495609029</v>
      </c>
      <c r="AA189" s="21">
        <f>EXP(-LN(2)/25)*AA188+(1-EXP(-LN(2)/25))/(LN(2)/25)*Calculateur!V189*Calculateur!X189*VLOOKUP('Données projet'!$B$9,Paramètres!$A$1:$I$89,3,0)*0.475*44/12</f>
        <v>2.60474993627518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14.010079431884209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135.89743589743577</v>
      </c>
      <c r="AJ189" s="13">
        <f>AI189*VLOOKUP('Données projet'!$B$10,Paramètres!$A$1:$I$89,3,0)*VLOOKUP('Données projet'!$B$10,Paramètres!$A$1:$I$89,5,0)</f>
        <v>118.71999999999991</v>
      </c>
      <c r="AK189" s="13">
        <f t="shared" si="164"/>
        <v>31.376274241265865</v>
      </c>
      <c r="AL189" s="20">
        <f t="shared" si="165"/>
        <v>261.41767763687125</v>
      </c>
      <c r="AM189" s="59">
        <f t="shared" si="113"/>
        <v>554.75101097020456</v>
      </c>
      <c r="AN189" s="59">
        <f ca="1">AVERAGE(OFFSET($AM$3,0,0,'Données projet'!$E$10+1,1))-AVERAGE(OFFSET($H$3,0,0,'Données projet'!$E$10+1,1))</f>
        <v>74.715815024475376</v>
      </c>
      <c r="AO189" s="59">
        <f t="shared" si="144"/>
        <v>87.801612218507501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3.0672614049622795</v>
      </c>
      <c r="AV189" s="21">
        <f>EXP(-LN(2)/25)*AV188+(1-EXP(-LN(2)/25))/(LN(2)/25)*Calculateur!AQ189*Calculateur!AS189*VLOOKUP('Données projet'!$B$10,Paramètres!$A$1:$I$89,3,0)*0.475*44/12</f>
        <v>0.70635205815700952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3.7736134631192888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-6.7984728957526396E-14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212.70058550761718</v>
      </c>
      <c r="T190" s="59">
        <f t="shared" si="142"/>
        <v>208.28274083874896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11.181677940764224</v>
      </c>
      <c r="AA190" s="21">
        <f>EXP(-LN(2)/25)*AA189+(1-EXP(-LN(2)/25))/(LN(2)/25)*Calculateur!V190*Calculateur!X190*VLOOKUP('Données projet'!$B$9,Paramètres!$A$1:$I$89,3,0)*0.475*44/12</f>
        <v>2.5335229122898895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13.715200853054114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135.89743589743577</v>
      </c>
      <c r="AJ190" s="13">
        <f>AI190*VLOOKUP('Données projet'!$B$10,Paramètres!$A$1:$I$89,3,0)*VLOOKUP('Données projet'!$B$10,Paramètres!$A$1:$I$89,5,0)</f>
        <v>118.71999999999991</v>
      </c>
      <c r="AK190" s="13">
        <f t="shared" si="164"/>
        <v>31.376274241265865</v>
      </c>
      <c r="AL190" s="20">
        <f t="shared" si="165"/>
        <v>261.41767763687125</v>
      </c>
      <c r="AM190" s="59">
        <f t="shared" si="113"/>
        <v>554.75101097020456</v>
      </c>
      <c r="AN190" s="59">
        <f ca="1">AVERAGE(OFFSET($AM$3,0,0,'Données projet'!$E$10+1,1))-AVERAGE(OFFSET($H$3,0,0,'Données projet'!$E$10+1,1))</f>
        <v>74.715815024475376</v>
      </c>
      <c r="AO190" s="59">
        <f t="shared" si="144"/>
        <v>87.801612218507501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3.0071142796556956</v>
      </c>
      <c r="AV190" s="21">
        <f>EXP(-LN(2)/25)*AV189+(1-EXP(-LN(2)/25))/(LN(2)/25)*Calculateur!AQ190*Calculateur!AS190*VLOOKUP('Données projet'!$B$10,Paramètres!$A$1:$I$89,3,0)*0.475*44/12</f>
        <v>0.68703682398126575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3.6941511036369614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-6.7984728957526396E-14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212.70058550761718</v>
      </c>
      <c r="T191" s="59">
        <f t="shared" si="142"/>
        <v>208.28274083874896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10.962412056495948</v>
      </c>
      <c r="AA191" s="21">
        <f>EXP(-LN(2)/25)*AA190+(1-EXP(-LN(2)/25))/(LN(2)/25)*Calculateur!V191*Calculateur!X191*VLOOKUP('Données projet'!$B$9,Paramètres!$A$1:$I$89,3,0)*0.475*44/12</f>
        <v>2.4642435950211428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13.426655651517091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135.89743589743577</v>
      </c>
      <c r="AJ191" s="13">
        <f>AI191*VLOOKUP('Données projet'!$B$10,Paramètres!$A$1:$I$89,3,0)*VLOOKUP('Données projet'!$B$10,Paramètres!$A$1:$I$89,5,0)</f>
        <v>118.71999999999991</v>
      </c>
      <c r="AK191" s="13">
        <f t="shared" si="164"/>
        <v>31.376274241265865</v>
      </c>
      <c r="AL191" s="20">
        <f t="shared" si="165"/>
        <v>261.41767763687125</v>
      </c>
      <c r="AM191" s="59">
        <f t="shared" si="113"/>
        <v>554.75101097020456</v>
      </c>
      <c r="AN191" s="59">
        <f ca="1">AVERAGE(OFFSET($AM$3,0,0,'Données projet'!$E$10+1,1))-AVERAGE(OFFSET($H$3,0,0,'Données projet'!$E$10+1,1))</f>
        <v>74.715815024475376</v>
      </c>
      <c r="AO191" s="59">
        <f t="shared" si="144"/>
        <v>87.801612218507501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2.9481466027902496</v>
      </c>
      <c r="AV191" s="21">
        <f>EXP(-LN(2)/25)*AV190+(1-EXP(-LN(2)/25))/(LN(2)/25)*Calculateur!AQ191*Calculateur!AS191*VLOOKUP('Données projet'!$B$10,Paramètres!$A$1:$I$89,3,0)*0.475*44/12</f>
        <v>0.66824976589980167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3.6163963686900513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-6.7984728957526396E-14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212.70058550761718</v>
      </c>
      <c r="T192" s="59">
        <f t="shared" si="142"/>
        <v>208.28274083874896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10.747445842479189</v>
      </c>
      <c r="AA192" s="21">
        <f>EXP(-LN(2)/25)*AA191+(1-EXP(-LN(2)/25))/(LN(2)/25)*Calculateur!V192*Calculateur!X192*VLOOKUP('Données projet'!$B$9,Paramètres!$A$1:$I$89,3,0)*0.475*44/12</f>
        <v>2.3968587243263513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13.144304566805541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135.89743589743577</v>
      </c>
      <c r="AJ192" s="13">
        <f>AI192*VLOOKUP('Données projet'!$B$10,Paramètres!$A$1:$I$89,3,0)*VLOOKUP('Données projet'!$B$10,Paramètres!$A$1:$I$89,5,0)</f>
        <v>118.71999999999991</v>
      </c>
      <c r="AK192" s="13">
        <f t="shared" si="164"/>
        <v>31.376274241265865</v>
      </c>
      <c r="AL192" s="20">
        <f t="shared" si="165"/>
        <v>261.41767763687125</v>
      </c>
      <c r="AM192" s="59">
        <f t="shared" si="113"/>
        <v>554.75101097020456</v>
      </c>
      <c r="AN192" s="59">
        <f ca="1">AVERAGE(OFFSET($AM$3,0,0,'Données projet'!$E$10+1,1))-AVERAGE(OFFSET($H$3,0,0,'Données projet'!$E$10+1,1))</f>
        <v>74.715815024475376</v>
      </c>
      <c r="AO192" s="59">
        <f t="shared" si="144"/>
        <v>87.801612218507501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2.890335246101404</v>
      </c>
      <c r="AV192" s="21">
        <f>EXP(-LN(2)/25)*AV191+(1-EXP(-LN(2)/25))/(LN(2)/25)*Calculateur!AQ192*Calculateur!AS192*VLOOKUP('Données projet'!$B$10,Paramètres!$A$1:$I$89,3,0)*0.475*44/12</f>
        <v>0.64997644090954376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3.5403116870109477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-6.7984728957526396E-14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212.70058550761718</v>
      </c>
      <c r="T193" s="59">
        <f t="shared" si="142"/>
        <v>208.28274083874896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10.536694984802855</v>
      </c>
      <c r="AA193" s="21">
        <f>EXP(-LN(2)/25)*AA192+(1-EXP(-LN(2)/25))/(LN(2)/25)*Calculateur!V193*Calculateur!X193*VLOOKUP('Données projet'!$B$9,Paramètres!$A$1:$I$89,3,0)*0.475*44/12</f>
        <v>2.3313164964643249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12.86801148126718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135.89743589743577</v>
      </c>
      <c r="AJ193" s="13">
        <f>AI193*VLOOKUP('Données projet'!$B$10,Paramètres!$A$1:$I$89,3,0)*VLOOKUP('Données projet'!$B$10,Paramètres!$A$1:$I$89,5,0)</f>
        <v>118.71999999999991</v>
      </c>
      <c r="AK193" s="13">
        <f t="shared" si="164"/>
        <v>31.376274241265865</v>
      </c>
      <c r="AL193" s="20">
        <f t="shared" si="165"/>
        <v>261.41767763687125</v>
      </c>
      <c r="AM193" s="59">
        <f t="shared" si="113"/>
        <v>554.75101097020456</v>
      </c>
      <c r="AN193" s="59">
        <f ca="1">AVERAGE(OFFSET($AM$3,0,0,'Données projet'!$E$10+1,1))-AVERAGE(OFFSET($H$3,0,0,'Données projet'!$E$10+1,1))</f>
        <v>74.715815024475376</v>
      </c>
      <c r="AO193" s="59">
        <f t="shared" si="144"/>
        <v>87.801612218507501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2.8336575348557806</v>
      </c>
      <c r="AV193" s="21">
        <f>EXP(-LN(2)/25)*AV192+(1-EXP(-LN(2)/25))/(LN(2)/25)*Calculateur!AQ193*Calculateur!AS193*VLOOKUP('Données projet'!$B$10,Paramètres!$A$1:$I$89,3,0)*0.475*44/12</f>
        <v>0.6322028009520968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3.4658603358078777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-6.7984728957526396E-14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212.70058550761718</v>
      </c>
      <c r="T194" s="59">
        <f t="shared" si="142"/>
        <v>208.28274083874896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10.330076822900223</v>
      </c>
      <c r="AA194" s="21">
        <f>EXP(-LN(2)/25)*AA193+(1-EXP(-LN(2)/25))/(LN(2)/25)*Calculateur!V194*Calculateur!X194*VLOOKUP('Données projet'!$B$9,Paramètres!$A$1:$I$89,3,0)*0.475*44/12</f>
        <v>2.2675665242699017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12.597643347170123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135.89743589743577</v>
      </c>
      <c r="AJ194" s="13">
        <f>AI194*VLOOKUP('Données projet'!$B$10,Paramètres!$A$1:$I$89,3,0)*VLOOKUP('Données projet'!$B$10,Paramètres!$A$1:$I$89,5,0)</f>
        <v>118.71999999999991</v>
      </c>
      <c r="AK194" s="13">
        <f t="shared" si="164"/>
        <v>31.376274241265865</v>
      </c>
      <c r="AL194" s="20">
        <f t="shared" si="165"/>
        <v>261.41767763687125</v>
      </c>
      <c r="AM194" s="59">
        <f t="shared" si="113"/>
        <v>554.75101097020456</v>
      </c>
      <c r="AN194" s="59">
        <f ca="1">AVERAGE(OFFSET($AM$3,0,0,'Données projet'!$E$10+1,1))-AVERAGE(OFFSET($H$3,0,0,'Données projet'!$E$10+1,1))</f>
        <v>74.715815024475376</v>
      </c>
      <c r="AO194" s="59">
        <f t="shared" si="144"/>
        <v>87.801612218507501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2.7780912389576935</v>
      </c>
      <c r="AV194" s="21">
        <f>EXP(-LN(2)/25)*AV193+(1-EXP(-LN(2)/25))/(LN(2)/25)*Calculateur!AQ194*Calculateur!AS194*VLOOKUP('Données projet'!$B$10,Paramètres!$A$1:$I$89,3,0)*0.475*44/12</f>
        <v>0.61491518211396134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3.3930064210716546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-6.7984728957526396E-14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212.70058550761718</v>
      </c>
      <c r="T195" s="59">
        <f t="shared" si="142"/>
        <v>208.28274083874896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10.127510317127866</v>
      </c>
      <c r="AA195" s="21">
        <f>EXP(-LN(2)/25)*AA194+(1-EXP(-LN(2)/25))/(LN(2)/25)*Calculateur!V195*Calculateur!X195*VLOOKUP('Données projet'!$B$9,Paramètres!$A$1:$I$89,3,0)*0.475*44/12</f>
        <v>2.2055597984176005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12.333070115545468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135.89743589743577</v>
      </c>
      <c r="AJ195" s="13">
        <f>AI195*VLOOKUP('Données projet'!$B$10,Paramètres!$A$1:$I$89,3,0)*VLOOKUP('Données projet'!$B$10,Paramètres!$A$1:$I$89,5,0)</f>
        <v>118.71999999999991</v>
      </c>
      <c r="AK195" s="13">
        <f t="shared" si="164"/>
        <v>31.376274241265865</v>
      </c>
      <c r="AL195" s="20">
        <f t="shared" si="165"/>
        <v>261.41767763687125</v>
      </c>
      <c r="AM195" s="59">
        <f t="shared" si="113"/>
        <v>554.75101097020456</v>
      </c>
      <c r="AN195" s="59">
        <f ca="1">AVERAGE(OFFSET($AM$3,0,0,'Données projet'!$E$10+1,1))-AVERAGE(OFFSET($H$3,0,0,'Données projet'!$E$10+1,1))</f>
        <v>74.715815024475376</v>
      </c>
      <c r="AO195" s="59">
        <f t="shared" si="144"/>
        <v>87.801612218507501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2.7236145642300742</v>
      </c>
      <c r="AV195" s="21">
        <f>EXP(-LN(2)/25)*AV194+(1-EXP(-LN(2)/25))/(LN(2)/25)*Calculateur!AQ195*Calculateur!AS195*VLOOKUP('Données projet'!$B$10,Paramètres!$A$1:$I$89,3,0)*0.475*44/12</f>
        <v>0.59810029412207111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3.3217148583521454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-6.7984728957526396E-14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212.70058550761718</v>
      </c>
      <c r="T196" s="59">
        <f t="shared" si="142"/>
        <v>208.28274083874896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9.9289160169803363</v>
      </c>
      <c r="AA196" s="21">
        <f>EXP(-LN(2)/25)*AA195+(1-EXP(-LN(2)/25))/(LN(2)/25)*Calculateur!V196*Calculateur!X196*VLOOKUP('Données projet'!$B$9,Paramètres!$A$1:$I$89,3,0)*0.475*44/12</f>
        <v>2.1452486497445222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12.074164666724858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135.89743589743577</v>
      </c>
      <c r="AJ196" s="13">
        <f>AI196*VLOOKUP('Données projet'!$B$10,Paramètres!$A$1:$I$89,3,0)*VLOOKUP('Données projet'!$B$10,Paramètres!$A$1:$I$89,5,0)</f>
        <v>118.71999999999991</v>
      </c>
      <c r="AK196" s="13">
        <f t="shared" si="164"/>
        <v>31.376274241265865</v>
      </c>
      <c r="AL196" s="20">
        <f t="shared" si="165"/>
        <v>261.41767763687125</v>
      </c>
      <c r="AM196" s="59">
        <f t="shared" ref="AM196:AM203" si="193">AL196+(AD196+AE196)*44/12</f>
        <v>554.75101097020456</v>
      </c>
      <c r="AN196" s="59">
        <f ca="1">AVERAGE(OFFSET($AM$3,0,0,'Données projet'!$E$10+1,1))-AVERAGE(OFFSET($H$3,0,0,'Données projet'!$E$10+1,1))</f>
        <v>74.715815024475376</v>
      </c>
      <c r="AO196" s="59">
        <f t="shared" si="144"/>
        <v>87.801612218507501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2.6702061438663729</v>
      </c>
      <c r="AV196" s="21">
        <f>EXP(-LN(2)/25)*AV195+(1-EXP(-LN(2)/25))/(LN(2)/25)*Calculateur!AQ196*Calculateur!AS196*VLOOKUP('Données projet'!$B$10,Paramètres!$A$1:$I$89,3,0)*0.475*44/12</f>
        <v>0.58174521012657554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3.2519513539929483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-6.7984728957526396E-14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212.70058550761718</v>
      </c>
      <c r="T197" s="59">
        <f t="shared" ref="T197:T203" si="204">$T$3</f>
        <v>208.28274083874896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9.7342160299281382</v>
      </c>
      <c r="AA197" s="21">
        <f>EXP(-LN(2)/25)*AA196+(1-EXP(-LN(2)/25))/(LN(2)/25)*Calculateur!V197*Calculateur!X197*VLOOKUP('Données projet'!$B$9,Paramètres!$A$1:$I$89,3,0)*0.475*44/12</f>
        <v>2.0865867126035349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11.820802742531672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135.89743589743577</v>
      </c>
      <c r="AJ197" s="13">
        <f>AI197*VLOOKUP('Données projet'!$B$10,Paramètres!$A$1:$I$89,3,0)*VLOOKUP('Données projet'!$B$10,Paramètres!$A$1:$I$89,5,0)</f>
        <v>118.71999999999991</v>
      </c>
      <c r="AK197" s="13">
        <f t="shared" si="164"/>
        <v>31.376274241265865</v>
      </c>
      <c r="AL197" s="20">
        <f t="shared" si="165"/>
        <v>261.41767763687125</v>
      </c>
      <c r="AM197" s="59">
        <f t="shared" si="193"/>
        <v>554.75101097020456</v>
      </c>
      <c r="AN197" s="59">
        <f ca="1">AVERAGE(OFFSET($AM$3,0,0,'Données projet'!$E$10+1,1))-AVERAGE(OFFSET($H$3,0,0,'Données projet'!$E$10+1,1))</f>
        <v>74.715815024475376</v>
      </c>
      <c r="AO197" s="59">
        <f t="shared" ref="AO197:AO203" si="205">$AO$3</f>
        <v>87.801612218507501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2.6178450300500837</v>
      </c>
      <c r="AV197" s="21">
        <f>EXP(-LN(2)/25)*AV196+(1-EXP(-LN(2)/25))/(LN(2)/25)*Calculateur!AQ197*Calculateur!AS197*VLOOKUP('Données projet'!$B$10,Paramètres!$A$1:$I$89,3,0)*0.475*44/12</f>
        <v>0.56583735676301328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3.1836823868130972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-6.7984728957526396E-14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212.70058550761718</v>
      </c>
      <c r="T198" s="59">
        <f t="shared" si="204"/>
        <v>208.28274083874896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9.5433339908667669</v>
      </c>
      <c r="AA198" s="21">
        <f>EXP(-LN(2)/25)*AA197+(1-EXP(-LN(2)/25))/(LN(2)/25)*Calculateur!V198*Calculateur!X198*VLOOKUP('Données projet'!$B$9,Paramètres!$A$1:$I$89,3,0)*0.475*44/12</f>
        <v>2.029528889218565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11.572862880085331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135.89743589743577</v>
      </c>
      <c r="AJ198" s="13">
        <f>AI198*VLOOKUP('Données projet'!$B$10,Paramètres!$A$1:$I$89,3,0)*VLOOKUP('Données projet'!$B$10,Paramètres!$A$1:$I$89,5,0)</f>
        <v>118.71999999999991</v>
      </c>
      <c r="AK198" s="13">
        <f t="shared" si="164"/>
        <v>31.376274241265865</v>
      </c>
      <c r="AL198" s="20">
        <f t="shared" si="165"/>
        <v>261.41767763687125</v>
      </c>
      <c r="AM198" s="59">
        <f t="shared" si="193"/>
        <v>554.75101097020456</v>
      </c>
      <c r="AN198" s="59">
        <f ca="1">AVERAGE(OFFSET($AM$3,0,0,'Données projet'!$E$10+1,1))-AVERAGE(OFFSET($H$3,0,0,'Données projet'!$E$10+1,1))</f>
        <v>74.715815024475376</v>
      </c>
      <c r="AO198" s="59">
        <f t="shared" si="205"/>
        <v>87.801612218507501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2.566510685738606</v>
      </c>
      <c r="AV198" s="21">
        <f>EXP(-LN(2)/25)*AV197+(1-EXP(-LN(2)/25))/(LN(2)/25)*Calculateur!AQ198*Calculateur!AS198*VLOOKUP('Données projet'!$B$10,Paramètres!$A$1:$I$89,3,0)*0.475*44/12</f>
        <v>0.55036450448623531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3.1168751902248415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-6.7984728957526396E-14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212.70058550761718</v>
      </c>
      <c r="T199" s="59">
        <f t="shared" si="204"/>
        <v>208.28274083874896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9.3561950321648428</v>
      </c>
      <c r="AA199" s="21">
        <f>EXP(-LN(2)/25)*AA198+(1-EXP(-LN(2)/25))/(LN(2)/25)*Calculateur!V199*Calculateur!X199*VLOOKUP('Données projet'!$B$9,Paramètres!$A$1:$I$89,3,0)*0.475*44/12</f>
        <v>1.9740313150145976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11.33022634717944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135.89743589743577</v>
      </c>
      <c r="AJ199" s="13">
        <f>AI199*VLOOKUP('Données projet'!$B$10,Paramètres!$A$1:$I$89,3,0)*VLOOKUP('Données projet'!$B$10,Paramètres!$A$1:$I$89,5,0)</f>
        <v>118.71999999999991</v>
      </c>
      <c r="AK199" s="13">
        <f t="shared" si="164"/>
        <v>31.376274241265865</v>
      </c>
      <c r="AL199" s="20">
        <f t="shared" si="165"/>
        <v>261.41767763687125</v>
      </c>
      <c r="AM199" s="59">
        <f t="shared" si="193"/>
        <v>554.75101097020456</v>
      </c>
      <c r="AN199" s="59">
        <f ca="1">AVERAGE(OFFSET($AM$3,0,0,'Données projet'!$E$10+1,1))-AVERAGE(OFFSET($H$3,0,0,'Données projet'!$E$10+1,1))</f>
        <v>74.715815024475376</v>
      </c>
      <c r="AO199" s="59">
        <f t="shared" si="205"/>
        <v>87.801612218507501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2.516182976608218</v>
      </c>
      <c r="AV199" s="21">
        <f>EXP(-LN(2)/25)*AV198+(1-EXP(-LN(2)/25))/(LN(2)/25)*Calculateur!AQ199*Calculateur!AS199*VLOOKUP('Données projet'!$B$10,Paramètres!$A$1:$I$89,3,0)*0.475*44/12</f>
        <v>0.53531475816864782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3.0514977347768659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-6.7984728957526396E-14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212.70058550761718</v>
      </c>
      <c r="T200" s="59">
        <f t="shared" si="204"/>
        <v>208.28274083874896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9.1727257542995684</v>
      </c>
      <c r="AA200" s="21">
        <f>EXP(-LN(2)/25)*AA199+(1-EXP(-LN(2)/25))/(LN(2)/25)*Calculateur!V200*Calculateur!X200*VLOOKUP('Données projet'!$B$9,Paramètres!$A$1:$I$89,3,0)*0.475*44/12</f>
        <v>1.9200513248957283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11.092777079195297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135.89743589743577</v>
      </c>
      <c r="AJ200" s="13">
        <f>AI200*VLOOKUP('Données projet'!$B$10,Paramètres!$A$1:$I$89,3,0)*VLOOKUP('Données projet'!$B$10,Paramètres!$A$1:$I$89,5,0)</f>
        <v>118.71999999999991</v>
      </c>
      <c r="AK200" s="13">
        <f t="shared" si="164"/>
        <v>31.376274241265865</v>
      </c>
      <c r="AL200" s="20">
        <f t="shared" si="165"/>
        <v>261.41767763687125</v>
      </c>
      <c r="AM200" s="59">
        <f t="shared" si="193"/>
        <v>554.75101097020456</v>
      </c>
      <c r="AN200" s="59">
        <f ca="1">AVERAGE(OFFSET($AM$3,0,0,'Données projet'!$E$10+1,1))-AVERAGE(OFFSET($H$3,0,0,'Données projet'!$E$10+1,1))</f>
        <v>74.715815024475376</v>
      </c>
      <c r="AO200" s="59">
        <f t="shared" si="205"/>
        <v>87.801612218507501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2.4668421631570054</v>
      </c>
      <c r="AV200" s="21">
        <f>EXP(-LN(2)/25)*AV199+(1-EXP(-LN(2)/25))/(LN(2)/25)*Calculateur!AQ200*Calculateur!AS200*VLOOKUP('Données projet'!$B$10,Paramètres!$A$1:$I$89,3,0)*0.475*44/12</f>
        <v>0.52067654795554652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2.9875187111125521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-6.7984728957526396E-14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212.70058550761718</v>
      </c>
      <c r="T201" s="59">
        <f t="shared" si="204"/>
        <v>208.28274083874896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8.9928541970680218</v>
      </c>
      <c r="AA201" s="21">
        <f>EXP(-LN(2)/25)*AA200+(1-EXP(-LN(2)/25))/(LN(2)/25)*Calculateur!V201*Calculateur!X201*VLOOKUP('Données projet'!$B$9,Paramètres!$A$1:$I$89,3,0)*0.475*44/12</f>
        <v>1.8675474204453437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10.860401617513366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135.89743589743577</v>
      </c>
      <c r="AJ201" s="13">
        <f>AI201*VLOOKUP('Données projet'!$B$10,Paramètres!$A$1:$I$89,3,0)*VLOOKUP('Données projet'!$B$10,Paramètres!$A$1:$I$89,5,0)</f>
        <v>118.71999999999991</v>
      </c>
      <c r="AK201" s="13">
        <f t="shared" si="164"/>
        <v>31.376274241265865</v>
      </c>
      <c r="AL201" s="20">
        <f t="shared" si="165"/>
        <v>261.41767763687125</v>
      </c>
      <c r="AM201" s="59">
        <f t="shared" si="193"/>
        <v>554.75101097020456</v>
      </c>
      <c r="AN201" s="59">
        <f ca="1">AVERAGE(OFFSET($AM$3,0,0,'Données projet'!$E$10+1,1))-AVERAGE(OFFSET($H$3,0,0,'Données projet'!$E$10+1,1))</f>
        <v>74.715815024475376</v>
      </c>
      <c r="AO201" s="59">
        <f t="shared" si="205"/>
        <v>87.801612218507501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2.4184688929626468</v>
      </c>
      <c r="AV201" s="21">
        <f>EXP(-LN(2)/25)*AV200+(1-EXP(-LN(2)/25))/(LN(2)/25)*Calculateur!AQ201*Calculateur!AS201*VLOOKUP('Données projet'!$B$10,Paramètres!$A$1:$I$89,3,0)*0.475*44/12</f>
        <v>0.50643862037051246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2.9249075133331592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-6.7984728957526396E-14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212.70058550761718</v>
      </c>
      <c r="T202" s="59">
        <f t="shared" si="204"/>
        <v>208.28274083874896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8.8165098113629696</v>
      </c>
      <c r="AA202" s="21">
        <f>EXP(-LN(2)/25)*AA201+(1-EXP(-LN(2)/25))/(LN(2)/25)*Calculateur!V202*Calculateur!X202*VLOOKUP('Données projet'!$B$9,Paramètres!$A$1:$I$89,3,0)*0.475*44/12</f>
        <v>1.8164792380232153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10.632989049386184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135.89743589743577</v>
      </c>
      <c r="AJ202" s="13">
        <f>AI202*VLOOKUP('Données projet'!$B$10,Paramètres!$A$1:$I$89,3,0)*VLOOKUP('Données projet'!$B$10,Paramètres!$A$1:$I$89,5,0)</f>
        <v>118.71999999999991</v>
      </c>
      <c r="AK202" s="13">
        <f t="shared" si="164"/>
        <v>31.376274241265865</v>
      </c>
      <c r="AL202" s="20">
        <f t="shared" si="165"/>
        <v>261.41767763687125</v>
      </c>
      <c r="AM202" s="59">
        <f t="shared" si="193"/>
        <v>554.75101097020456</v>
      </c>
      <c r="AN202" s="59">
        <f ca="1">AVERAGE(OFFSET($AM$3,0,0,'Données projet'!$E$10+1,1))-AVERAGE(OFFSET($H$3,0,0,'Données projet'!$E$10+1,1))</f>
        <v>74.715815024475376</v>
      </c>
      <c r="AO202" s="59">
        <f t="shared" si="205"/>
        <v>87.801612218507501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2.3710441930920179</v>
      </c>
      <c r="AV202" s="21">
        <f>EXP(-LN(2)/25)*AV201+(1-EXP(-LN(2)/25))/(LN(2)/25)*Calculateur!AQ202*Calculateur!AS202*VLOOKUP('Données projet'!$B$10,Paramètres!$A$1:$I$89,3,0)*0.475*44/12</f>
        <v>0.49259002966403126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2.863634222756049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-6.7984728957526396E-14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212.70058550761718</v>
      </c>
      <c r="T203" s="59">
        <f t="shared" si="204"/>
        <v>208.28274083874896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8.6436234315021387</v>
      </c>
      <c r="AA203" s="21">
        <f>EXP(-LN(2)/25)*AA202+(1-EXP(-LN(2)/25))/(LN(2)/25)*Calculateur!V203*Calculateur!X203*VLOOKUP('Données projet'!$B$9,Paramètres!$A$1:$I$89,3,0)*0.475*44/12</f>
        <v>1.7668075177349789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10.410430949237117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135.89743589743577</v>
      </c>
      <c r="AJ203" s="13">
        <f>AI203*VLOOKUP('Données projet'!$B$10,Paramètres!$A$1:$I$89,3,0)*VLOOKUP('Données projet'!$B$10,Paramètres!$A$1:$I$89,5,0)</f>
        <v>118.71999999999991</v>
      </c>
      <c r="AK203" s="13">
        <f t="shared" si="164"/>
        <v>31.376274241265865</v>
      </c>
      <c r="AL203" s="20">
        <f t="shared" si="165"/>
        <v>261.41767763687125</v>
      </c>
      <c r="AM203" s="59">
        <f t="shared" si="193"/>
        <v>554.75101097020456</v>
      </c>
      <c r="AN203" s="59">
        <f ca="1">AVERAGE(OFFSET($AM$3,0,0,'Données projet'!$E$10+1,1))-AVERAGE(OFFSET($H$3,0,0,'Données projet'!$E$10+1,1))</f>
        <v>74.715815024475376</v>
      </c>
      <c r="AO203" s="59">
        <f t="shared" si="205"/>
        <v>87.801612218507501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2.3245494626596415</v>
      </c>
      <c r="AV203" s="21">
        <f>EXP(-LN(2)/25)*AV202+(1-EXP(-LN(2)/25))/(LN(2)/25)*Calculateur!AQ203*Calculateur!AS203*VLOOKUP('Données projet'!$B$10,Paramètres!$A$1:$I$89,3,0)*0.475*44/12</f>
        <v>0.47912012939868448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2.8036695920583261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98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98</v>
      </c>
      <c r="BA204" s="81" t="s">
        <v>98</v>
      </c>
      <c r="BV204" s="81" t="s">
        <v>98</v>
      </c>
      <c r="CQ204" s="81" t="s">
        <v>98</v>
      </c>
      <c r="DL204" s="81" t="s">
        <v>98</v>
      </c>
      <c r="EG204" s="81" t="s">
        <v>98</v>
      </c>
      <c r="FB204" s="81" t="s">
        <v>98</v>
      </c>
      <c r="FW204" s="81" t="s">
        <v>98</v>
      </c>
      <c r="GR204" s="81" t="s">
        <v>98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1.3267648858502221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1.2770702581475548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99</v>
      </c>
      <c r="B1" s="112" t="s">
        <v>100</v>
      </c>
      <c r="C1" s="113" t="s">
        <v>101</v>
      </c>
      <c r="D1" s="112" t="s">
        <v>102</v>
      </c>
      <c r="E1" s="113" t="s">
        <v>103</v>
      </c>
      <c r="F1" s="113" t="s">
        <v>102</v>
      </c>
      <c r="G1" s="113" t="s">
        <v>104</v>
      </c>
      <c r="H1" s="113" t="s">
        <v>102</v>
      </c>
      <c r="I1" s="114" t="s">
        <v>105</v>
      </c>
      <c r="J1" s="78"/>
      <c r="K1" s="78"/>
      <c r="L1" s="78"/>
      <c r="M1" s="78"/>
      <c r="N1" s="78"/>
    </row>
    <row r="2" spans="1:16" x14ac:dyDescent="0.3">
      <c r="A2" s="115" t="s">
        <v>106</v>
      </c>
      <c r="B2" s="116" t="s">
        <v>107</v>
      </c>
      <c r="C2" s="117">
        <v>0.62</v>
      </c>
      <c r="D2" s="117" t="s">
        <v>108</v>
      </c>
      <c r="E2" s="117">
        <v>1.56</v>
      </c>
      <c r="F2" s="117" t="s">
        <v>109</v>
      </c>
      <c r="G2" s="118">
        <v>0.43</v>
      </c>
      <c r="H2" s="119" t="s">
        <v>110</v>
      </c>
      <c r="I2" s="120">
        <v>0.25</v>
      </c>
      <c r="J2" s="78"/>
      <c r="K2" s="78"/>
      <c r="L2" s="78"/>
      <c r="M2" s="78"/>
      <c r="N2" s="78"/>
      <c r="O2" s="281" t="s">
        <v>111</v>
      </c>
      <c r="P2" s="121">
        <v>0</v>
      </c>
    </row>
    <row r="3" spans="1:16" ht="15" thickBot="1" x14ac:dyDescent="0.35">
      <c r="A3" s="122" t="s">
        <v>112</v>
      </c>
      <c r="B3" s="123" t="s">
        <v>113</v>
      </c>
      <c r="C3" s="124">
        <v>0.64</v>
      </c>
      <c r="D3" s="124" t="s">
        <v>108</v>
      </c>
      <c r="E3" s="124">
        <v>1.56</v>
      </c>
      <c r="F3" s="125" t="s">
        <v>109</v>
      </c>
      <c r="G3" s="126">
        <v>0.43</v>
      </c>
      <c r="H3" s="124" t="s">
        <v>110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114</v>
      </c>
      <c r="B4" s="123" t="s">
        <v>115</v>
      </c>
      <c r="C4" s="124">
        <v>0.42</v>
      </c>
      <c r="D4" s="124" t="s">
        <v>108</v>
      </c>
      <c r="E4" s="124">
        <v>1.56</v>
      </c>
      <c r="F4" s="125" t="s">
        <v>109</v>
      </c>
      <c r="G4" s="126">
        <v>0.43</v>
      </c>
      <c r="H4" s="124" t="s">
        <v>110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116</v>
      </c>
      <c r="B5" s="123" t="s">
        <v>117</v>
      </c>
      <c r="C5" s="124">
        <v>0.42</v>
      </c>
      <c r="D5" s="124" t="s">
        <v>108</v>
      </c>
      <c r="E5" s="124">
        <v>1.56</v>
      </c>
      <c r="F5" s="125" t="s">
        <v>109</v>
      </c>
      <c r="G5" s="126">
        <v>0.43</v>
      </c>
      <c r="H5" s="124" t="s">
        <v>110</v>
      </c>
      <c r="I5" s="127">
        <v>0.25</v>
      </c>
      <c r="J5" s="78"/>
      <c r="K5" s="78"/>
      <c r="L5" s="78"/>
      <c r="M5" s="78"/>
      <c r="N5" s="78"/>
      <c r="O5" s="281" t="s">
        <v>118</v>
      </c>
      <c r="P5" s="121">
        <v>0</v>
      </c>
    </row>
    <row r="6" spans="1:16" x14ac:dyDescent="0.3">
      <c r="A6" s="122" t="s">
        <v>119</v>
      </c>
      <c r="B6" s="123" t="s">
        <v>120</v>
      </c>
      <c r="C6" s="124">
        <v>0.42</v>
      </c>
      <c r="D6" s="124" t="s">
        <v>108</v>
      </c>
      <c r="E6" s="124">
        <v>1.56</v>
      </c>
      <c r="F6" s="125" t="s">
        <v>109</v>
      </c>
      <c r="G6" s="126">
        <v>0.43</v>
      </c>
      <c r="H6" s="124" t="s">
        <v>110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121</v>
      </c>
      <c r="B7" s="123" t="s">
        <v>122</v>
      </c>
      <c r="C7" s="124">
        <v>0.52</v>
      </c>
      <c r="D7" s="124" t="s">
        <v>108</v>
      </c>
      <c r="E7" s="124">
        <v>1.56</v>
      </c>
      <c r="F7" s="125" t="s">
        <v>109</v>
      </c>
      <c r="G7" s="126">
        <v>0.43</v>
      </c>
      <c r="H7" s="124" t="s">
        <v>110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123</v>
      </c>
      <c r="B8" s="123" t="s">
        <v>124</v>
      </c>
      <c r="C8" s="124">
        <v>0.36</v>
      </c>
      <c r="D8" s="124" t="s">
        <v>108</v>
      </c>
      <c r="E8" s="124">
        <v>1.3</v>
      </c>
      <c r="F8" s="125" t="s">
        <v>109</v>
      </c>
      <c r="G8" s="126">
        <v>0.55000000000000004</v>
      </c>
      <c r="H8" s="124" t="s">
        <v>125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126</v>
      </c>
      <c r="B9" s="123" t="s">
        <v>127</v>
      </c>
      <c r="C9" s="124">
        <v>0.61</v>
      </c>
      <c r="D9" s="124" t="s">
        <v>108</v>
      </c>
      <c r="E9" s="124">
        <v>1.56</v>
      </c>
      <c r="F9" s="125" t="s">
        <v>109</v>
      </c>
      <c r="G9" s="126">
        <v>0.43</v>
      </c>
      <c r="H9" s="124" t="s">
        <v>110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128</v>
      </c>
      <c r="B10" s="123" t="s">
        <v>129</v>
      </c>
      <c r="C10" s="124">
        <v>0.66</v>
      </c>
      <c r="D10" s="124" t="s">
        <v>108</v>
      </c>
      <c r="E10" s="124">
        <v>1.56</v>
      </c>
      <c r="F10" s="125" t="s">
        <v>109</v>
      </c>
      <c r="G10" s="126">
        <v>0.43</v>
      </c>
      <c r="H10" s="124" t="s">
        <v>110</v>
      </c>
      <c r="I10" s="127">
        <v>0.25</v>
      </c>
      <c r="J10" s="78"/>
      <c r="K10" s="78"/>
      <c r="L10" s="78"/>
      <c r="M10" s="78"/>
      <c r="N10" s="78"/>
      <c r="O10" s="281" t="s">
        <v>130</v>
      </c>
      <c r="P10" s="121">
        <v>0</v>
      </c>
    </row>
    <row r="11" spans="1:16" ht="15" thickBot="1" x14ac:dyDescent="0.35">
      <c r="A11" s="122" t="s">
        <v>131</v>
      </c>
      <c r="B11" s="123" t="s">
        <v>132</v>
      </c>
      <c r="C11" s="124">
        <v>0.47</v>
      </c>
      <c r="D11" s="124" t="s">
        <v>108</v>
      </c>
      <c r="E11" s="124">
        <v>1.56</v>
      </c>
      <c r="F11" s="125" t="s">
        <v>109</v>
      </c>
      <c r="G11" s="126">
        <v>0.43</v>
      </c>
      <c r="H11" s="124" t="s">
        <v>110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133</v>
      </c>
      <c r="B12" s="123" t="s">
        <v>134</v>
      </c>
      <c r="C12" s="124">
        <v>0.67</v>
      </c>
      <c r="D12" s="124" t="s">
        <v>108</v>
      </c>
      <c r="E12" s="124">
        <v>1.56</v>
      </c>
      <c r="F12" s="125" t="s">
        <v>109</v>
      </c>
      <c r="G12" s="126">
        <v>0.43</v>
      </c>
      <c r="H12" s="124" t="s">
        <v>135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136</v>
      </c>
      <c r="B13" s="123" t="s">
        <v>137</v>
      </c>
      <c r="C13" s="124">
        <v>0.7</v>
      </c>
      <c r="D13" s="124" t="s">
        <v>108</v>
      </c>
      <c r="E13" s="124">
        <v>1.56</v>
      </c>
      <c r="F13" s="125" t="s">
        <v>109</v>
      </c>
      <c r="G13" s="126">
        <v>0.43</v>
      </c>
      <c r="H13" s="124" t="s">
        <v>135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138</v>
      </c>
      <c r="B14" s="123" t="s">
        <v>139</v>
      </c>
      <c r="C14" s="124">
        <v>0.54</v>
      </c>
      <c r="D14" s="124" t="s">
        <v>108</v>
      </c>
      <c r="E14" s="124">
        <v>1.56</v>
      </c>
      <c r="F14" s="125" t="s">
        <v>109</v>
      </c>
      <c r="G14" s="126">
        <v>0.43</v>
      </c>
      <c r="H14" s="124" t="s">
        <v>135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140</v>
      </c>
      <c r="B15" s="123" t="s">
        <v>141</v>
      </c>
      <c r="C15" s="124">
        <v>0.65</v>
      </c>
      <c r="D15" s="124" t="s">
        <v>108</v>
      </c>
      <c r="E15" s="124">
        <v>1.56</v>
      </c>
      <c r="F15" s="125" t="s">
        <v>109</v>
      </c>
      <c r="G15" s="126">
        <v>0.43</v>
      </c>
      <c r="H15" s="124" t="s">
        <v>135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142</v>
      </c>
      <c r="B16" s="123" t="s">
        <v>143</v>
      </c>
      <c r="C16" s="124">
        <v>0.56000000000000005</v>
      </c>
      <c r="D16" s="124" t="s">
        <v>108</v>
      </c>
      <c r="E16" s="124">
        <v>1.56</v>
      </c>
      <c r="F16" s="125" t="s">
        <v>109</v>
      </c>
      <c r="G16" s="126">
        <v>0.43</v>
      </c>
      <c r="H16" s="124" t="s">
        <v>135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144</v>
      </c>
      <c r="B17" s="123" t="s">
        <v>145</v>
      </c>
      <c r="C17" s="124">
        <v>0.57999999999999996</v>
      </c>
      <c r="D17" s="124" t="s">
        <v>108</v>
      </c>
      <c r="E17" s="124">
        <v>1.56</v>
      </c>
      <c r="F17" s="125" t="s">
        <v>109</v>
      </c>
      <c r="G17" s="126">
        <v>0.43</v>
      </c>
      <c r="H17" s="124" t="s">
        <v>135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146</v>
      </c>
      <c r="B18" s="123" t="s">
        <v>147</v>
      </c>
      <c r="C18" s="124">
        <v>0.64</v>
      </c>
      <c r="D18" s="124" t="s">
        <v>108</v>
      </c>
      <c r="E18" s="124">
        <v>1.56</v>
      </c>
      <c r="F18" s="125" t="s">
        <v>109</v>
      </c>
      <c r="G18" s="126">
        <v>0.43</v>
      </c>
      <c r="H18" s="124" t="s">
        <v>135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148</v>
      </c>
      <c r="B19" s="123" t="s">
        <v>149</v>
      </c>
      <c r="C19" s="124">
        <v>0.73</v>
      </c>
      <c r="D19" s="124" t="s">
        <v>108</v>
      </c>
      <c r="E19" s="124">
        <v>1.56</v>
      </c>
      <c r="F19" s="125" t="s">
        <v>109</v>
      </c>
      <c r="G19" s="126">
        <v>0.43</v>
      </c>
      <c r="H19" s="124" t="s">
        <v>135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150</v>
      </c>
      <c r="B20" s="123" t="s">
        <v>151</v>
      </c>
      <c r="C20" s="124">
        <v>0.69</v>
      </c>
      <c r="D20" s="124" t="s">
        <v>152</v>
      </c>
      <c r="E20" s="124">
        <v>1.56</v>
      </c>
      <c r="F20" s="125" t="s">
        <v>109</v>
      </c>
      <c r="G20" s="126">
        <v>0.43</v>
      </c>
      <c r="H20" s="124" t="s">
        <v>153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108</v>
      </c>
      <c r="E21" s="124">
        <v>1.3</v>
      </c>
      <c r="F21" s="125" t="s">
        <v>109</v>
      </c>
      <c r="G21" s="126">
        <v>0.55000000000000004</v>
      </c>
      <c r="H21" s="124" t="s">
        <v>125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156</v>
      </c>
      <c r="B22" s="123" t="s">
        <v>157</v>
      </c>
      <c r="C22" s="124">
        <v>0.4</v>
      </c>
      <c r="D22" s="124" t="s">
        <v>108</v>
      </c>
      <c r="E22" s="124">
        <v>1.3</v>
      </c>
      <c r="F22" s="125" t="s">
        <v>109</v>
      </c>
      <c r="G22" s="126">
        <v>0.55000000000000004</v>
      </c>
      <c r="H22" s="124" t="s">
        <v>125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158</v>
      </c>
      <c r="B23" s="123" t="s">
        <v>159</v>
      </c>
      <c r="C23" s="124">
        <v>0.43</v>
      </c>
      <c r="D23" s="124" t="s">
        <v>108</v>
      </c>
      <c r="E23" s="124">
        <v>1.3</v>
      </c>
      <c r="F23" s="125" t="s">
        <v>109</v>
      </c>
      <c r="G23" s="126">
        <v>0.55000000000000004</v>
      </c>
      <c r="H23" s="124" t="s">
        <v>125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160</v>
      </c>
      <c r="B24" s="123" t="s">
        <v>161</v>
      </c>
      <c r="C24" s="124">
        <v>0.37</v>
      </c>
      <c r="D24" s="124" t="s">
        <v>108</v>
      </c>
      <c r="E24" s="124">
        <v>1.3</v>
      </c>
      <c r="F24" s="125" t="s">
        <v>109</v>
      </c>
      <c r="G24" s="126">
        <v>0.55000000000000004</v>
      </c>
      <c r="H24" s="124" t="s">
        <v>135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162</v>
      </c>
      <c r="B25" s="123" t="s">
        <v>163</v>
      </c>
      <c r="C25" s="124">
        <v>0.36</v>
      </c>
      <c r="D25" s="124" t="s">
        <v>108</v>
      </c>
      <c r="E25" s="124">
        <v>1.3</v>
      </c>
      <c r="F25" s="125" t="s">
        <v>109</v>
      </c>
      <c r="G25" s="126">
        <v>0.55000000000000004</v>
      </c>
      <c r="H25" s="124" t="s">
        <v>135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164</v>
      </c>
      <c r="B26" s="123" t="s">
        <v>165</v>
      </c>
      <c r="C26" s="124">
        <v>0.56000000000000005</v>
      </c>
      <c r="D26" s="124" t="s">
        <v>108</v>
      </c>
      <c r="E26" s="124">
        <v>1.56</v>
      </c>
      <c r="F26" s="125" t="s">
        <v>109</v>
      </c>
      <c r="G26" s="126">
        <v>0.53</v>
      </c>
      <c r="H26" s="124" t="s">
        <v>166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167</v>
      </c>
      <c r="B27" s="123" t="s">
        <v>168</v>
      </c>
      <c r="C27" s="124">
        <v>0.51</v>
      </c>
      <c r="D27" s="124" t="s">
        <v>108</v>
      </c>
      <c r="E27" s="124">
        <v>1.56</v>
      </c>
      <c r="F27" s="125" t="s">
        <v>109</v>
      </c>
      <c r="G27" s="126">
        <v>0.53</v>
      </c>
      <c r="H27" s="124" t="s">
        <v>166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169</v>
      </c>
      <c r="B28" s="123" t="s">
        <v>170</v>
      </c>
      <c r="C28" s="124">
        <v>0.51</v>
      </c>
      <c r="D28" s="124" t="s">
        <v>108</v>
      </c>
      <c r="E28" s="124">
        <v>1.56</v>
      </c>
      <c r="F28" s="125" t="s">
        <v>109</v>
      </c>
      <c r="G28" s="126">
        <v>0.53</v>
      </c>
      <c r="H28" s="124" t="s">
        <v>166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171</v>
      </c>
      <c r="B29" s="123" t="s">
        <v>171</v>
      </c>
      <c r="C29" s="124">
        <v>0.56000000000000005</v>
      </c>
      <c r="D29" s="124" t="s">
        <v>108</v>
      </c>
      <c r="E29" s="124">
        <v>1.56</v>
      </c>
      <c r="F29" s="125" t="s">
        <v>109</v>
      </c>
      <c r="G29" s="126">
        <v>0.53</v>
      </c>
      <c r="H29" s="124" t="s">
        <v>166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172</v>
      </c>
      <c r="B30" s="123" t="s">
        <v>173</v>
      </c>
      <c r="C30" s="124">
        <v>0.55000000000000004</v>
      </c>
      <c r="D30" s="124" t="s">
        <v>108</v>
      </c>
      <c r="E30" s="124">
        <v>1.56</v>
      </c>
      <c r="F30" s="125" t="s">
        <v>109</v>
      </c>
      <c r="G30" s="126">
        <v>0.53</v>
      </c>
      <c r="H30" s="124" t="s">
        <v>135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174</v>
      </c>
      <c r="B31" s="123" t="s">
        <v>175</v>
      </c>
      <c r="C31" s="124">
        <v>0.56000000000000005</v>
      </c>
      <c r="D31" s="124" t="s">
        <v>108</v>
      </c>
      <c r="E31" s="124">
        <v>1.56</v>
      </c>
      <c r="F31" s="125" t="s">
        <v>109</v>
      </c>
      <c r="G31" s="126">
        <v>0.43</v>
      </c>
      <c r="H31" s="124" t="s">
        <v>110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176</v>
      </c>
      <c r="B32" s="123" t="s">
        <v>177</v>
      </c>
      <c r="C32" s="124">
        <v>0.48</v>
      </c>
      <c r="D32" s="124" t="s">
        <v>108</v>
      </c>
      <c r="E32" s="124">
        <v>1.3</v>
      </c>
      <c r="F32" s="125" t="s">
        <v>109</v>
      </c>
      <c r="G32" s="126">
        <v>0.6</v>
      </c>
      <c r="H32" s="124" t="s">
        <v>178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179</v>
      </c>
      <c r="B33" s="123" t="s">
        <v>180</v>
      </c>
      <c r="C33" s="124">
        <v>0.42</v>
      </c>
      <c r="D33" s="124" t="s">
        <v>108</v>
      </c>
      <c r="E33" s="124">
        <v>1.3</v>
      </c>
      <c r="F33" s="125" t="s">
        <v>109</v>
      </c>
      <c r="G33" s="126">
        <v>0.6</v>
      </c>
      <c r="H33" s="124" t="s">
        <v>178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181</v>
      </c>
      <c r="B34" s="123" t="s">
        <v>182</v>
      </c>
      <c r="C34" s="124">
        <v>0.42</v>
      </c>
      <c r="D34" s="124" t="s">
        <v>183</v>
      </c>
      <c r="E34" s="124">
        <v>1.3</v>
      </c>
      <c r="F34" s="125" t="s">
        <v>109</v>
      </c>
      <c r="G34" s="126">
        <v>0.6</v>
      </c>
      <c r="H34" s="123" t="s">
        <v>184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185</v>
      </c>
      <c r="B35" s="123" t="s">
        <v>186</v>
      </c>
      <c r="C35" s="124">
        <v>0.5</v>
      </c>
      <c r="D35" s="124" t="s">
        <v>108</v>
      </c>
      <c r="E35" s="124">
        <v>1.56</v>
      </c>
      <c r="F35" s="125" t="s">
        <v>109</v>
      </c>
      <c r="G35" s="126">
        <v>0.43</v>
      </c>
      <c r="H35" s="124" t="s">
        <v>110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187</v>
      </c>
      <c r="B36" s="123" t="s">
        <v>188</v>
      </c>
      <c r="C36" s="124">
        <v>0.55000000000000004</v>
      </c>
      <c r="D36" s="124" t="s">
        <v>108</v>
      </c>
      <c r="E36" s="124">
        <v>1.56</v>
      </c>
      <c r="F36" s="125" t="s">
        <v>109</v>
      </c>
      <c r="G36" s="126">
        <v>0.53</v>
      </c>
      <c r="H36" s="124" t="s">
        <v>166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189</v>
      </c>
      <c r="B37" s="123" t="s">
        <v>190</v>
      </c>
      <c r="C37" s="124">
        <v>0.52</v>
      </c>
      <c r="D37" s="124" t="s">
        <v>108</v>
      </c>
      <c r="E37" s="124">
        <v>1.56</v>
      </c>
      <c r="F37" s="125" t="s">
        <v>109</v>
      </c>
      <c r="G37" s="126">
        <v>0.53</v>
      </c>
      <c r="H37" s="124" t="s">
        <v>166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191</v>
      </c>
      <c r="B38" s="123" t="s">
        <v>192</v>
      </c>
      <c r="C38" s="124">
        <v>0.52</v>
      </c>
      <c r="D38" s="124" t="s">
        <v>108</v>
      </c>
      <c r="E38" s="124">
        <v>1.56</v>
      </c>
      <c r="F38" s="125" t="s">
        <v>109</v>
      </c>
      <c r="G38" s="126">
        <v>0.43</v>
      </c>
      <c r="H38" s="124" t="s">
        <v>110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193</v>
      </c>
      <c r="B39" s="123" t="s">
        <v>194</v>
      </c>
      <c r="C39" s="124">
        <v>0.313</v>
      </c>
      <c r="D39" s="124" t="s">
        <v>195</v>
      </c>
      <c r="E39" s="124">
        <v>1.56</v>
      </c>
      <c r="F39" s="125" t="s">
        <v>109</v>
      </c>
      <c r="G39" s="126">
        <v>0.6</v>
      </c>
      <c r="H39" s="124" t="s">
        <v>196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197</v>
      </c>
      <c r="B40" s="123" t="s">
        <v>194</v>
      </c>
      <c r="C40" s="124">
        <v>0.35199999999999998</v>
      </c>
      <c r="D40" s="124" t="s">
        <v>195</v>
      </c>
      <c r="E40" s="124">
        <v>1.56</v>
      </c>
      <c r="F40" s="125" t="s">
        <v>109</v>
      </c>
      <c r="G40" s="126">
        <v>0.6</v>
      </c>
      <c r="H40" s="124" t="s">
        <v>196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198</v>
      </c>
      <c r="B41" s="123" t="s">
        <v>194</v>
      </c>
      <c r="C41" s="124">
        <v>0.32200000000000001</v>
      </c>
      <c r="D41" s="124" t="s">
        <v>195</v>
      </c>
      <c r="E41" s="124">
        <v>1.56</v>
      </c>
      <c r="F41" s="125" t="s">
        <v>109</v>
      </c>
      <c r="G41" s="126">
        <v>0.6</v>
      </c>
      <c r="H41" s="124" t="s">
        <v>196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199</v>
      </c>
      <c r="B42" s="123" t="s">
        <v>194</v>
      </c>
      <c r="C42" s="124">
        <v>0.311</v>
      </c>
      <c r="D42" s="124" t="s">
        <v>195</v>
      </c>
      <c r="E42" s="124">
        <v>1.56</v>
      </c>
      <c r="F42" s="125" t="s">
        <v>109</v>
      </c>
      <c r="G42" s="126">
        <v>0.6</v>
      </c>
      <c r="H42" s="124" t="s">
        <v>196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200</v>
      </c>
      <c r="B43" s="123" t="s">
        <v>194</v>
      </c>
      <c r="C43" s="124">
        <v>0.33900000000000002</v>
      </c>
      <c r="D43" s="124" t="s">
        <v>195</v>
      </c>
      <c r="E43" s="124">
        <v>1.56</v>
      </c>
      <c r="F43" s="125" t="s">
        <v>109</v>
      </c>
      <c r="G43" s="126">
        <v>0.6</v>
      </c>
      <c r="H43" s="124" t="s">
        <v>196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201</v>
      </c>
      <c r="B44" s="123" t="s">
        <v>194</v>
      </c>
      <c r="C44" s="124">
        <v>0.33600000000000002</v>
      </c>
      <c r="D44" s="124" t="s">
        <v>195</v>
      </c>
      <c r="E44" s="124">
        <v>1.56</v>
      </c>
      <c r="F44" s="125" t="s">
        <v>109</v>
      </c>
      <c r="G44" s="126">
        <v>0.6</v>
      </c>
      <c r="H44" s="124" t="s">
        <v>196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202</v>
      </c>
      <c r="B45" s="123" t="s">
        <v>194</v>
      </c>
      <c r="C45" s="124">
        <v>0.32900000000000001</v>
      </c>
      <c r="D45" s="124" t="s">
        <v>195</v>
      </c>
      <c r="E45" s="124">
        <v>1.56</v>
      </c>
      <c r="F45" s="125" t="s">
        <v>109</v>
      </c>
      <c r="G45" s="126">
        <v>0.6</v>
      </c>
      <c r="H45" s="124" t="s">
        <v>196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203</v>
      </c>
      <c r="B46" s="123" t="s">
        <v>194</v>
      </c>
      <c r="C46" s="124">
        <v>0.34300000000000003</v>
      </c>
      <c r="D46" s="124" t="s">
        <v>195</v>
      </c>
      <c r="E46" s="124">
        <v>1.56</v>
      </c>
      <c r="F46" s="125" t="s">
        <v>109</v>
      </c>
      <c r="G46" s="126">
        <v>0.6</v>
      </c>
      <c r="H46" s="124" t="s">
        <v>196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204</v>
      </c>
      <c r="B47" s="123" t="s">
        <v>194</v>
      </c>
      <c r="C47" s="124">
        <v>0.32500000000000001</v>
      </c>
      <c r="D47" s="124" t="s">
        <v>195</v>
      </c>
      <c r="E47" s="124">
        <v>1.56</v>
      </c>
      <c r="F47" s="125" t="s">
        <v>109</v>
      </c>
      <c r="G47" s="126">
        <v>0.6</v>
      </c>
      <c r="H47" s="124" t="s">
        <v>196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205</v>
      </c>
      <c r="B48" s="123" t="s">
        <v>194</v>
      </c>
      <c r="C48" s="124">
        <v>0.32</v>
      </c>
      <c r="D48" s="124" t="s">
        <v>195</v>
      </c>
      <c r="E48" s="124">
        <v>1.56</v>
      </c>
      <c r="F48" s="125" t="s">
        <v>109</v>
      </c>
      <c r="G48" s="126">
        <v>0.6</v>
      </c>
      <c r="H48" s="124" t="s">
        <v>196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206</v>
      </c>
      <c r="B49" s="123" t="s">
        <v>194</v>
      </c>
      <c r="C49" s="124">
        <v>0.28199999999999997</v>
      </c>
      <c r="D49" s="124" t="s">
        <v>195</v>
      </c>
      <c r="E49" s="124">
        <v>1.56</v>
      </c>
      <c r="F49" s="125" t="s">
        <v>109</v>
      </c>
      <c r="G49" s="126">
        <v>0.6</v>
      </c>
      <c r="H49" s="124" t="s">
        <v>196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207</v>
      </c>
      <c r="B50" s="123" t="s">
        <v>194</v>
      </c>
      <c r="C50" s="124">
        <v>0.32800000000000001</v>
      </c>
      <c r="D50" s="124" t="s">
        <v>195</v>
      </c>
      <c r="E50" s="124">
        <v>1.56</v>
      </c>
      <c r="F50" s="125" t="s">
        <v>109</v>
      </c>
      <c r="G50" s="126">
        <v>0.6</v>
      </c>
      <c r="H50" s="124" t="s">
        <v>196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208</v>
      </c>
      <c r="B51" s="123" t="s">
        <v>194</v>
      </c>
      <c r="C51" s="124">
        <v>0.32600000000000001</v>
      </c>
      <c r="D51" s="124" t="s">
        <v>195</v>
      </c>
      <c r="E51" s="124">
        <v>1.56</v>
      </c>
      <c r="F51" s="125" t="s">
        <v>109</v>
      </c>
      <c r="G51" s="126">
        <v>0.6</v>
      </c>
      <c r="H51" s="124" t="s">
        <v>196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209</v>
      </c>
      <c r="B52" s="123" t="s">
        <v>194</v>
      </c>
      <c r="C52" s="124">
        <v>0.35899999999999999</v>
      </c>
      <c r="D52" s="124" t="s">
        <v>195</v>
      </c>
      <c r="E52" s="124">
        <v>1.56</v>
      </c>
      <c r="F52" s="125" t="s">
        <v>109</v>
      </c>
      <c r="G52" s="126">
        <v>0.6</v>
      </c>
      <c r="H52" s="124" t="s">
        <v>196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210</v>
      </c>
      <c r="B53" s="123" t="s">
        <v>194</v>
      </c>
      <c r="C53" s="124">
        <v>0.34599999999999997</v>
      </c>
      <c r="D53" s="124" t="s">
        <v>195</v>
      </c>
      <c r="E53" s="124">
        <v>1.56</v>
      </c>
      <c r="F53" s="125" t="s">
        <v>109</v>
      </c>
      <c r="G53" s="126">
        <v>0.6</v>
      </c>
      <c r="H53" s="124" t="s">
        <v>196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211</v>
      </c>
      <c r="B54" s="123" t="s">
        <v>194</v>
      </c>
      <c r="C54" s="124">
        <v>0.32600000000000001</v>
      </c>
      <c r="D54" s="124" t="s">
        <v>195</v>
      </c>
      <c r="E54" s="124">
        <v>1.56</v>
      </c>
      <c r="F54" s="125" t="s">
        <v>109</v>
      </c>
      <c r="G54" s="126">
        <v>0.6</v>
      </c>
      <c r="H54" s="124" t="s">
        <v>196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212</v>
      </c>
      <c r="B55" s="123" t="s">
        <v>194</v>
      </c>
      <c r="C55" s="124">
        <v>0.30499999999999999</v>
      </c>
      <c r="D55" s="124" t="s">
        <v>195</v>
      </c>
      <c r="E55" s="124">
        <v>1.56</v>
      </c>
      <c r="F55" s="125" t="s">
        <v>109</v>
      </c>
      <c r="G55" s="126">
        <v>0.6</v>
      </c>
      <c r="H55" s="124" t="s">
        <v>196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213</v>
      </c>
      <c r="B56" s="123" t="s">
        <v>194</v>
      </c>
      <c r="C56" s="124">
        <v>0.32300000000000001</v>
      </c>
      <c r="D56" s="124" t="s">
        <v>195</v>
      </c>
      <c r="E56" s="124">
        <v>1.56</v>
      </c>
      <c r="F56" s="125" t="s">
        <v>109</v>
      </c>
      <c r="G56" s="126">
        <v>0.6</v>
      </c>
      <c r="H56" s="124" t="s">
        <v>196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214</v>
      </c>
      <c r="B57" s="123" t="s">
        <v>194</v>
      </c>
      <c r="C57" s="124">
        <v>0.36699999999999999</v>
      </c>
      <c r="D57" s="124" t="s">
        <v>195</v>
      </c>
      <c r="E57" s="124">
        <v>1.56</v>
      </c>
      <c r="F57" s="125" t="s">
        <v>109</v>
      </c>
      <c r="G57" s="126">
        <v>0.6</v>
      </c>
      <c r="H57" s="124" t="s">
        <v>196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215</v>
      </c>
      <c r="B58" s="123" t="s">
        <v>194</v>
      </c>
      <c r="C58" s="124">
        <v>0.36</v>
      </c>
      <c r="D58" s="124" t="s">
        <v>195</v>
      </c>
      <c r="E58" s="124">
        <v>1.56</v>
      </c>
      <c r="F58" s="125" t="s">
        <v>109</v>
      </c>
      <c r="G58" s="126">
        <v>0.6</v>
      </c>
      <c r="H58" s="124" t="s">
        <v>196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216</v>
      </c>
      <c r="B59" s="123" t="s">
        <v>194</v>
      </c>
      <c r="C59" s="124">
        <v>0.36799999999999999</v>
      </c>
      <c r="D59" s="124" t="s">
        <v>195</v>
      </c>
      <c r="E59" s="124">
        <v>1.56</v>
      </c>
      <c r="F59" s="125" t="s">
        <v>109</v>
      </c>
      <c r="G59" s="126">
        <v>0.6</v>
      </c>
      <c r="H59" s="124" t="s">
        <v>196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217</v>
      </c>
      <c r="B60" s="123" t="s">
        <v>194</v>
      </c>
      <c r="C60" s="124">
        <v>0.30599999999999999</v>
      </c>
      <c r="D60" s="124" t="s">
        <v>195</v>
      </c>
      <c r="E60" s="124">
        <v>1.56</v>
      </c>
      <c r="F60" s="125" t="s">
        <v>109</v>
      </c>
      <c r="G60" s="126">
        <v>0.6</v>
      </c>
      <c r="H60" s="124" t="s">
        <v>196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218</v>
      </c>
      <c r="B61" s="123" t="s">
        <v>194</v>
      </c>
      <c r="C61" s="124">
        <v>0.313</v>
      </c>
      <c r="D61" s="124" t="s">
        <v>195</v>
      </c>
      <c r="E61" s="124">
        <v>1.56</v>
      </c>
      <c r="F61" s="125" t="s">
        <v>109</v>
      </c>
      <c r="G61" s="126">
        <v>0.6</v>
      </c>
      <c r="H61" s="124" t="s">
        <v>196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219</v>
      </c>
      <c r="B62" s="123" t="s">
        <v>220</v>
      </c>
      <c r="C62" s="124">
        <v>0.37</v>
      </c>
      <c r="D62" s="124" t="s">
        <v>108</v>
      </c>
      <c r="E62" s="124">
        <v>1.56</v>
      </c>
      <c r="F62" s="125" t="s">
        <v>109</v>
      </c>
      <c r="G62" s="126">
        <v>0.6</v>
      </c>
      <c r="H62" s="124" t="s">
        <v>196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221</v>
      </c>
      <c r="B63" s="123" t="s">
        <v>222</v>
      </c>
      <c r="C63" s="124">
        <v>0.45</v>
      </c>
      <c r="D63" s="124" t="s">
        <v>108</v>
      </c>
      <c r="E63" s="124">
        <v>1.3</v>
      </c>
      <c r="F63" s="125" t="s">
        <v>109</v>
      </c>
      <c r="G63" s="126">
        <v>0.45</v>
      </c>
      <c r="H63" s="124" t="s">
        <v>223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224</v>
      </c>
      <c r="B64" s="123" t="s">
        <v>225</v>
      </c>
      <c r="C64" s="124">
        <v>0.39</v>
      </c>
      <c r="D64" s="124" t="s">
        <v>108</v>
      </c>
      <c r="E64" s="124">
        <v>1.3</v>
      </c>
      <c r="F64" s="125" t="s">
        <v>109</v>
      </c>
      <c r="G64" s="126">
        <v>0.45</v>
      </c>
      <c r="H64" s="124" t="s">
        <v>223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226</v>
      </c>
      <c r="B65" s="123" t="s">
        <v>227</v>
      </c>
      <c r="C65" s="124">
        <v>0.44</v>
      </c>
      <c r="D65" s="124" t="s">
        <v>108</v>
      </c>
      <c r="E65" s="124">
        <v>1.3</v>
      </c>
      <c r="F65" s="125" t="s">
        <v>109</v>
      </c>
      <c r="G65" s="126">
        <v>0.45</v>
      </c>
      <c r="H65" s="124" t="s">
        <v>223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228</v>
      </c>
      <c r="B66" s="123" t="s">
        <v>229</v>
      </c>
      <c r="C66" s="124">
        <v>0.46</v>
      </c>
      <c r="D66" s="124" t="s">
        <v>108</v>
      </c>
      <c r="E66" s="124">
        <v>1.3</v>
      </c>
      <c r="F66" s="125" t="s">
        <v>109</v>
      </c>
      <c r="G66" s="126">
        <v>0.45</v>
      </c>
      <c r="H66" s="124" t="s">
        <v>223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230</v>
      </c>
      <c r="B67" s="123" t="s">
        <v>231</v>
      </c>
      <c r="C67" s="124">
        <v>0.46</v>
      </c>
      <c r="D67" s="124" t="s">
        <v>108</v>
      </c>
      <c r="E67" s="124">
        <v>1.3</v>
      </c>
      <c r="F67" s="125" t="s">
        <v>109</v>
      </c>
      <c r="G67" s="126">
        <v>0.45</v>
      </c>
      <c r="H67" s="124" t="s">
        <v>135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232</v>
      </c>
      <c r="B68" s="123" t="s">
        <v>233</v>
      </c>
      <c r="C68" s="124">
        <v>0.44</v>
      </c>
      <c r="D68" s="124" t="s">
        <v>108</v>
      </c>
      <c r="E68" s="124">
        <v>1.3</v>
      </c>
      <c r="F68" s="125" t="s">
        <v>109</v>
      </c>
      <c r="G68" s="126">
        <v>0.45</v>
      </c>
      <c r="H68" s="124" t="s">
        <v>223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234</v>
      </c>
      <c r="B69" s="123" t="s">
        <v>235</v>
      </c>
      <c r="C69" s="124">
        <v>0.46</v>
      </c>
      <c r="D69" s="124" t="s">
        <v>108</v>
      </c>
      <c r="E69" s="124">
        <v>1.3</v>
      </c>
      <c r="F69" s="125" t="s">
        <v>109</v>
      </c>
      <c r="G69" s="126">
        <v>0.45</v>
      </c>
      <c r="H69" s="124" t="s">
        <v>223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236</v>
      </c>
      <c r="B70" s="123" t="s">
        <v>237</v>
      </c>
      <c r="C70" s="124">
        <v>0.48</v>
      </c>
      <c r="D70" s="124" t="s">
        <v>108</v>
      </c>
      <c r="E70" s="124">
        <v>2.4</v>
      </c>
      <c r="F70" s="124" t="s">
        <v>238</v>
      </c>
      <c r="G70" s="126">
        <v>0.45</v>
      </c>
      <c r="H70" s="124" t="s">
        <v>223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239</v>
      </c>
      <c r="B71" s="123" t="s">
        <v>240</v>
      </c>
      <c r="C71" s="124">
        <v>0.46</v>
      </c>
      <c r="D71" s="124" t="s">
        <v>241</v>
      </c>
      <c r="E71" s="124">
        <v>1.3</v>
      </c>
      <c r="F71" s="125" t="s">
        <v>109</v>
      </c>
      <c r="G71" s="126">
        <v>0.45</v>
      </c>
      <c r="H71" s="124" t="s">
        <v>223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242</v>
      </c>
      <c r="B72" s="123" t="s">
        <v>243</v>
      </c>
      <c r="C72" s="124">
        <v>0.44</v>
      </c>
      <c r="D72" s="124" t="s">
        <v>108</v>
      </c>
      <c r="E72" s="124">
        <v>1.3</v>
      </c>
      <c r="F72" s="125" t="s">
        <v>109</v>
      </c>
      <c r="G72" s="126">
        <v>0.45</v>
      </c>
      <c r="H72" s="124" t="s">
        <v>223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244</v>
      </c>
      <c r="B73" s="123" t="s">
        <v>245</v>
      </c>
      <c r="C73" s="124">
        <v>0.46</v>
      </c>
      <c r="D73" s="124" t="s">
        <v>246</v>
      </c>
      <c r="E73" s="124">
        <v>1.3</v>
      </c>
      <c r="F73" s="125" t="s">
        <v>109</v>
      </c>
      <c r="G73" s="126">
        <v>0.45</v>
      </c>
      <c r="H73" s="124" t="s">
        <v>223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247</v>
      </c>
      <c r="B74" s="123" t="s">
        <v>248</v>
      </c>
      <c r="C74" s="124">
        <v>0.34</v>
      </c>
      <c r="D74" s="124" t="s">
        <v>108</v>
      </c>
      <c r="E74" s="124">
        <v>1.3</v>
      </c>
      <c r="F74" s="125" t="s">
        <v>109</v>
      </c>
      <c r="G74" s="126">
        <v>0.45</v>
      </c>
      <c r="H74" s="124" t="s">
        <v>223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249</v>
      </c>
      <c r="B75" s="123" t="s">
        <v>250</v>
      </c>
      <c r="C75" s="124">
        <v>0.5</v>
      </c>
      <c r="D75" s="124" t="s">
        <v>108</v>
      </c>
      <c r="E75" s="124">
        <v>1.56</v>
      </c>
      <c r="F75" s="125" t="s">
        <v>109</v>
      </c>
      <c r="G75" s="126">
        <v>0.53</v>
      </c>
      <c r="H75" s="124" t="s">
        <v>166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251</v>
      </c>
      <c r="B76" s="123" t="s">
        <v>252</v>
      </c>
      <c r="C76" s="124">
        <v>0.57999999999999996</v>
      </c>
      <c r="D76" s="124" t="s">
        <v>108</v>
      </c>
      <c r="E76" s="124">
        <v>1.56</v>
      </c>
      <c r="F76" s="125" t="s">
        <v>109</v>
      </c>
      <c r="G76" s="126">
        <v>0.3</v>
      </c>
      <c r="H76" s="124" t="s">
        <v>253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254</v>
      </c>
      <c r="B77" s="123" t="s">
        <v>255</v>
      </c>
      <c r="C77" s="124">
        <v>0.37</v>
      </c>
      <c r="D77" s="124" t="s">
        <v>108</v>
      </c>
      <c r="E77" s="124">
        <v>1.3</v>
      </c>
      <c r="F77" s="125" t="s">
        <v>109</v>
      </c>
      <c r="G77" s="126">
        <v>0.55000000000000004</v>
      </c>
      <c r="H77" s="124" t="s">
        <v>135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256</v>
      </c>
      <c r="B78" s="123" t="s">
        <v>257</v>
      </c>
      <c r="C78" s="124">
        <v>0.37</v>
      </c>
      <c r="D78" s="124" t="s">
        <v>108</v>
      </c>
      <c r="E78" s="124">
        <v>1.3</v>
      </c>
      <c r="F78" s="125" t="s">
        <v>109</v>
      </c>
      <c r="G78" s="126">
        <v>0.55000000000000004</v>
      </c>
      <c r="H78" s="124" t="s">
        <v>135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258</v>
      </c>
      <c r="B79" s="123" t="s">
        <v>259</v>
      </c>
      <c r="C79" s="124">
        <v>0.38</v>
      </c>
      <c r="D79" s="124" t="s">
        <v>108</v>
      </c>
      <c r="E79" s="124">
        <v>1.3</v>
      </c>
      <c r="F79" s="125" t="s">
        <v>109</v>
      </c>
      <c r="G79" s="126">
        <v>0.55000000000000004</v>
      </c>
      <c r="H79" s="124" t="s">
        <v>125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260</v>
      </c>
      <c r="B80" s="123" t="s">
        <v>261</v>
      </c>
      <c r="C80" s="124">
        <v>0.36</v>
      </c>
      <c r="D80" s="124" t="s">
        <v>108</v>
      </c>
      <c r="E80" s="124">
        <v>1.3</v>
      </c>
      <c r="F80" s="125" t="s">
        <v>109</v>
      </c>
      <c r="G80" s="126">
        <v>0.55000000000000004</v>
      </c>
      <c r="H80" s="124" t="s">
        <v>125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262</v>
      </c>
      <c r="B81" s="123" t="s">
        <v>263</v>
      </c>
      <c r="C81" s="124">
        <v>0.37</v>
      </c>
      <c r="D81" s="124" t="s">
        <v>108</v>
      </c>
      <c r="E81" s="124">
        <v>1.56</v>
      </c>
      <c r="F81" s="125" t="s">
        <v>109</v>
      </c>
      <c r="G81" s="126">
        <v>0.43</v>
      </c>
      <c r="H81" s="124" t="s">
        <v>110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264</v>
      </c>
      <c r="B82" s="123" t="s">
        <v>265</v>
      </c>
      <c r="C82" s="124">
        <v>0.35</v>
      </c>
      <c r="D82" s="124" t="s">
        <v>266</v>
      </c>
      <c r="E82" s="124">
        <v>1.3</v>
      </c>
      <c r="F82" s="125" t="s">
        <v>109</v>
      </c>
      <c r="G82" s="126">
        <v>0.55000000000000004</v>
      </c>
      <c r="H82" s="124" t="s">
        <v>125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267</v>
      </c>
      <c r="B83" s="123" t="s">
        <v>268</v>
      </c>
      <c r="C83" s="124">
        <v>0.34</v>
      </c>
      <c r="D83" s="124" t="s">
        <v>108</v>
      </c>
      <c r="E83" s="124">
        <v>1.3</v>
      </c>
      <c r="F83" s="125" t="s">
        <v>109</v>
      </c>
      <c r="G83" s="126">
        <v>0.55000000000000004</v>
      </c>
      <c r="H83" s="124" t="s">
        <v>125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269</v>
      </c>
      <c r="B84" s="123" t="s">
        <v>270</v>
      </c>
      <c r="C84" s="124">
        <v>0.31</v>
      </c>
      <c r="D84" s="124" t="s">
        <v>108</v>
      </c>
      <c r="E84" s="124">
        <v>1.3</v>
      </c>
      <c r="F84" s="125" t="s">
        <v>109</v>
      </c>
      <c r="G84" s="126">
        <v>0.55000000000000004</v>
      </c>
      <c r="H84" s="124" t="s">
        <v>125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271</v>
      </c>
      <c r="B85" s="123" t="s">
        <v>272</v>
      </c>
      <c r="C85" s="124">
        <v>0.43</v>
      </c>
      <c r="D85" s="124" t="s">
        <v>108</v>
      </c>
      <c r="E85" s="124">
        <v>1.56</v>
      </c>
      <c r="F85" s="125" t="s">
        <v>109</v>
      </c>
      <c r="G85" s="126">
        <v>0.53</v>
      </c>
      <c r="H85" s="124" t="s">
        <v>166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273</v>
      </c>
      <c r="B86" s="123" t="s">
        <v>274</v>
      </c>
      <c r="C86" s="124">
        <v>0.38</v>
      </c>
      <c r="D86" s="124" t="s">
        <v>108</v>
      </c>
      <c r="E86" s="124">
        <v>1.56</v>
      </c>
      <c r="F86" s="125" t="s">
        <v>109</v>
      </c>
      <c r="G86" s="126">
        <v>0.6</v>
      </c>
      <c r="H86" s="124" t="s">
        <v>275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276</v>
      </c>
      <c r="B87" s="252" t="s">
        <v>277</v>
      </c>
      <c r="C87" s="253">
        <v>0.41</v>
      </c>
      <c r="D87" s="253" t="s">
        <v>278</v>
      </c>
      <c r="E87" s="253">
        <v>1.56</v>
      </c>
      <c r="F87" s="254" t="s">
        <v>109</v>
      </c>
      <c r="G87" s="255">
        <v>0.43</v>
      </c>
      <c r="H87" s="253" t="s">
        <v>110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68</v>
      </c>
      <c r="B88" s="130"/>
      <c r="C88" s="124">
        <v>0.42</v>
      </c>
      <c r="D88" s="124" t="s">
        <v>108</v>
      </c>
      <c r="E88" s="124">
        <v>1.3</v>
      </c>
      <c r="F88" s="125" t="s">
        <v>109</v>
      </c>
      <c r="G88" s="131"/>
      <c r="H88" s="130"/>
      <c r="I88" s="132"/>
    </row>
    <row r="89" spans="1:14" ht="15" thickBot="1" x14ac:dyDescent="0.35">
      <c r="A89" s="133" t="s">
        <v>279</v>
      </c>
      <c r="B89" s="134"/>
      <c r="C89" s="135">
        <v>0.56999999999999995</v>
      </c>
      <c r="D89" s="136" t="s">
        <v>108</v>
      </c>
      <c r="E89" s="135">
        <v>1.56</v>
      </c>
      <c r="F89" s="135" t="s">
        <v>109</v>
      </c>
      <c r="G89" s="134"/>
      <c r="H89" s="134"/>
      <c r="I89" s="137"/>
    </row>
    <row r="93" spans="1:14" x14ac:dyDescent="0.3">
      <c r="A93" s="122" t="s">
        <v>69</v>
      </c>
    </row>
    <row r="94" spans="1:14" x14ac:dyDescent="0.3">
      <c r="A94" s="122" t="s">
        <v>70</v>
      </c>
    </row>
    <row r="95" spans="1:14" x14ac:dyDescent="0.3">
      <c r="A95" s="122" t="s">
        <v>71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M6" sqref="M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280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281</v>
      </c>
      <c r="B5" s="139" t="s">
        <v>282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283</v>
      </c>
      <c r="F5" s="140" t="s">
        <v>284</v>
      </c>
      <c r="G5" s="140" t="s">
        <v>285</v>
      </c>
      <c r="H5" s="141" t="s">
        <v>286</v>
      </c>
      <c r="I5" s="142" t="s">
        <v>287</v>
      </c>
      <c r="J5" s="143" t="s">
        <v>288</v>
      </c>
      <c r="K5" s="144" t="s">
        <v>289</v>
      </c>
      <c r="L5" s="84" t="s">
        <v>290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maritime</v>
      </c>
      <c r="B6" s="146">
        <f>'Données projet'!D9</f>
        <v>5.49</v>
      </c>
      <c r="C6" s="147">
        <f ca="1">IF(OR('Données projet'!B9="",'Données projet'!C9="",'Données projet'!C9=0%),0,Calculateur!S3)</f>
        <v>212.70058550761718</v>
      </c>
      <c r="D6" s="147">
        <f>IF(OR('Données projet'!B9="",'Données projet'!C9="",'Données projet'!C9=0%),0,Calculateur!T3)</f>
        <v>208.28274083874896</v>
      </c>
      <c r="E6" s="147">
        <f ca="1">MIN(C6,D6)</f>
        <v>208.28274083874896</v>
      </c>
      <c r="F6" s="147">
        <f ca="1">E6*B6</f>
        <v>1143.472247204732</v>
      </c>
      <c r="G6" s="147">
        <f ca="1">F6*(100%-'Données projet'!$C$24)*(100%-'Données projet'!$C$25)*(100%-'Données projet'!$C$26)*(100%-'Données projet'!$C$27)</f>
        <v>874.75626911161999</v>
      </c>
      <c r="H6" s="148">
        <f>IF(OR('Données projet'!B9="",'Données projet'!C9="",'Données projet'!C9=0%),0,AVERAGE(Calculateur!$AC$3:$AC$33)*B6)</f>
        <v>60.201755411795972</v>
      </c>
      <c r="I6" s="149">
        <f>H6*(100%-'Données projet'!$C$24)*(100%-'Données projet'!$C$25)*(100%-'Données projet'!$C$26)*(100%-'Données projet'!$C$27)</f>
        <v>46.054342890023918</v>
      </c>
      <c r="J6" s="150">
        <f>IF(OR('Données projet'!B9="",'Données projet'!C9="",'Données projet'!C9=0%),0,SUM(Calculateur!$V$3:$V$33)*VLOOKUP('Données projet'!$B$9,Paramètres!$A$1:$I$89,9,0)*B6)</f>
        <v>496.06816499999991</v>
      </c>
      <c r="K6" s="151">
        <f>J6*(100%-'Données projet'!$C$24)*(100%-'Données projet'!$C$25)*(100%-'Données projet'!$C$26)*(100%-'Données projet'!$C$27)</f>
        <v>379.49214622499994</v>
      </c>
      <c r="L6" s="152">
        <f ca="1">G6+I6+K6</f>
        <v>1300.3027582266438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rouge d'Amérique</v>
      </c>
      <c r="B7" s="154">
        <f>'Données projet'!D10</f>
        <v>0.61</v>
      </c>
      <c r="C7" s="147">
        <f ca="1">IF(OR('Données projet'!B10="",'Données projet'!C10="",'Données projet'!C10=0%),0,Calculateur!AN3)</f>
        <v>74.715815024475376</v>
      </c>
      <c r="D7" s="147">
        <f>IF(OR('Données projet'!B10="",'Données projet'!C10="",'Données projet'!C10=0%),0,Calculateur!AO3)</f>
        <v>87.801612218507501</v>
      </c>
      <c r="E7" s="147">
        <f t="shared" ref="E7:E15" ca="1" si="0">MIN(C7,D7)</f>
        <v>74.715815024475376</v>
      </c>
      <c r="F7" s="147">
        <f t="shared" ref="F7:F15" ca="1" si="1">E7*B7</f>
        <v>45.57664716492998</v>
      </c>
      <c r="G7" s="147">
        <f ca="1">F7*(100%-'Données projet'!$C$24)*(100%-'Données projet'!$C$25)*(100%-'Données projet'!$C$26)*(100%-'Données projet'!$C$27)</f>
        <v>34.866135081171436</v>
      </c>
      <c r="H7" s="155">
        <f>IF(OR('Données projet'!B10="",'Données projet'!C10="",'Données projet'!C10=0%),0,AVERAGE(Calculateur!$AX$3:$AX$33)*B7)</f>
        <v>1.0572102240642547</v>
      </c>
      <c r="I7" s="149">
        <f>H7*(100%-'Données projet'!$C$24)*(100%-'Données projet'!$C$25)*(100%-'Données projet'!$C$26)*(100%-'Données projet'!$C$27)</f>
        <v>0.80876582140915487</v>
      </c>
      <c r="J7" s="150">
        <f>IF(OR('Données projet'!B10="",'Données projet'!C10="",'Données projet'!C10=0%),0,SUM(Calculateur!$AQ$3:$AQ$33)*VLOOKUP('Données projet'!$B$10,Paramètres!$A$1:$I$89,9,0)*B7)</f>
        <v>6.647435897435896</v>
      </c>
      <c r="K7" s="151">
        <f>J7*(100%-'Données projet'!$C$24)*(100%-'Données projet'!$C$25)*(100%-'Données projet'!$C$26)*(100%-'Données projet'!$C$27)</f>
        <v>5.0852884615384601</v>
      </c>
      <c r="L7" s="152">
        <f t="shared" ref="L7:L15" ca="1" si="2">G7+I7+K7</f>
        <v>40.76018936411905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1189.0488943696619</v>
      </c>
      <c r="G16" s="166">
        <f t="shared" ca="1" si="3"/>
        <v>909.62240419279146</v>
      </c>
      <c r="H16" s="167">
        <f t="shared" si="3"/>
        <v>61.258965635860228</v>
      </c>
      <c r="I16" s="167">
        <f t="shared" si="3"/>
        <v>46.863108711433071</v>
      </c>
      <c r="J16" s="168">
        <f t="shared" si="3"/>
        <v>502.71560089743582</v>
      </c>
      <c r="K16" s="168">
        <f t="shared" si="3"/>
        <v>384.57743468653842</v>
      </c>
      <c r="L16" s="169">
        <f t="shared" ca="1" si="3"/>
        <v>1341.0629475907629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291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rouge d'Amérique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44" zoomScale="80" zoomScaleNormal="80" workbookViewId="0">
      <selection activeCell="C54" sqref="C54:C72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292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293</v>
      </c>
      <c r="I4" s="258"/>
      <c r="K4" s="300" t="s">
        <v>294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54</v>
      </c>
      <c r="O7" s="247"/>
      <c r="P7" s="248"/>
      <c r="Q7" s="249"/>
      <c r="R7" s="292" t="s">
        <v>295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296</v>
      </c>
      <c r="C9" s="23"/>
      <c r="D9" s="23"/>
      <c r="E9" s="23"/>
      <c r="F9" s="230"/>
      <c r="G9" s="93" t="s">
        <v>297</v>
      </c>
      <c r="J9" s="200"/>
      <c r="K9" s="208"/>
      <c r="O9" s="23"/>
      <c r="P9" s="23"/>
      <c r="Q9" s="234"/>
      <c r="R9" s="23"/>
      <c r="S9" s="4"/>
      <c r="T9" s="36" t="s">
        <v>298</v>
      </c>
      <c r="U9" s="176" t="s">
        <v>299</v>
      </c>
      <c r="V9" s="36" t="s">
        <v>300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301</v>
      </c>
      <c r="C10" s="23"/>
      <c r="D10" s="23"/>
      <c r="E10" s="23"/>
      <c r="F10" s="230"/>
      <c r="G10" s="93" t="s">
        <v>302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-2740.7958413440992</v>
      </c>
      <c r="U10" s="178">
        <f>'Données projet'!D9</f>
        <v>5.49</v>
      </c>
      <c r="V10" s="177">
        <f>U10*T10</f>
        <v>-15046.969168979105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303</v>
      </c>
      <c r="B11" s="23"/>
      <c r="C11" s="23"/>
      <c r="D11" s="23"/>
      <c r="E11" s="23"/>
      <c r="F11" s="230"/>
      <c r="G11" s="93" t="s">
        <v>304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rouge d'Amérique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-5805.9951170808463</v>
      </c>
      <c r="U11" s="178">
        <f>'Données projet'!D10</f>
        <v>0.61</v>
      </c>
      <c r="V11" s="177">
        <f t="shared" ref="V11" si="0">U11*T11</f>
        <v>-3541.6570214193162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305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73</v>
      </c>
      <c r="I14" s="36" t="s">
        <v>306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307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45</v>
      </c>
      <c r="B16" s="48" t="s">
        <v>308</v>
      </c>
      <c r="C16" s="48" t="s">
        <v>309</v>
      </c>
      <c r="D16" s="36" t="s">
        <v>310</v>
      </c>
      <c r="E16" s="36" t="s">
        <v>311</v>
      </c>
      <c r="F16" s="230"/>
      <c r="G16" s="303"/>
      <c r="H16" s="190"/>
      <c r="I16" s="191"/>
      <c r="J16" s="202"/>
      <c r="K16" s="208"/>
      <c r="L16" s="300" t="s">
        <v>312</v>
      </c>
      <c r="M16" s="301"/>
      <c r="N16" s="2">
        <v>60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194</v>
      </c>
      <c r="C17" s="198" t="s">
        <v>194</v>
      </c>
      <c r="D17" s="197" t="s">
        <v>194</v>
      </c>
      <c r="E17" s="193">
        <f>1600*(0.3+0.4)+1300</f>
        <v>2420</v>
      </c>
      <c r="F17" s="230"/>
      <c r="G17" s="303"/>
      <c r="I17" s="1" t="s">
        <v>313</v>
      </c>
      <c r="J17" s="202"/>
      <c r="K17" s="208"/>
      <c r="L17" s="260" t="s">
        <v>314</v>
      </c>
      <c r="M17" s="262"/>
      <c r="N17" s="175">
        <f>VLOOKUP(N16,Calculateur!$A$2:$H$153,3,0)/VLOOKUP('Scénario référence'!$G$15,Paramètres!A1:I89,3,0)/VLOOKUP('Scénario référence'!$G$15,Paramètres!A1:I89,5,0)</f>
        <v>60.000000000000057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194</v>
      </c>
      <c r="C18" s="198" t="s">
        <v>194</v>
      </c>
      <c r="D18" s="197" t="s">
        <v>194</v>
      </c>
      <c r="E18" s="193">
        <f>220+430</f>
        <v>650</v>
      </c>
      <c r="F18" s="230"/>
      <c r="G18" s="303"/>
      <c r="I18" s="1" t="s">
        <v>315</v>
      </c>
      <c r="J18" s="202"/>
      <c r="K18" s="208"/>
      <c r="L18" s="260" t="s">
        <v>309</v>
      </c>
      <c r="M18" s="262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194</v>
      </c>
      <c r="C19" s="198" t="s">
        <v>194</v>
      </c>
      <c r="D19" s="197" t="s">
        <v>194</v>
      </c>
      <c r="E19" s="193">
        <f>400+430+15%*E17</f>
        <v>1193</v>
      </c>
      <c r="F19" s="230"/>
      <c r="G19" s="303"/>
      <c r="H19" s="212" t="s">
        <v>73</v>
      </c>
      <c r="I19" s="212" t="s">
        <v>316</v>
      </c>
      <c r="J19" s="93"/>
      <c r="K19" s="173"/>
      <c r="L19" s="300" t="s">
        <v>317</v>
      </c>
      <c r="M19" s="301"/>
      <c r="N19" s="179">
        <f>N17*N18</f>
        <v>300.00000000000028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194</v>
      </c>
      <c r="C20" s="198" t="s">
        <v>194</v>
      </c>
      <c r="D20" s="197" t="s">
        <v>194</v>
      </c>
      <c r="E20" s="193">
        <f>220+430</f>
        <v>650</v>
      </c>
      <c r="F20" s="230"/>
      <c r="G20" s="303"/>
      <c r="H20" s="190">
        <v>1</v>
      </c>
      <c r="I20" s="191">
        <f>20+(400/SUM(U10:U19)+20)+(200/SUM(U10:U19)+10)+(300+300+195)/'Données projet'!C5</f>
        <v>278.68852459016398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194</v>
      </c>
      <c r="C21" s="198" t="s">
        <v>194</v>
      </c>
      <c r="D21" s="197" t="s">
        <v>194</v>
      </c>
      <c r="E21" s="193"/>
      <c r="F21" s="230"/>
      <c r="H21" s="190">
        <v>2</v>
      </c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194</v>
      </c>
      <c r="C22" s="198" t="s">
        <v>194</v>
      </c>
      <c r="D22" s="197" t="s">
        <v>194</v>
      </c>
      <c r="E22" s="193"/>
      <c r="F22" s="230"/>
      <c r="H22" s="190">
        <v>3</v>
      </c>
      <c r="I22" s="191">
        <f>20+200/SUM(U10:U19)+10</f>
        <v>62.786885245901637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17</v>
      </c>
      <c r="B23" s="181">
        <f>'Données projet'!D36</f>
        <v>40.76</v>
      </c>
      <c r="C23" s="193">
        <v>5</v>
      </c>
      <c r="D23" s="182">
        <f>B23*C23</f>
        <v>203.79999999999998</v>
      </c>
      <c r="E23" s="193"/>
      <c r="F23" s="230"/>
      <c r="H23" s="190">
        <v>4</v>
      </c>
      <c r="I23" s="191"/>
      <c r="K23" s="208"/>
      <c r="L23" s="302" t="s">
        <v>318</v>
      </c>
      <c r="M23" s="302"/>
      <c r="N23" s="302"/>
      <c r="O23" s="23"/>
      <c r="P23" s="23"/>
      <c r="Q23" s="234"/>
      <c r="R23" s="23"/>
      <c r="S23" s="36" t="s">
        <v>319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-24358.611028311301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23</v>
      </c>
      <c r="B24" s="181">
        <f>'Données projet'!D37</f>
        <v>57.75</v>
      </c>
      <c r="C24" s="193">
        <v>8.5</v>
      </c>
      <c r="D24" s="182">
        <f t="shared" ref="D24:D42" si="2">B24*C24</f>
        <v>490.875</v>
      </c>
      <c r="E24" s="193"/>
      <c r="F24" s="233"/>
      <c r="H24" s="190">
        <v>5</v>
      </c>
      <c r="I24" s="191">
        <f>20+8%*(SUM(E17:E22)*U10+SUM(E$48:E53)*U11+SUM(E79:E84)*U12+SUM(E110:E115)*U13+SUM(E141:E146)*U14+SUM(E172:E177)*U15+SUM(E203:E208)*U16+SUM(E234:E239)*U17+SUM(E265:E270)*U18+SUM(E296:E301)*U19)/SUM(U10:U19)</f>
        <v>425.55199999999996</v>
      </c>
      <c r="K24" s="208"/>
      <c r="O24" s="23"/>
      <c r="P24" s="23"/>
      <c r="Q24" s="234"/>
      <c r="R24" s="23"/>
      <c r="S24" s="36" t="s">
        <v>320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130.45888515375404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29</v>
      </c>
      <c r="B25" s="181">
        <f>'Données projet'!D38</f>
        <v>54.64</v>
      </c>
      <c r="C25" s="193">
        <v>8.5</v>
      </c>
      <c r="D25" s="182">
        <f t="shared" si="2"/>
        <v>464.44</v>
      </c>
      <c r="E25" s="193"/>
      <c r="F25" s="233"/>
      <c r="H25" s="190">
        <v>6</v>
      </c>
      <c r="I25" s="191">
        <v>20</v>
      </c>
      <c r="K25" s="208"/>
      <c r="L25" s="130" t="s">
        <v>321</v>
      </c>
      <c r="M25" s="130"/>
      <c r="N25" s="130"/>
      <c r="O25" s="130"/>
      <c r="P25" s="192"/>
      <c r="Q25" s="234"/>
      <c r="R25" s="23"/>
      <c r="S25" s="186" t="s">
        <v>322</v>
      </c>
      <c r="T25" s="299">
        <f ca="1">T23-T24</f>
        <v>-24489.069913465057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36</v>
      </c>
      <c r="B26" s="181">
        <f>'Données projet'!D39</f>
        <v>76.069999999999993</v>
      </c>
      <c r="C26" s="193">
        <v>15.5</v>
      </c>
      <c r="D26" s="182">
        <f t="shared" si="2"/>
        <v>1179.0849999999998</v>
      </c>
      <c r="E26" s="193"/>
      <c r="F26" s="233"/>
      <c r="G26" s="229"/>
      <c r="H26" s="190">
        <v>7</v>
      </c>
      <c r="I26" s="191">
        <v>20</v>
      </c>
      <c r="K26" s="208"/>
      <c r="L26" s="286" t="s">
        <v>323</v>
      </c>
      <c r="M26" s="287"/>
      <c r="N26" s="287"/>
      <c r="O26" s="287"/>
      <c r="P26" s="288"/>
      <c r="Q26" s="234"/>
      <c r="R26" s="23"/>
      <c r="S26" s="186" t="s">
        <v>324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44</v>
      </c>
      <c r="B27" s="181">
        <f>'Données projet'!D40</f>
        <v>77.91</v>
      </c>
      <c r="C27" s="193">
        <v>15.5</v>
      </c>
      <c r="D27" s="182">
        <f t="shared" si="2"/>
        <v>1207.605</v>
      </c>
      <c r="E27" s="193"/>
      <c r="F27" s="233"/>
      <c r="G27" s="229"/>
      <c r="H27" s="190">
        <v>8</v>
      </c>
      <c r="I27" s="191">
        <v>20</v>
      </c>
      <c r="K27" s="208"/>
      <c r="L27" s="289"/>
      <c r="M27" s="290"/>
      <c r="N27" s="290"/>
      <c r="O27" s="290"/>
      <c r="P27" s="291"/>
      <c r="Q27" s="234"/>
      <c r="R27" s="23"/>
      <c r="S27" s="295" t="s">
        <v>325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52</v>
      </c>
      <c r="B28" s="181">
        <f>'Données projet'!D41</f>
        <v>75.37</v>
      </c>
      <c r="C28" s="193">
        <v>29.5</v>
      </c>
      <c r="D28" s="182">
        <f t="shared" si="2"/>
        <v>2223.415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60</v>
      </c>
      <c r="B29" s="181">
        <f>'Données projet'!D42</f>
        <v>436.34</v>
      </c>
      <c r="C29" s="193">
        <v>29.5</v>
      </c>
      <c r="D29" s="182">
        <f t="shared" si="2"/>
        <v>12872.029999999999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S29" s="1" t="s">
        <v>327</v>
      </c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>
        <v>11</v>
      </c>
      <c r="I30" s="191">
        <v>20</v>
      </c>
      <c r="K30" s="183"/>
      <c r="L30" s="36" t="s">
        <v>326</v>
      </c>
      <c r="M30" s="184">
        <f ca="1">SUM(OFFSET($P$33,0,0,MIN('Données projet'!$E$9:$E$18)+1,1))</f>
        <v>0</v>
      </c>
      <c r="O30" s="4"/>
      <c r="P30" s="4"/>
      <c r="Q30" s="235"/>
      <c r="R30" s="4"/>
      <c r="S30" s="1" t="s">
        <v>328</v>
      </c>
      <c r="U30" s="1">
        <f>SUM(E17:E22)*U10+SUM(E$48:E53)*U11+SUM(E79:E84)*U12+SUM(E110:E115)*U13+SUM(E141:E146)*U14+SUM(E172:E177)*U15+SUM(E203:E208)*U16+SUM(E234:E239)*U17+SUM(E265:E270)*U18+SUM(E296:E301)*U19</f>
        <v>30923.340000000004</v>
      </c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S31" s="1" t="s">
        <v>329</v>
      </c>
      <c r="U31" s="1">
        <f>SUM(I19:I23)*SUM(U10:U19)</f>
        <v>2083.0000000000005</v>
      </c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73</v>
      </c>
      <c r="P32" s="85" t="s">
        <v>310</v>
      </c>
      <c r="Q32" s="234"/>
      <c r="R32" s="23"/>
      <c r="S32" s="1" t="s">
        <v>330</v>
      </c>
      <c r="U32" s="1">
        <v>1500</v>
      </c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S33" s="1" t="s">
        <v>27</v>
      </c>
      <c r="U33" s="1">
        <f>SUM(U30:U32)</f>
        <v>34506.340000000004</v>
      </c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18</v>
      </c>
      <c r="B45" s="174" t="str">
        <f>IF('Données projet'!$B$10="","",'Données projet'!$B$10)</f>
        <v>Chêne rouge d'Amérique</v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27</v>
      </c>
      <c r="I46" s="191">
        <v>20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45</v>
      </c>
      <c r="B47" s="48" t="s">
        <v>308</v>
      </c>
      <c r="C47" s="48" t="s">
        <v>309</v>
      </c>
      <c r="D47" s="36" t="s">
        <v>310</v>
      </c>
      <c r="E47" s="36" t="s">
        <v>311</v>
      </c>
      <c r="F47" s="231"/>
      <c r="G47" s="203"/>
      <c r="H47" s="190">
        <v>28</v>
      </c>
      <c r="I47" s="191">
        <v>20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194</v>
      </c>
      <c r="C48" s="198" t="s">
        <v>194</v>
      </c>
      <c r="D48" s="197" t="s">
        <v>194</v>
      </c>
      <c r="E48" s="193">
        <f>1600*(1.05+0.5)+1300</f>
        <v>3780</v>
      </c>
      <c r="F48" s="231"/>
      <c r="G48" s="203"/>
      <c r="H48" s="190">
        <v>29</v>
      </c>
      <c r="I48" s="191">
        <v>20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194</v>
      </c>
      <c r="C49" s="198" t="s">
        <v>194</v>
      </c>
      <c r="D49" s="197" t="s">
        <v>194</v>
      </c>
      <c r="E49" s="193">
        <f>220+430</f>
        <v>650</v>
      </c>
      <c r="F49" s="231"/>
      <c r="G49" s="204"/>
      <c r="H49" s="190">
        <v>30</v>
      </c>
      <c r="I49" s="191">
        <v>20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194</v>
      </c>
      <c r="C50" s="198" t="s">
        <v>194</v>
      </c>
      <c r="D50" s="197" t="s">
        <v>194</v>
      </c>
      <c r="E50" s="193">
        <f>400+430+15%*E48</f>
        <v>1397</v>
      </c>
      <c r="F50" s="231"/>
      <c r="G50" s="23"/>
      <c r="H50" s="190">
        <v>31</v>
      </c>
      <c r="I50" s="191">
        <v>20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194</v>
      </c>
      <c r="C51" s="198" t="s">
        <v>194</v>
      </c>
      <c r="D51" s="197" t="s">
        <v>194</v>
      </c>
      <c r="E51" s="193">
        <f>220+430</f>
        <v>650</v>
      </c>
      <c r="F51" s="231"/>
      <c r="G51" s="23"/>
      <c r="H51" s="190">
        <v>32</v>
      </c>
      <c r="I51" s="191">
        <v>20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194</v>
      </c>
      <c r="C52" s="198" t="s">
        <v>194</v>
      </c>
      <c r="D52" s="197" t="s">
        <v>194</v>
      </c>
      <c r="E52" s="193"/>
      <c r="F52" s="231"/>
      <c r="G52" s="23"/>
      <c r="H52" s="190">
        <v>33</v>
      </c>
      <c r="I52" s="191">
        <v>20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194</v>
      </c>
      <c r="C53" s="198" t="s">
        <v>194</v>
      </c>
      <c r="D53" s="197" t="s">
        <v>194</v>
      </c>
      <c r="E53" s="193"/>
      <c r="F53" s="231"/>
      <c r="G53" s="205"/>
      <c r="H53" s="190">
        <v>34</v>
      </c>
      <c r="I53" s="191">
        <v>20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10</v>
      </c>
      <c r="B54" s="181">
        <f>'Données projet'!D62</f>
        <v>0</v>
      </c>
      <c r="C54" s="191">
        <v>5</v>
      </c>
      <c r="D54" s="179">
        <f>B54*C54</f>
        <v>0</v>
      </c>
      <c r="E54" s="193"/>
      <c r="F54" s="232"/>
      <c r="G54" s="205"/>
      <c r="H54" s="190">
        <v>35</v>
      </c>
      <c r="I54" s="191">
        <v>20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15</v>
      </c>
      <c r="B55" s="181">
        <f>'Données projet'!D63</f>
        <v>0</v>
      </c>
      <c r="C55" s="191">
        <v>5</v>
      </c>
      <c r="D55" s="179">
        <f t="shared" ref="D55:D73" si="4">B55*C55</f>
        <v>0</v>
      </c>
      <c r="E55" s="193"/>
      <c r="F55" s="232"/>
      <c r="G55" s="205"/>
      <c r="H55" s="190">
        <v>36</v>
      </c>
      <c r="I55" s="191">
        <v>20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20</v>
      </c>
      <c r="B56" s="181">
        <f>'Données projet'!D64</f>
        <v>18.589743589743588</v>
      </c>
      <c r="C56" s="191">
        <v>5</v>
      </c>
      <c r="D56" s="179">
        <f t="shared" si="4"/>
        <v>92.948717948717942</v>
      </c>
      <c r="E56" s="193"/>
      <c r="F56" s="232"/>
      <c r="G56" s="205"/>
      <c r="H56" s="190">
        <v>37</v>
      </c>
      <c r="I56" s="191">
        <v>20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25</v>
      </c>
      <c r="B57" s="181">
        <f>'Données projet'!D65</f>
        <v>12.179487179487179</v>
      </c>
      <c r="C57" s="191">
        <v>5</v>
      </c>
      <c r="D57" s="179">
        <f t="shared" si="4"/>
        <v>60.897435897435898</v>
      </c>
      <c r="E57" s="193"/>
      <c r="F57" s="232"/>
      <c r="G57" s="205"/>
      <c r="H57" s="190">
        <v>38</v>
      </c>
      <c r="I57" s="191">
        <v>20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30</v>
      </c>
      <c r="B58" s="181">
        <f>'Données projet'!D66</f>
        <v>12.820512820512819</v>
      </c>
      <c r="C58" s="191">
        <v>5</v>
      </c>
      <c r="D58" s="179">
        <f t="shared" si="4"/>
        <v>64.102564102564102</v>
      </c>
      <c r="E58" s="193"/>
      <c r="F58" s="232"/>
      <c r="G58" s="205"/>
      <c r="H58" s="190">
        <v>39</v>
      </c>
      <c r="I58" s="191">
        <v>20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35</v>
      </c>
      <c r="B59" s="181">
        <f>'Données projet'!D67</f>
        <v>12.820512820512819</v>
      </c>
      <c r="C59" s="191">
        <v>32</v>
      </c>
      <c r="D59" s="179">
        <f t="shared" si="4"/>
        <v>410.25641025641022</v>
      </c>
      <c r="E59" s="193"/>
      <c r="F59" s="232"/>
      <c r="G59" s="205"/>
      <c r="H59" s="190">
        <v>40</v>
      </c>
      <c r="I59" s="191">
        <v>20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40</v>
      </c>
      <c r="B60" s="181">
        <f>'Données projet'!D68</f>
        <v>12.820512820512819</v>
      </c>
      <c r="C60" s="191">
        <v>32</v>
      </c>
      <c r="D60" s="179">
        <f t="shared" si="4"/>
        <v>410.25641025641022</v>
      </c>
      <c r="E60" s="193"/>
      <c r="F60" s="232"/>
      <c r="G60" s="206"/>
      <c r="H60" s="190">
        <v>41</v>
      </c>
      <c r="I60" s="191">
        <v>20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45</v>
      </c>
      <c r="B61" s="181">
        <f>'Données projet'!D69</f>
        <v>12.179487179487179</v>
      </c>
      <c r="C61" s="191">
        <v>32</v>
      </c>
      <c r="D61" s="179">
        <f t="shared" si="4"/>
        <v>389.74358974358972</v>
      </c>
      <c r="E61" s="193"/>
      <c r="F61" s="232"/>
      <c r="G61" s="206"/>
      <c r="H61" s="190">
        <v>42</v>
      </c>
      <c r="I61" s="191">
        <v>20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50</v>
      </c>
      <c r="B62" s="181">
        <f>'Données projet'!D70</f>
        <v>11.538461538461538</v>
      </c>
      <c r="C62" s="191">
        <v>32</v>
      </c>
      <c r="D62" s="179">
        <f t="shared" si="4"/>
        <v>369.23076923076923</v>
      </c>
      <c r="E62" s="193"/>
      <c r="F62" s="232"/>
      <c r="G62" s="206"/>
      <c r="H62" s="190">
        <v>43</v>
      </c>
      <c r="I62" s="191">
        <v>20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55</v>
      </c>
      <c r="B63" s="181">
        <f>'Données projet'!D71</f>
        <v>10.897435897435898</v>
      </c>
      <c r="C63" s="191">
        <v>32</v>
      </c>
      <c r="D63" s="179">
        <f t="shared" si="4"/>
        <v>348.71794871794873</v>
      </c>
      <c r="E63" s="193"/>
      <c r="F63" s="232"/>
      <c r="G63" s="206"/>
      <c r="H63" s="190">
        <v>44</v>
      </c>
      <c r="I63" s="191">
        <v>20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60</v>
      </c>
      <c r="B64" s="181">
        <f>'Données projet'!D72</f>
        <v>10.256410256410255</v>
      </c>
      <c r="C64" s="191">
        <v>32</v>
      </c>
      <c r="D64" s="179">
        <f t="shared" si="4"/>
        <v>328.20512820512818</v>
      </c>
      <c r="E64" s="193"/>
      <c r="F64" s="232"/>
      <c r="G64" s="206"/>
      <c r="H64" s="190">
        <v>45</v>
      </c>
      <c r="I64" s="191">
        <v>20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65</v>
      </c>
      <c r="B65" s="181">
        <f>'Données projet'!D73</f>
        <v>9.615384615384615</v>
      </c>
      <c r="C65" s="191">
        <v>32</v>
      </c>
      <c r="D65" s="179">
        <f t="shared" si="4"/>
        <v>307.69230769230768</v>
      </c>
      <c r="E65" s="193"/>
      <c r="F65" s="232"/>
      <c r="G65" s="206"/>
      <c r="H65" s="190">
        <v>46</v>
      </c>
      <c r="I65" s="191">
        <v>20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70</v>
      </c>
      <c r="B66" s="181">
        <f>'Données projet'!D74</f>
        <v>8.9743589743589745</v>
      </c>
      <c r="C66" s="191">
        <v>32</v>
      </c>
      <c r="D66" s="179">
        <f t="shared" si="4"/>
        <v>287.17948717948718</v>
      </c>
      <c r="E66" s="193"/>
      <c r="F66" s="232"/>
      <c r="G66" s="206"/>
      <c r="H66" s="190">
        <v>47</v>
      </c>
      <c r="I66" s="191">
        <v>20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75</v>
      </c>
      <c r="B67" s="181">
        <f>'Données projet'!D75</f>
        <v>7.6923076923076916</v>
      </c>
      <c r="C67" s="191">
        <v>32</v>
      </c>
      <c r="D67" s="179">
        <f t="shared" si="4"/>
        <v>246.15384615384613</v>
      </c>
      <c r="E67" s="193"/>
      <c r="F67" s="232"/>
      <c r="G67" s="206"/>
      <c r="H67" s="190">
        <v>48</v>
      </c>
      <c r="I67" s="191">
        <v>20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80</v>
      </c>
      <c r="B68" s="181">
        <f>'Données projet'!D76</f>
        <v>7.0512820512820511</v>
      </c>
      <c r="C68" s="191">
        <v>32</v>
      </c>
      <c r="D68" s="179">
        <f t="shared" si="4"/>
        <v>225.64102564102564</v>
      </c>
      <c r="E68" s="193"/>
      <c r="F68" s="232"/>
      <c r="G68" s="206"/>
      <c r="H68" s="190">
        <v>49</v>
      </c>
      <c r="I68" s="191">
        <v>20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85</v>
      </c>
      <c r="B69" s="181">
        <f>'Données projet'!D77</f>
        <v>6.4102564102564097</v>
      </c>
      <c r="C69" s="191">
        <v>32</v>
      </c>
      <c r="D69" s="179">
        <f t="shared" si="4"/>
        <v>205.12820512820511</v>
      </c>
      <c r="E69" s="193"/>
      <c r="F69" s="232"/>
      <c r="G69" s="206"/>
      <c r="H69" s="190">
        <v>50</v>
      </c>
      <c r="I69" s="191">
        <v>20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90</v>
      </c>
      <c r="B70" s="181">
        <f>'Données projet'!D78</f>
        <v>6.4102564102564097</v>
      </c>
      <c r="C70" s="191">
        <v>32</v>
      </c>
      <c r="D70" s="179">
        <f t="shared" si="4"/>
        <v>205.12820512820511</v>
      </c>
      <c r="E70" s="193"/>
      <c r="F70" s="232"/>
      <c r="G70" s="206"/>
      <c r="H70" s="190">
        <v>51</v>
      </c>
      <c r="I70" s="191">
        <v>20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95</v>
      </c>
      <c r="B71" s="181">
        <f>'Données projet'!D79</f>
        <v>7.0512820512820511</v>
      </c>
      <c r="C71" s="191">
        <v>32</v>
      </c>
      <c r="D71" s="179">
        <f t="shared" si="4"/>
        <v>225.64102564102564</v>
      </c>
      <c r="E71" s="193"/>
      <c r="F71" s="232"/>
      <c r="G71" s="206"/>
      <c r="H71" s="190">
        <v>52</v>
      </c>
      <c r="I71" s="191">
        <v>20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100</v>
      </c>
      <c r="B72" s="181">
        <f>'Données projet'!D80</f>
        <v>7.0512820512820511</v>
      </c>
      <c r="C72" s="191">
        <v>32</v>
      </c>
      <c r="D72" s="179">
        <f t="shared" si="4"/>
        <v>225.64102564102564</v>
      </c>
      <c r="E72" s="193"/>
      <c r="F72" s="232"/>
      <c r="G72" s="206"/>
      <c r="H72" s="190">
        <v>53</v>
      </c>
      <c r="I72" s="191">
        <v>20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20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55</v>
      </c>
      <c r="I74" s="191">
        <v>20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56</v>
      </c>
      <c r="I75" s="191">
        <v>20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19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>
        <v>57</v>
      </c>
      <c r="I76" s="191">
        <v>20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58</v>
      </c>
      <c r="I77" s="191">
        <v>20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45</v>
      </c>
      <c r="B78" s="48" t="s">
        <v>308</v>
      </c>
      <c r="C78" s="48" t="s">
        <v>309</v>
      </c>
      <c r="D78" s="36" t="s">
        <v>310</v>
      </c>
      <c r="E78" s="36" t="s">
        <v>311</v>
      </c>
      <c r="F78" s="231"/>
      <c r="G78" s="206"/>
      <c r="H78" s="190">
        <v>59</v>
      </c>
      <c r="I78" s="191">
        <v>20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194</v>
      </c>
      <c r="C79" s="198" t="s">
        <v>194</v>
      </c>
      <c r="D79" s="197" t="s">
        <v>194</v>
      </c>
      <c r="E79" s="193"/>
      <c r="F79" s="231"/>
      <c r="G79" s="206"/>
      <c r="H79" s="190">
        <v>60</v>
      </c>
      <c r="I79" s="191">
        <v>20</v>
      </c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194</v>
      </c>
      <c r="C80" s="198" t="s">
        <v>194</v>
      </c>
      <c r="D80" s="197" t="s">
        <v>194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194</v>
      </c>
      <c r="C81" s="198" t="s">
        <v>194</v>
      </c>
      <c r="D81" s="197" t="s">
        <v>194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194</v>
      </c>
      <c r="C82" s="198" t="s">
        <v>194</v>
      </c>
      <c r="D82" s="197" t="s">
        <v>194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194</v>
      </c>
      <c r="C83" s="198" t="s">
        <v>194</v>
      </c>
      <c r="D83" s="197" t="s">
        <v>194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194</v>
      </c>
      <c r="C84" s="198" t="s">
        <v>194</v>
      </c>
      <c r="D84" s="197" t="s">
        <v>194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20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45</v>
      </c>
      <c r="B109" s="48" t="s">
        <v>308</v>
      </c>
      <c r="C109" s="48" t="s">
        <v>309</v>
      </c>
      <c r="D109" s="36" t="s">
        <v>310</v>
      </c>
      <c r="E109" s="36" t="s">
        <v>311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194</v>
      </c>
      <c r="C110" s="198" t="s">
        <v>194</v>
      </c>
      <c r="D110" s="197" t="s">
        <v>194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194</v>
      </c>
      <c r="C111" s="198" t="s">
        <v>194</v>
      </c>
      <c r="D111" s="197" t="s">
        <v>194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194</v>
      </c>
      <c r="C112" s="198" t="s">
        <v>194</v>
      </c>
      <c r="D112" s="197" t="s">
        <v>194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194</v>
      </c>
      <c r="C113" s="198" t="s">
        <v>194</v>
      </c>
      <c r="D113" s="197" t="s">
        <v>194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194</v>
      </c>
      <c r="C114" s="198" t="s">
        <v>194</v>
      </c>
      <c r="D114" s="197" t="s">
        <v>194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194</v>
      </c>
      <c r="C115" s="198" t="s">
        <v>194</v>
      </c>
      <c r="D115" s="197" t="s">
        <v>194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21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45</v>
      </c>
      <c r="B140" s="48" t="s">
        <v>308</v>
      </c>
      <c r="C140" s="48" t="s">
        <v>309</v>
      </c>
      <c r="D140" s="36" t="s">
        <v>310</v>
      </c>
      <c r="E140" s="36" t="s">
        <v>311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194</v>
      </c>
      <c r="C141" s="198" t="s">
        <v>194</v>
      </c>
      <c r="D141" s="197" t="s">
        <v>194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194</v>
      </c>
      <c r="C142" s="198" t="s">
        <v>194</v>
      </c>
      <c r="D142" s="197" t="s">
        <v>194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194</v>
      </c>
      <c r="C143" s="198" t="s">
        <v>194</v>
      </c>
      <c r="D143" s="197" t="s">
        <v>194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194</v>
      </c>
      <c r="C144" s="198" t="s">
        <v>194</v>
      </c>
      <c r="D144" s="197" t="s">
        <v>194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194</v>
      </c>
      <c r="C145" s="198" t="s">
        <v>194</v>
      </c>
      <c r="D145" s="197" t="s">
        <v>194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194</v>
      </c>
      <c r="C146" s="198" t="s">
        <v>194</v>
      </c>
      <c r="D146" s="197" t="s">
        <v>194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22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45</v>
      </c>
      <c r="B171" s="48" t="s">
        <v>308</v>
      </c>
      <c r="C171" s="48" t="s">
        <v>309</v>
      </c>
      <c r="D171" s="36" t="s">
        <v>310</v>
      </c>
      <c r="E171" s="36" t="s">
        <v>311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194</v>
      </c>
      <c r="C172" s="198" t="s">
        <v>194</v>
      </c>
      <c r="D172" s="197" t="s">
        <v>194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194</v>
      </c>
      <c r="C173" s="198" t="s">
        <v>194</v>
      </c>
      <c r="D173" s="197" t="s">
        <v>194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194</v>
      </c>
      <c r="C174" s="198" t="s">
        <v>194</v>
      </c>
      <c r="D174" s="197" t="s">
        <v>194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194</v>
      </c>
      <c r="C175" s="198" t="s">
        <v>194</v>
      </c>
      <c r="D175" s="197" t="s">
        <v>194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194</v>
      </c>
      <c r="C176" s="198" t="s">
        <v>194</v>
      </c>
      <c r="D176" s="197" t="s">
        <v>194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194</v>
      </c>
      <c r="C177" s="198" t="s">
        <v>194</v>
      </c>
      <c r="D177" s="197" t="s">
        <v>194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23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45</v>
      </c>
      <c r="B202" s="48" t="s">
        <v>308</v>
      </c>
      <c r="C202" s="48" t="s">
        <v>309</v>
      </c>
      <c r="D202" s="36" t="s">
        <v>310</v>
      </c>
      <c r="E202" s="36" t="s">
        <v>311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194</v>
      </c>
      <c r="C203" s="198" t="s">
        <v>194</v>
      </c>
      <c r="D203" s="197" t="s">
        <v>194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194</v>
      </c>
      <c r="C204" s="198" t="s">
        <v>194</v>
      </c>
      <c r="D204" s="197" t="s">
        <v>194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194</v>
      </c>
      <c r="C205" s="198" t="s">
        <v>194</v>
      </c>
      <c r="D205" s="197" t="s">
        <v>194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194</v>
      </c>
      <c r="C206" s="198" t="s">
        <v>194</v>
      </c>
      <c r="D206" s="197" t="s">
        <v>194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194</v>
      </c>
      <c r="C207" s="198" t="s">
        <v>194</v>
      </c>
      <c r="D207" s="197" t="s">
        <v>194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194</v>
      </c>
      <c r="C208" s="198" t="s">
        <v>194</v>
      </c>
      <c r="D208" s="197" t="s">
        <v>194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24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45</v>
      </c>
      <c r="B233" s="48" t="s">
        <v>308</v>
      </c>
      <c r="C233" s="48" t="s">
        <v>309</v>
      </c>
      <c r="D233" s="36" t="s">
        <v>310</v>
      </c>
      <c r="E233" s="36" t="s">
        <v>311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194</v>
      </c>
      <c r="C234" s="198" t="s">
        <v>194</v>
      </c>
      <c r="D234" s="197" t="s">
        <v>194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194</v>
      </c>
      <c r="C235" s="198" t="s">
        <v>194</v>
      </c>
      <c r="D235" s="197" t="s">
        <v>194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194</v>
      </c>
      <c r="C236" s="198" t="s">
        <v>194</v>
      </c>
      <c r="D236" s="197" t="s">
        <v>194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194</v>
      </c>
      <c r="C237" s="198" t="s">
        <v>194</v>
      </c>
      <c r="D237" s="197" t="s">
        <v>194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194</v>
      </c>
      <c r="C238" s="198" t="s">
        <v>194</v>
      </c>
      <c r="D238" s="197" t="s">
        <v>194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194</v>
      </c>
      <c r="C239" s="198" t="s">
        <v>194</v>
      </c>
      <c r="D239" s="197" t="s">
        <v>194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25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45</v>
      </c>
      <c r="B264" s="48" t="s">
        <v>308</v>
      </c>
      <c r="C264" s="48" t="s">
        <v>309</v>
      </c>
      <c r="D264" s="36" t="s">
        <v>310</v>
      </c>
      <c r="E264" s="36" t="s">
        <v>311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194</v>
      </c>
      <c r="C265" s="198" t="s">
        <v>194</v>
      </c>
      <c r="D265" s="197" t="s">
        <v>194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194</v>
      </c>
      <c r="C266" s="198" t="s">
        <v>194</v>
      </c>
      <c r="D266" s="197" t="s">
        <v>194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194</v>
      </c>
      <c r="C267" s="198" t="s">
        <v>194</v>
      </c>
      <c r="D267" s="197" t="s">
        <v>194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194</v>
      </c>
      <c r="C268" s="198" t="s">
        <v>194</v>
      </c>
      <c r="D268" s="197" t="s">
        <v>194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194</v>
      </c>
      <c r="C269" s="198" t="s">
        <v>194</v>
      </c>
      <c r="D269" s="197" t="s">
        <v>194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194</v>
      </c>
      <c r="C270" s="198" t="s">
        <v>194</v>
      </c>
      <c r="D270" s="197" t="s">
        <v>194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26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45</v>
      </c>
      <c r="B295" s="48" t="s">
        <v>308</v>
      </c>
      <c r="C295" s="48" t="s">
        <v>309</v>
      </c>
      <c r="D295" s="36" t="s">
        <v>310</v>
      </c>
      <c r="E295" s="36" t="s">
        <v>311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194</v>
      </c>
      <c r="C296" s="198" t="s">
        <v>194</v>
      </c>
      <c r="D296" s="197" t="s">
        <v>194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194</v>
      </c>
      <c r="C297" s="198" t="s">
        <v>194</v>
      </c>
      <c r="D297" s="197" t="s">
        <v>194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194</v>
      </c>
      <c r="C298" s="198" t="s">
        <v>194</v>
      </c>
      <c r="D298" s="197" t="s">
        <v>194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194</v>
      </c>
      <c r="C299" s="198" t="s">
        <v>194</v>
      </c>
      <c r="D299" s="197" t="s">
        <v>194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194</v>
      </c>
      <c r="C300" s="198" t="s">
        <v>194</v>
      </c>
      <c r="D300" s="197" t="s">
        <v>194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194</v>
      </c>
      <c r="C301" s="198" t="s">
        <v>194</v>
      </c>
      <c r="D301" s="197" t="s">
        <v>194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  <Typedecontrat xmlns="4a0a9159-faee-4929-bc18-6e0874945fe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9" ma:contentTypeDescription="Crée un document." ma:contentTypeScope="" ma:versionID="da778f651e2b9172a0668a57e5259e37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21723ea34ef7bb0ee75fd50087f5b91c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Typedecontra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ypedecontrat" ma:index="26" nillable="true" ma:displayName="Type de contrat" ma:format="Dropdown" ma:internalName="Typedecontrat">
      <xsd:simpleType>
        <xsd:union memberTypes="dms:Text">
          <xsd:simpleType>
            <xsd:restriction base="dms:Choice">
              <xsd:enumeration value="Obligation de moyens"/>
              <xsd:enumeration value="Obligation de résultats"/>
              <xsd:enumeration value="Client final"/>
              <xsd:enumeration value="Intermédiair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8F28AA-24C9-4D1A-B276-45CFB6B287CF}">
  <ds:schemaRefs>
    <ds:schemaRef ds:uri="http://schemas.microsoft.com/office/2006/metadata/properties"/>
    <ds:schemaRef ds:uri="http://schemas.microsoft.com/office/infopath/2007/PartnerControls"/>
    <ds:schemaRef ds:uri="37d24cdf-bbc6-4946-8747-982d14624cd4"/>
    <ds:schemaRef ds:uri="4a0a9159-faee-4929-bc18-6e0874945fe3"/>
  </ds:schemaRefs>
</ds:datastoreItem>
</file>

<file path=customXml/itemProps2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4AA786-352F-4A9D-B7CF-2EADC213DD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Aurélien Blond</cp:lastModifiedBy>
  <cp:revision/>
  <dcterms:created xsi:type="dcterms:W3CDTF">2021-02-01T08:22:39Z</dcterms:created>
  <dcterms:modified xsi:type="dcterms:W3CDTF">2025-05-27T12:49:06Z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