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"/>
    </mc:Choice>
  </mc:AlternateContent>
  <xr:revisionPtr revIDLastSave="0" documentId="13_ncr:1_{F0D16423-F022-48B0-982A-351EC838CA3B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62" i="2" l="1" a="1"/>
  <c r="AH62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<sst xmlns="http://schemas.openxmlformats.org/spreadsheetml/2006/main" count="1175" uniqueCount="325">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</sst>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1.9458220534450461</c:v>
                </c:pt>
                <c:pt idx="2">
                  <c:v>2.6052688850930608</c:v>
                </c:pt>
                <c:pt idx="3">
                  <c:v>3.4891415557971848</c:v>
                </c:pt>
                <c:pt idx="4">
                  <c:v>4.6741181602470476</c:v>
                </c:pt>
                <c:pt idx="5">
                  <c:v>6.2631708985707881</c:v>
                </c:pt>
                <c:pt idx="6">
                  <c:v>8.3946132843882353</c:v>
                </c:pt>
                <c:pt idx="7">
                  <c:v>11.254269980071941</c:v>
                </c:pt>
                <c:pt idx="8">
                  <c:v>15.091850089369855</c:v>
                </c:pt>
                <c:pt idx="9">
                  <c:v>20.242979807927657</c:v>
                </c:pt>
                <c:pt idx="10">
                  <c:v>27.158855862714148</c:v>
                </c:pt>
                <c:pt idx="11">
                  <c:v>36.446162634511545</c:v>
                </c:pt>
                <c:pt idx="12">
                  <c:v>48.920814605502024</c:v>
                </c:pt>
                <c:pt idx="13">
                  <c:v>65.680324592462512</c:v>
                </c:pt>
                <c:pt idx="14">
                  <c:v>88.201268835208964</c:v>
                </c:pt>
                <c:pt idx="15">
                  <c:v>118.47057319245452</c:v>
                </c:pt>
                <c:pt idx="16">
                  <c:v>159.16238397770385</c:v>
                </c:pt>
                <c:pt idx="17">
                  <c:v>213.87638708828857</c:v>
                </c:pt>
                <c:pt idx="18">
                  <c:v>249.45083193351374</c:v>
                </c:pt>
                <c:pt idx="19">
                  <c:v>191.70629212824224</c:v>
                </c:pt>
                <c:pt idx="20">
                  <c:v>224.21412124760153</c:v>
                </c:pt>
                <c:pt idx="21">
                  <c:v>256.61377815964903</c:v>
                </c:pt>
                <c:pt idx="22">
                  <c:v>288.92084404193173</c:v>
                </c:pt>
                <c:pt idx="23">
                  <c:v>321.14712390710332</c:v>
                </c:pt>
                <c:pt idx="24">
                  <c:v>353.30185772822512</c:v>
                </c:pt>
                <c:pt idx="25">
                  <c:v>326.3543163378294</c:v>
                </c:pt>
                <c:pt idx="26">
                  <c:v>360.75594324759282</c:v>
                </c:pt>
                <c:pt idx="27">
                  <c:v>395.08583028956542</c:v>
                </c:pt>
                <c:pt idx="28">
                  <c:v>429.35107936368263</c:v>
                </c:pt>
                <c:pt idx="29">
                  <c:v>463.55756684766487</c:v>
                </c:pt>
                <c:pt idx="30">
                  <c:v>497.71023178052701</c:v>
                </c:pt>
                <c:pt idx="31">
                  <c:v>435.68351151059488</c:v>
                </c:pt>
                <c:pt idx="32">
                  <c:v>469.69197316489391</c:v>
                </c:pt>
                <c:pt idx="33">
                  <c:v>503.64799795470162</c:v>
                </c:pt>
                <c:pt idx="34">
                  <c:v>537.55561252775112</c:v>
                </c:pt>
                <c:pt idx="35">
                  <c:v>571.41829472308314</c:v>
                </c:pt>
                <c:pt idx="36">
                  <c:v>605.23907710876153</c:v>
                </c:pt>
                <c:pt idx="37">
                  <c:v>537.00784127826716</c:v>
                </c:pt>
                <c:pt idx="38">
                  <c:v>570.20016327230462</c:v>
                </c:pt>
                <c:pt idx="39">
                  <c:v>603.35213343256157</c:v>
                </c:pt>
                <c:pt idx="40">
                  <c:v>636.46627691773801</c:v>
                </c:pt>
                <c:pt idx="41">
                  <c:v>669.54483509592194</c:v>
                </c:pt>
                <c:pt idx="42">
                  <c:v>702.58981015801282</c:v>
                </c:pt>
                <c:pt idx="43">
                  <c:v>627.08345171628036</c:v>
                </c:pt>
                <c:pt idx="44">
                  <c:v>659.00252576221885</c:v>
                </c:pt>
                <c:pt idx="45">
                  <c:v>690.88977874756938</c:v>
                </c:pt>
                <c:pt idx="46">
                  <c:v>722.74688334869063</c:v>
                </c:pt>
                <c:pt idx="47">
                  <c:v>754.57535300520556</c:v>
                </c:pt>
                <c:pt idx="48">
                  <c:v>786.3765632872063</c:v>
                </c:pt>
                <c:pt idx="49">
                  <c:v>697.55164646215064</c:v>
                </c:pt>
                <c:pt idx="50">
                  <c:v>727.76378638109611</c:v>
                </c:pt>
                <c:pt idx="51">
                  <c:v>757.95036730683603</c:v>
                </c:pt>
                <c:pt idx="52">
                  <c:v>788.11254862353928</c:v>
                </c:pt>
                <c:pt idx="53">
                  <c:v>818.25139388662035</c:v>
                </c:pt>
                <c:pt idx="54">
                  <c:v>848.36788205009941</c:v>
                </c:pt>
                <c:pt idx="55">
                  <c:v>1.2574858937744013</c:v>
                </c:pt>
                <c:pt idx="56">
                  <c:v>1.2574858937744013</c:v>
                </c:pt>
                <c:pt idx="57">
                  <c:v>1.2574858937744013</c:v>
                </c:pt>
                <c:pt idx="58">
                  <c:v>1.2574858937744013</c:v>
                </c:pt>
                <c:pt idx="59">
                  <c:v>1.2574858937744013</c:v>
                </c:pt>
                <c:pt idx="60">
                  <c:v>1.2574858937744013</c:v>
                </c:pt>
                <c:pt idx="61">
                  <c:v>1.2574858937744013</c:v>
                </c:pt>
                <c:pt idx="62">
                  <c:v>1.2574858937744013</c:v>
                </c:pt>
                <c:pt idx="63">
                  <c:v>1.2574858937744013</c:v>
                </c:pt>
                <c:pt idx="64">
                  <c:v>1.2574858937744013</c:v>
                </c:pt>
                <c:pt idx="65">
                  <c:v>1.2574858937744013</c:v>
                </c:pt>
                <c:pt idx="66">
                  <c:v>1.2574858937744013</c:v>
                </c:pt>
                <c:pt idx="67">
                  <c:v>1.2574858937744013</c:v>
                </c:pt>
                <c:pt idx="68">
                  <c:v>1.2574858937744013</c:v>
                </c:pt>
                <c:pt idx="69">
                  <c:v>1.2574858937744013</c:v>
                </c:pt>
                <c:pt idx="70">
                  <c:v>1.2574858937744013</c:v>
                </c:pt>
                <c:pt idx="71">
                  <c:v>1.2574858937744013</c:v>
                </c:pt>
                <c:pt idx="72">
                  <c:v>1.2574858937744013</c:v>
                </c:pt>
                <c:pt idx="73">
                  <c:v>1.2574858937744013</c:v>
                </c:pt>
                <c:pt idx="74">
                  <c:v>1.2574858937744013</c:v>
                </c:pt>
                <c:pt idx="75">
                  <c:v>1.2574858937744013</c:v>
                </c:pt>
                <c:pt idx="76">
                  <c:v>1.2574858937744013</c:v>
                </c:pt>
                <c:pt idx="77">
                  <c:v>1.2574858937744013</c:v>
                </c:pt>
                <c:pt idx="78">
                  <c:v>1.2574858937744013</c:v>
                </c:pt>
                <c:pt idx="79">
                  <c:v>1.2574858937744013</c:v>
                </c:pt>
                <c:pt idx="80">
                  <c:v>1.2574858937744013</c:v>
                </c:pt>
                <c:pt idx="81">
                  <c:v>1.2574858937744013</c:v>
                </c:pt>
                <c:pt idx="82">
                  <c:v>1.2574858937744013</c:v>
                </c:pt>
                <c:pt idx="83">
                  <c:v>1.2574858937744013</c:v>
                </c:pt>
                <c:pt idx="84">
                  <c:v>1.2574858937744013</c:v>
                </c:pt>
                <c:pt idx="85">
                  <c:v>1.2574858937744013</c:v>
                </c:pt>
                <c:pt idx="86">
                  <c:v>1.2574858937744013</c:v>
                </c:pt>
                <c:pt idx="87">
                  <c:v>1.2574858937744013</c:v>
                </c:pt>
                <c:pt idx="88">
                  <c:v>1.2574858937744013</c:v>
                </c:pt>
                <c:pt idx="89">
                  <c:v>1.2574858937744013</c:v>
                </c:pt>
                <c:pt idx="90">
                  <c:v>1.2574858937744013</c:v>
                </c:pt>
                <c:pt idx="91">
                  <c:v>1.2574858937744013</c:v>
                </c:pt>
                <c:pt idx="92">
                  <c:v>1.2574858937744013</c:v>
                </c:pt>
                <c:pt idx="93">
                  <c:v>1.2574858937744013</c:v>
                </c:pt>
                <c:pt idx="94">
                  <c:v>1.2574858937744013</c:v>
                </c:pt>
                <c:pt idx="95">
                  <c:v>1.2574858937744013</c:v>
                </c:pt>
                <c:pt idx="96">
                  <c:v>1.2574858937744013</c:v>
                </c:pt>
                <c:pt idx="97">
                  <c:v>1.2574858937744013</c:v>
                </c:pt>
                <c:pt idx="98">
                  <c:v>1.2574858937744013</c:v>
                </c:pt>
                <c:pt idx="99">
                  <c:v>1.2574858937744013</c:v>
                </c:pt>
                <c:pt idx="100">
                  <c:v>1.2574858937744013</c:v>
                </c:pt>
                <c:pt idx="101">
                  <c:v>1.2574858937744013</c:v>
                </c:pt>
                <c:pt idx="102">
                  <c:v>1.2574858937744013</c:v>
                </c:pt>
                <c:pt idx="103">
                  <c:v>1.2574858937744013</c:v>
                </c:pt>
                <c:pt idx="104">
                  <c:v>1.2574858937744013</c:v>
                </c:pt>
                <c:pt idx="105">
                  <c:v>1.2574858937744013</c:v>
                </c:pt>
                <c:pt idx="106">
                  <c:v>1.2574858937744013</c:v>
                </c:pt>
                <c:pt idx="107">
                  <c:v>1.2574858937744013</c:v>
                </c:pt>
                <c:pt idx="108">
                  <c:v>1.2574858937744013</c:v>
                </c:pt>
                <c:pt idx="109">
                  <c:v>1.2574858937744013</c:v>
                </c:pt>
                <c:pt idx="110">
                  <c:v>1.2574858937744013</c:v>
                </c:pt>
                <c:pt idx="111">
                  <c:v>1.2574858937744013</c:v>
                </c:pt>
                <c:pt idx="112">
                  <c:v>1.2574858937744013</c:v>
                </c:pt>
                <c:pt idx="113">
                  <c:v>1.2574858937744013</c:v>
                </c:pt>
                <c:pt idx="114">
                  <c:v>1.2574858937744013</c:v>
                </c:pt>
                <c:pt idx="115">
                  <c:v>1.2574858937744013</c:v>
                </c:pt>
                <c:pt idx="116">
                  <c:v>1.2574858937744013</c:v>
                </c:pt>
                <c:pt idx="117">
                  <c:v>1.2574858937744013</c:v>
                </c:pt>
                <c:pt idx="118">
                  <c:v>1.2574858937744013</c:v>
                </c:pt>
                <c:pt idx="119">
                  <c:v>1.2574858937744013</c:v>
                </c:pt>
                <c:pt idx="120">
                  <c:v>1.2574858937744013</c:v>
                </c:pt>
                <c:pt idx="121">
                  <c:v>1.2574858937744013</c:v>
                </c:pt>
                <c:pt idx="122">
                  <c:v>1.2574858937744013</c:v>
                </c:pt>
                <c:pt idx="123">
                  <c:v>1.2574858937744013</c:v>
                </c:pt>
                <c:pt idx="124">
                  <c:v>1.2574858937744013</c:v>
                </c:pt>
                <c:pt idx="125">
                  <c:v>1.2574858937744013</c:v>
                </c:pt>
                <c:pt idx="126">
                  <c:v>1.2574858937744013</c:v>
                </c:pt>
                <c:pt idx="127">
                  <c:v>1.2574858937744013</c:v>
                </c:pt>
                <c:pt idx="128">
                  <c:v>1.2574858937744013</c:v>
                </c:pt>
                <c:pt idx="129">
                  <c:v>1.2574858937744013</c:v>
                </c:pt>
                <c:pt idx="130">
                  <c:v>1.2574858937744013</c:v>
                </c:pt>
                <c:pt idx="131">
                  <c:v>1.2574858937744013</c:v>
                </c:pt>
                <c:pt idx="132">
                  <c:v>1.2574858937744013</c:v>
                </c:pt>
                <c:pt idx="133">
                  <c:v>1.2574858937744013</c:v>
                </c:pt>
                <c:pt idx="134">
                  <c:v>1.2574858937744013</c:v>
                </c:pt>
                <c:pt idx="135">
                  <c:v>1.2574858937744013</c:v>
                </c:pt>
                <c:pt idx="136">
                  <c:v>1.2574858937744013</c:v>
                </c:pt>
                <c:pt idx="137">
                  <c:v>1.2574858937744013</c:v>
                </c:pt>
                <c:pt idx="138">
                  <c:v>1.2574858937744013</c:v>
                </c:pt>
                <c:pt idx="139">
                  <c:v>1.2574858937744013</c:v>
                </c:pt>
                <c:pt idx="140">
                  <c:v>1.2574858937744013</c:v>
                </c:pt>
                <c:pt idx="141">
                  <c:v>1.2574858937744013</c:v>
                </c:pt>
                <c:pt idx="142">
                  <c:v>1.2574858937744013</c:v>
                </c:pt>
                <c:pt idx="143">
                  <c:v>1.2574858937744013</c:v>
                </c:pt>
                <c:pt idx="144">
                  <c:v>1.2574858937744013</c:v>
                </c:pt>
                <c:pt idx="145">
                  <c:v>1.2574858937744013</c:v>
                </c:pt>
                <c:pt idx="146">
                  <c:v>1.2574858937744013</c:v>
                </c:pt>
                <c:pt idx="147">
                  <c:v>1.2574858937744013</c:v>
                </c:pt>
                <c:pt idx="148">
                  <c:v>1.2574858937744013</c:v>
                </c:pt>
                <c:pt idx="149">
                  <c:v>1.2574858937744013</c:v>
                </c:pt>
                <c:pt idx="150">
                  <c:v>1.2574858937744013</c:v>
                </c:pt>
                <c:pt idx="151">
                  <c:v>1.2574858937744013</c:v>
                </c:pt>
                <c:pt idx="152">
                  <c:v>1.2574858937744013</c:v>
                </c:pt>
                <c:pt idx="153">
                  <c:v>1.2574858937744013</c:v>
                </c:pt>
                <c:pt idx="154">
                  <c:v>1.2574858937744013</c:v>
                </c:pt>
                <c:pt idx="155">
                  <c:v>1.2574858937744013</c:v>
                </c:pt>
                <c:pt idx="156">
                  <c:v>1.2574858937744013</c:v>
                </c:pt>
                <c:pt idx="157">
                  <c:v>1.2574858937744013</c:v>
                </c:pt>
                <c:pt idx="158">
                  <c:v>1.2574858937744013</c:v>
                </c:pt>
                <c:pt idx="159">
                  <c:v>1.2574858937744013</c:v>
                </c:pt>
                <c:pt idx="160">
                  <c:v>1.2574858937744013</c:v>
                </c:pt>
                <c:pt idx="161">
                  <c:v>1.2574858937744013</c:v>
                </c:pt>
                <c:pt idx="162">
                  <c:v>1.2574858937744013</c:v>
                </c:pt>
                <c:pt idx="163">
                  <c:v>1.2574858937744013</c:v>
                </c:pt>
                <c:pt idx="164">
                  <c:v>1.2574858937744013</c:v>
                </c:pt>
                <c:pt idx="165">
                  <c:v>1.2574858937744013</c:v>
                </c:pt>
                <c:pt idx="166">
                  <c:v>1.2574858937744013</c:v>
                </c:pt>
                <c:pt idx="167">
                  <c:v>1.2574858937744013</c:v>
                </c:pt>
                <c:pt idx="168">
                  <c:v>1.2574858937744013</c:v>
                </c:pt>
                <c:pt idx="169">
                  <c:v>1.2574858937744013</c:v>
                </c:pt>
                <c:pt idx="170">
                  <c:v>1.2574858937744013</c:v>
                </c:pt>
                <c:pt idx="171">
                  <c:v>1.2574858937744013</c:v>
                </c:pt>
                <c:pt idx="172">
                  <c:v>1.2574858937744013</c:v>
                </c:pt>
                <c:pt idx="173">
                  <c:v>1.2574858937744013</c:v>
                </c:pt>
                <c:pt idx="174">
                  <c:v>1.2574858937744013</c:v>
                </c:pt>
                <c:pt idx="175">
                  <c:v>1.2574858937744013</c:v>
                </c:pt>
                <c:pt idx="176">
                  <c:v>1.2574858937744013</c:v>
                </c:pt>
                <c:pt idx="177">
                  <c:v>1.2574858937744013</c:v>
                </c:pt>
                <c:pt idx="178">
                  <c:v>1.2574858937744013</c:v>
                </c:pt>
                <c:pt idx="179">
                  <c:v>1.2574858937744013</c:v>
                </c:pt>
                <c:pt idx="180">
                  <c:v>1.2574858937744013</c:v>
                </c:pt>
                <c:pt idx="181">
                  <c:v>1.2574858937744013</c:v>
                </c:pt>
                <c:pt idx="182">
                  <c:v>1.2574858937744013</c:v>
                </c:pt>
                <c:pt idx="183">
                  <c:v>1.2574858937744013</c:v>
                </c:pt>
                <c:pt idx="184">
                  <c:v>1.2574858937744013</c:v>
                </c:pt>
                <c:pt idx="185">
                  <c:v>1.2574858937744013</c:v>
                </c:pt>
                <c:pt idx="186">
                  <c:v>1.2574858937744013</c:v>
                </c:pt>
                <c:pt idx="187">
                  <c:v>1.2574858937744013</c:v>
                </c:pt>
                <c:pt idx="188">
                  <c:v>1.2574858937744013</c:v>
                </c:pt>
                <c:pt idx="189">
                  <c:v>1.2574858937744013</c:v>
                </c:pt>
                <c:pt idx="190">
                  <c:v>1.2574858937744013</c:v>
                </c:pt>
                <c:pt idx="191">
                  <c:v>1.2574858937744013</c:v>
                </c:pt>
                <c:pt idx="192">
                  <c:v>1.2574858937744013</c:v>
                </c:pt>
                <c:pt idx="193">
                  <c:v>1.2574858937744013</c:v>
                </c:pt>
                <c:pt idx="194">
                  <c:v>1.2574858937744013</c:v>
                </c:pt>
                <c:pt idx="195">
                  <c:v>1.2574858937744013</c:v>
                </c:pt>
                <c:pt idx="196">
                  <c:v>1.2574858937744013</c:v>
                </c:pt>
                <c:pt idx="197">
                  <c:v>1.2574858937744013</c:v>
                </c:pt>
                <c:pt idx="198">
                  <c:v>1.2574858937744013</c:v>
                </c:pt>
                <c:pt idx="199">
                  <c:v>1.2574858937744013</c:v>
                </c:pt>
                <c:pt idx="200">
                  <c:v>1.2574858937744013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2.0804628867016759</c:v>
                </c:pt>
                <c:pt idx="2">
                  <c:v>3.0470196987306952</c:v>
                </c:pt>
                <c:pt idx="3">
                  <c:v>4.4646592704190313</c:v>
                </c:pt>
                <c:pt idx="4">
                  <c:v>6.5447888543009825</c:v>
                </c:pt>
                <c:pt idx="5">
                  <c:v>9.5982841806909942</c:v>
                </c:pt>
                <c:pt idx="6">
                  <c:v>14.082459118681493</c:v>
                </c:pt>
                <c:pt idx="7">
                  <c:v>20.6702879293485</c:v>
                </c:pt>
                <c:pt idx="8">
                  <c:v>30.352454199901668</c:v>
                </c:pt>
                <c:pt idx="9">
                  <c:v>44.587838772113486</c:v>
                </c:pt>
                <c:pt idx="10">
                  <c:v>65.525503582360685</c:v>
                </c:pt>
                <c:pt idx="11">
                  <c:v>96.332231148859549</c:v>
                </c:pt>
                <c:pt idx="12">
                  <c:v>141.67594470663133</c:v>
                </c:pt>
                <c:pt idx="13">
                  <c:v>145.64086165207519</c:v>
                </c:pt>
                <c:pt idx="14">
                  <c:v>174.5111859132569</c:v>
                </c:pt>
                <c:pt idx="15">
                  <c:v>203.26907123098991</c:v>
                </c:pt>
                <c:pt idx="16">
                  <c:v>172.93235735085239</c:v>
                </c:pt>
                <c:pt idx="17">
                  <c:v>198.15514867638956</c:v>
                </c:pt>
                <c:pt idx="18">
                  <c:v>223.30339432263705</c:v>
                </c:pt>
                <c:pt idx="19">
                  <c:v>173.9191647266739</c:v>
                </c:pt>
                <c:pt idx="20">
                  <c:v>196.58102147577017</c:v>
                </c:pt>
                <c:pt idx="21">
                  <c:v>219.18219050817322</c:v>
                </c:pt>
                <c:pt idx="22">
                  <c:v>241.72981075446003</c:v>
                </c:pt>
                <c:pt idx="23">
                  <c:v>264.22957884423249</c:v>
                </c:pt>
                <c:pt idx="24">
                  <c:v>286.68614125741374</c:v>
                </c:pt>
                <c:pt idx="25">
                  <c:v>207.59390732800321</c:v>
                </c:pt>
                <c:pt idx="26">
                  <c:v>227.22672817199881</c:v>
                </c:pt>
                <c:pt idx="27">
                  <c:v>246.82072062447358</c:v>
                </c:pt>
                <c:pt idx="28">
                  <c:v>266.3794003590545</c:v>
                </c:pt>
                <c:pt idx="29">
                  <c:v>285.90572437062957</c:v>
                </c:pt>
                <c:pt idx="30">
                  <c:v>305.4022126668512</c:v>
                </c:pt>
                <c:pt idx="31">
                  <c:v>233.89285271005073</c:v>
                </c:pt>
                <c:pt idx="32">
                  <c:v>251.5179045878433</c:v>
                </c:pt>
                <c:pt idx="33">
                  <c:v>269.11497170292415</c:v>
                </c:pt>
                <c:pt idx="34">
                  <c:v>286.68614125741368</c:v>
                </c:pt>
                <c:pt idx="35">
                  <c:v>304.23322365298299</c:v>
                </c:pt>
                <c:pt idx="36">
                  <c:v>321.75780338480496</c:v>
                </c:pt>
                <c:pt idx="37">
                  <c:v>250.34379664975128</c:v>
                </c:pt>
                <c:pt idx="38">
                  <c:v>266.77023487626633</c:v>
                </c:pt>
                <c:pt idx="39">
                  <c:v>283.1738887162237</c:v>
                </c:pt>
                <c:pt idx="40">
                  <c:v>299.55626373361878</c:v>
                </c:pt>
                <c:pt idx="41">
                  <c:v>315.91868734548348</c:v>
                </c:pt>
                <c:pt idx="42">
                  <c:v>332.26233823070532</c:v>
                </c:pt>
                <c:pt idx="43">
                  <c:v>332.26233823070532</c:v>
                </c:pt>
                <c:pt idx="44">
                  <c:v>332.26233823070532</c:v>
                </c:pt>
                <c:pt idx="45">
                  <c:v>332.26233823070532</c:v>
                </c:pt>
                <c:pt idx="46">
                  <c:v>332.26233823070532</c:v>
                </c:pt>
                <c:pt idx="47">
                  <c:v>332.26233823070532</c:v>
                </c:pt>
                <c:pt idx="48">
                  <c:v>332.26233823070532</c:v>
                </c:pt>
                <c:pt idx="49">
                  <c:v>332.26233823070532</c:v>
                </c:pt>
                <c:pt idx="50">
                  <c:v>332.26233823070532</c:v>
                </c:pt>
                <c:pt idx="51">
                  <c:v>332.26233823070532</c:v>
                </c:pt>
                <c:pt idx="52">
                  <c:v>332.26233823070532</c:v>
                </c:pt>
                <c:pt idx="53">
                  <c:v>332.26233823070532</c:v>
                </c:pt>
                <c:pt idx="54">
                  <c:v>332.26233823070532</c:v>
                </c:pt>
                <c:pt idx="55">
                  <c:v>332.26233823070532</c:v>
                </c:pt>
                <c:pt idx="56">
                  <c:v>332.26233823070532</c:v>
                </c:pt>
                <c:pt idx="57">
                  <c:v>332.26233823070532</c:v>
                </c:pt>
                <c:pt idx="58">
                  <c:v>332.26233823070532</c:v>
                </c:pt>
                <c:pt idx="59">
                  <c:v>332.26233823070532</c:v>
                </c:pt>
                <c:pt idx="60">
                  <c:v>332.26233823070532</c:v>
                </c:pt>
                <c:pt idx="61">
                  <c:v>332.26233823070532</c:v>
                </c:pt>
                <c:pt idx="62">
                  <c:v>332.26233823070532</c:v>
                </c:pt>
                <c:pt idx="63">
                  <c:v>332.26233823070532</c:v>
                </c:pt>
                <c:pt idx="64">
                  <c:v>332.26233823070532</c:v>
                </c:pt>
                <c:pt idx="65">
                  <c:v>332.26233823070532</c:v>
                </c:pt>
                <c:pt idx="66">
                  <c:v>332.26233823070532</c:v>
                </c:pt>
                <c:pt idx="67">
                  <c:v>332.26233823070532</c:v>
                </c:pt>
                <c:pt idx="68">
                  <c:v>332.26233823070532</c:v>
                </c:pt>
                <c:pt idx="69">
                  <c:v>332.26233823070532</c:v>
                </c:pt>
                <c:pt idx="70">
                  <c:v>332.26233823070532</c:v>
                </c:pt>
                <c:pt idx="71">
                  <c:v>332.26233823070532</c:v>
                </c:pt>
                <c:pt idx="72">
                  <c:v>332.26233823070532</c:v>
                </c:pt>
                <c:pt idx="73">
                  <c:v>332.26233823070532</c:v>
                </c:pt>
                <c:pt idx="74">
                  <c:v>332.26233823070532</c:v>
                </c:pt>
                <c:pt idx="75">
                  <c:v>332.26233823070532</c:v>
                </c:pt>
                <c:pt idx="76">
                  <c:v>332.26233823070532</c:v>
                </c:pt>
                <c:pt idx="77">
                  <c:v>332.26233823070532</c:v>
                </c:pt>
                <c:pt idx="78">
                  <c:v>332.26233823070532</c:v>
                </c:pt>
                <c:pt idx="79">
                  <c:v>332.26233823070532</c:v>
                </c:pt>
                <c:pt idx="80">
                  <c:v>332.26233823070532</c:v>
                </c:pt>
                <c:pt idx="81">
                  <c:v>332.26233823070532</c:v>
                </c:pt>
                <c:pt idx="82">
                  <c:v>332.26233823070532</c:v>
                </c:pt>
                <c:pt idx="83">
                  <c:v>332.26233823070532</c:v>
                </c:pt>
                <c:pt idx="84">
                  <c:v>332.26233823070532</c:v>
                </c:pt>
                <c:pt idx="85">
                  <c:v>332.26233823070532</c:v>
                </c:pt>
                <c:pt idx="86">
                  <c:v>332.26233823070532</c:v>
                </c:pt>
                <c:pt idx="87">
                  <c:v>332.26233823070532</c:v>
                </c:pt>
                <c:pt idx="88">
                  <c:v>332.26233823070532</c:v>
                </c:pt>
                <c:pt idx="89">
                  <c:v>332.26233823070532</c:v>
                </c:pt>
                <c:pt idx="90">
                  <c:v>332.26233823070532</c:v>
                </c:pt>
                <c:pt idx="91">
                  <c:v>332.26233823070532</c:v>
                </c:pt>
                <c:pt idx="92">
                  <c:v>332.26233823070532</c:v>
                </c:pt>
                <c:pt idx="93">
                  <c:v>332.26233823070532</c:v>
                </c:pt>
                <c:pt idx="94">
                  <c:v>332.26233823070532</c:v>
                </c:pt>
                <c:pt idx="95">
                  <c:v>332.26233823070532</c:v>
                </c:pt>
                <c:pt idx="96">
                  <c:v>332.26233823070532</c:v>
                </c:pt>
                <c:pt idx="97">
                  <c:v>332.26233823070532</c:v>
                </c:pt>
                <c:pt idx="98">
                  <c:v>332.26233823070532</c:v>
                </c:pt>
                <c:pt idx="99">
                  <c:v>332.26233823070532</c:v>
                </c:pt>
                <c:pt idx="100">
                  <c:v>332.26233823070532</c:v>
                </c:pt>
                <c:pt idx="101">
                  <c:v>332.26233823070532</c:v>
                </c:pt>
                <c:pt idx="102">
                  <c:v>332.26233823070532</c:v>
                </c:pt>
                <c:pt idx="103">
                  <c:v>332.26233823070532</c:v>
                </c:pt>
                <c:pt idx="104">
                  <c:v>332.26233823070532</c:v>
                </c:pt>
                <c:pt idx="105">
                  <c:v>332.26233823070532</c:v>
                </c:pt>
                <c:pt idx="106">
                  <c:v>332.26233823070532</c:v>
                </c:pt>
                <c:pt idx="107">
                  <c:v>332.26233823070532</c:v>
                </c:pt>
                <c:pt idx="108">
                  <c:v>332.26233823070532</c:v>
                </c:pt>
                <c:pt idx="109">
                  <c:v>332.26233823070532</c:v>
                </c:pt>
                <c:pt idx="110">
                  <c:v>332.26233823070532</c:v>
                </c:pt>
                <c:pt idx="111">
                  <c:v>332.26233823070532</c:v>
                </c:pt>
                <c:pt idx="112">
                  <c:v>332.26233823070532</c:v>
                </c:pt>
                <c:pt idx="113">
                  <c:v>332.26233823070532</c:v>
                </c:pt>
                <c:pt idx="114">
                  <c:v>332.26233823070532</c:v>
                </c:pt>
                <c:pt idx="115">
                  <c:v>332.26233823070532</c:v>
                </c:pt>
                <c:pt idx="116">
                  <c:v>332.26233823070532</c:v>
                </c:pt>
                <c:pt idx="117">
                  <c:v>332.26233823070532</c:v>
                </c:pt>
                <c:pt idx="118">
                  <c:v>332.26233823070532</c:v>
                </c:pt>
                <c:pt idx="119">
                  <c:v>332.26233823070532</c:v>
                </c:pt>
                <c:pt idx="120">
                  <c:v>332.26233823070532</c:v>
                </c:pt>
                <c:pt idx="121">
                  <c:v>332.26233823070532</c:v>
                </c:pt>
                <c:pt idx="122">
                  <c:v>332.26233823070532</c:v>
                </c:pt>
                <c:pt idx="123">
                  <c:v>332.26233823070532</c:v>
                </c:pt>
                <c:pt idx="124">
                  <c:v>332.26233823070532</c:v>
                </c:pt>
                <c:pt idx="125">
                  <c:v>332.26233823070532</c:v>
                </c:pt>
                <c:pt idx="126">
                  <c:v>332.26233823070532</c:v>
                </c:pt>
                <c:pt idx="127">
                  <c:v>332.26233823070532</c:v>
                </c:pt>
                <c:pt idx="128">
                  <c:v>332.26233823070532</c:v>
                </c:pt>
                <c:pt idx="129">
                  <c:v>332.26233823070532</c:v>
                </c:pt>
                <c:pt idx="130">
                  <c:v>332.26233823070532</c:v>
                </c:pt>
                <c:pt idx="131">
                  <c:v>332.26233823070532</c:v>
                </c:pt>
                <c:pt idx="132">
                  <c:v>332.26233823070532</c:v>
                </c:pt>
                <c:pt idx="133">
                  <c:v>332.26233823070532</c:v>
                </c:pt>
                <c:pt idx="134">
                  <c:v>332.26233823070532</c:v>
                </c:pt>
                <c:pt idx="135">
                  <c:v>332.26233823070532</c:v>
                </c:pt>
                <c:pt idx="136">
                  <c:v>332.26233823070532</c:v>
                </c:pt>
                <c:pt idx="137">
                  <c:v>332.26233823070532</c:v>
                </c:pt>
                <c:pt idx="138">
                  <c:v>332.26233823070532</c:v>
                </c:pt>
                <c:pt idx="139">
                  <c:v>332.26233823070532</c:v>
                </c:pt>
                <c:pt idx="140">
                  <c:v>332.26233823070532</c:v>
                </c:pt>
                <c:pt idx="141">
                  <c:v>332.26233823070532</c:v>
                </c:pt>
                <c:pt idx="142">
                  <c:v>332.26233823070532</c:v>
                </c:pt>
                <c:pt idx="143">
                  <c:v>332.26233823070532</c:v>
                </c:pt>
                <c:pt idx="144">
                  <c:v>332.26233823070532</c:v>
                </c:pt>
                <c:pt idx="145">
                  <c:v>332.26233823070532</c:v>
                </c:pt>
                <c:pt idx="146">
                  <c:v>332.26233823070532</c:v>
                </c:pt>
                <c:pt idx="147">
                  <c:v>332.26233823070532</c:v>
                </c:pt>
                <c:pt idx="148">
                  <c:v>332.26233823070532</c:v>
                </c:pt>
                <c:pt idx="149">
                  <c:v>332.26233823070532</c:v>
                </c:pt>
                <c:pt idx="150">
                  <c:v>332.26233823070532</c:v>
                </c:pt>
                <c:pt idx="151">
                  <c:v>332.26233823070532</c:v>
                </c:pt>
                <c:pt idx="152">
                  <c:v>332.26233823070532</c:v>
                </c:pt>
                <c:pt idx="153">
                  <c:v>332.26233823070532</c:v>
                </c:pt>
                <c:pt idx="154">
                  <c:v>332.26233823070532</c:v>
                </c:pt>
                <c:pt idx="155">
                  <c:v>332.26233823070532</c:v>
                </c:pt>
                <c:pt idx="156">
                  <c:v>332.26233823070532</c:v>
                </c:pt>
                <c:pt idx="157">
                  <c:v>332.26233823070532</c:v>
                </c:pt>
                <c:pt idx="158">
                  <c:v>332.26233823070532</c:v>
                </c:pt>
                <c:pt idx="159">
                  <c:v>332.26233823070532</c:v>
                </c:pt>
                <c:pt idx="160">
                  <c:v>332.26233823070532</c:v>
                </c:pt>
                <c:pt idx="161">
                  <c:v>332.26233823070532</c:v>
                </c:pt>
                <c:pt idx="162">
                  <c:v>332.26233823070532</c:v>
                </c:pt>
                <c:pt idx="163">
                  <c:v>332.26233823070532</c:v>
                </c:pt>
                <c:pt idx="164">
                  <c:v>332.26233823070532</c:v>
                </c:pt>
                <c:pt idx="165">
                  <c:v>332.26233823070532</c:v>
                </c:pt>
                <c:pt idx="166">
                  <c:v>332.26233823070532</c:v>
                </c:pt>
                <c:pt idx="167">
                  <c:v>332.26233823070532</c:v>
                </c:pt>
                <c:pt idx="168">
                  <c:v>332.26233823070532</c:v>
                </c:pt>
                <c:pt idx="169">
                  <c:v>332.26233823070532</c:v>
                </c:pt>
                <c:pt idx="170">
                  <c:v>332.26233823070532</c:v>
                </c:pt>
                <c:pt idx="171">
                  <c:v>332.26233823070532</c:v>
                </c:pt>
                <c:pt idx="172">
                  <c:v>332.26233823070532</c:v>
                </c:pt>
                <c:pt idx="173">
                  <c:v>332.26233823070532</c:v>
                </c:pt>
                <c:pt idx="174">
                  <c:v>332.26233823070532</c:v>
                </c:pt>
                <c:pt idx="175">
                  <c:v>332.26233823070532</c:v>
                </c:pt>
                <c:pt idx="176">
                  <c:v>332.26233823070532</c:v>
                </c:pt>
                <c:pt idx="177">
                  <c:v>332.26233823070532</c:v>
                </c:pt>
                <c:pt idx="178">
                  <c:v>332.26233823070532</c:v>
                </c:pt>
                <c:pt idx="179">
                  <c:v>332.26233823070532</c:v>
                </c:pt>
                <c:pt idx="180">
                  <c:v>332.26233823070532</c:v>
                </c:pt>
                <c:pt idx="181">
                  <c:v>332.26233823070532</c:v>
                </c:pt>
                <c:pt idx="182">
                  <c:v>332.26233823070532</c:v>
                </c:pt>
                <c:pt idx="183">
                  <c:v>332.26233823070532</c:v>
                </c:pt>
                <c:pt idx="184">
                  <c:v>332.26233823070532</c:v>
                </c:pt>
                <c:pt idx="185">
                  <c:v>332.26233823070532</c:v>
                </c:pt>
                <c:pt idx="186">
                  <c:v>332.26233823070532</c:v>
                </c:pt>
                <c:pt idx="187">
                  <c:v>332.26233823070532</c:v>
                </c:pt>
                <c:pt idx="188">
                  <c:v>332.26233823070532</c:v>
                </c:pt>
                <c:pt idx="189">
                  <c:v>332.26233823070532</c:v>
                </c:pt>
                <c:pt idx="190">
                  <c:v>332.26233823070532</c:v>
                </c:pt>
                <c:pt idx="191">
                  <c:v>332.26233823070532</c:v>
                </c:pt>
                <c:pt idx="192">
                  <c:v>332.26233823070532</c:v>
                </c:pt>
                <c:pt idx="193">
                  <c:v>332.26233823070532</c:v>
                </c:pt>
                <c:pt idx="194">
                  <c:v>332.26233823070532</c:v>
                </c:pt>
                <c:pt idx="195">
                  <c:v>332.26233823070532</c:v>
                </c:pt>
                <c:pt idx="196">
                  <c:v>332.26233823070532</c:v>
                </c:pt>
                <c:pt idx="197">
                  <c:v>332.26233823070532</c:v>
                </c:pt>
                <c:pt idx="198">
                  <c:v>332.26233823070532</c:v>
                </c:pt>
                <c:pt idx="199">
                  <c:v>332.26233823070532</c:v>
                </c:pt>
                <c:pt idx="200">
                  <c:v>332.26233823070532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212.32525328046404</c:v>
                </c:pt>
                <c:pt idx="27">
                  <c:v>230.78777111964939</c:v>
                </c:pt>
                <c:pt idx="28">
                  <c:v>249.2165355146897</c:v>
                </c:pt>
                <c:pt idx="29">
                  <c:v>267.61439341566057</c:v>
                </c:pt>
                <c:pt idx="30">
                  <c:v>285.98376820295522</c:v>
                </c:pt>
                <c:pt idx="31">
                  <c:v>252.59797413681915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321.52428406625785</c:v>
                </c:pt>
                <c:pt idx="36">
                  <c:v>287.48211750444801</c:v>
                </c:pt>
                <c:pt idx="37">
                  <c:v>303.95265143464229</c:v>
                </c:pt>
                <c:pt idx="38">
                  <c:v>320.40333904330788</c:v>
                </c:pt>
                <c:pt idx="39">
                  <c:v>336.83534260693523</c:v>
                </c:pt>
                <c:pt idx="40">
                  <c:v>353.24970174806907</c:v>
                </c:pt>
                <c:pt idx="41">
                  <c:v>317.78746245668032</c:v>
                </c:pt>
                <c:pt idx="42">
                  <c:v>332.72903457884462</c:v>
                </c:pt>
                <c:pt idx="43">
                  <c:v>347.65581965898076</c:v>
                </c:pt>
                <c:pt idx="44">
                  <c:v>362.56854195764805</c:v>
                </c:pt>
                <c:pt idx="45">
                  <c:v>377.46786129486031</c:v>
                </c:pt>
                <c:pt idx="46">
                  <c:v>342.80619071488076</c:v>
                </c:pt>
                <c:pt idx="47">
                  <c:v>356.60509700107536</c:v>
                </c:pt>
                <c:pt idx="48">
                  <c:v>370.39231631024131</c:v>
                </c:pt>
                <c:pt idx="49">
                  <c:v>384.16834495549665</c:v>
                </c:pt>
                <c:pt idx="50">
                  <c:v>397.93364074958509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390.12219684408689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383.05177541071225</c:v>
                </c:pt>
                <c:pt idx="57">
                  <c:v>394.21432426135453</c:v>
                </c:pt>
                <c:pt idx="58">
                  <c:v>405.37002304691242</c:v>
                </c:pt>
                <c:pt idx="59">
                  <c:v>416.51908689232141</c:v>
                </c:pt>
                <c:pt idx="60">
                  <c:v>427.66171846396492</c:v>
                </c:pt>
                <c:pt idx="61">
                  <c:v>399.04928851891128</c:v>
                </c:pt>
                <c:pt idx="62">
                  <c:v>409.45877253580028</c:v>
                </c:pt>
                <c:pt idx="63">
                  <c:v>419.86254283875809</c:v>
                </c:pt>
                <c:pt idx="64">
                  <c:v>430.26076100517804</c:v>
                </c:pt>
                <c:pt idx="65">
                  <c:v>440.653580163588</c:v>
                </c:pt>
                <c:pt idx="66">
                  <c:v>412.8034567379907</c:v>
                </c:pt>
                <c:pt idx="67">
                  <c:v>422.09119450330417</c:v>
                </c:pt>
                <c:pt idx="68">
                  <c:v>431.37453295867743</c:v>
                </c:pt>
                <c:pt idx="69">
                  <c:v>440.653580163588</c:v>
                </c:pt>
                <c:pt idx="70">
                  <c:v>449.92843925372944</c:v>
                </c:pt>
                <c:pt idx="71">
                  <c:v>424.69096797933258</c:v>
                </c:pt>
                <c:pt idx="72">
                  <c:v>432.85946614650538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435.08666090841854</c:v>
                </c:pt>
                <c:pt idx="77">
                  <c:v>442.50888381337427</c:v>
                </c:pt>
                <c:pt idx="78">
                  <c:v>449.92843925372944</c:v>
                </c:pt>
                <c:pt idx="79">
                  <c:v>457.34537744583628</c:v>
                </c:pt>
                <c:pt idx="80">
                  <c:v>464.75974684356009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449.92843925372944</c:v>
                </c:pt>
                <c:pt idx="87">
                  <c:v>455.49138558575538</c:v>
                </c:pt>
                <c:pt idx="88">
                  <c:v>461.05288028198476</c:v>
                </c:pt>
                <c:pt idx="89">
                  <c:v>466.61294333655422</c:v>
                </c:pt>
                <c:pt idx="90">
                  <c:v>472.17159422788433</c:v>
                </c:pt>
                <c:pt idx="91">
                  <c:v>455.49138558575538</c:v>
                </c:pt>
                <c:pt idx="92">
                  <c:v>461.05288028198476</c:v>
                </c:pt>
                <c:pt idx="93">
                  <c:v>466.61294333655422</c:v>
                </c:pt>
                <c:pt idx="94">
                  <c:v>472.17159422788433</c:v>
                </c:pt>
                <c:pt idx="95">
                  <c:v>477.72885193803222</c:v>
                </c:pt>
                <c:pt idx="96">
                  <c:v>461.05288028198476</c:v>
                </c:pt>
                <c:pt idx="97">
                  <c:v>466.61294333655422</c:v>
                </c:pt>
                <c:pt idx="98">
                  <c:v>472.17159422788433</c:v>
                </c:pt>
                <c:pt idx="99">
                  <c:v>477.72885193803222</c:v>
                </c:pt>
                <c:pt idx="100">
                  <c:v>483.28473497109491</c:v>
                </c:pt>
                <c:pt idx="101">
                  <c:v>461.05288028198476</c:v>
                </c:pt>
                <c:pt idx="102">
                  <c:v>461.05288028198476</c:v>
                </c:pt>
                <c:pt idx="103">
                  <c:v>461.05288028198476</c:v>
                </c:pt>
                <c:pt idx="104">
                  <c:v>461.05288028198476</c:v>
                </c:pt>
                <c:pt idx="105">
                  <c:v>461.05288028198476</c:v>
                </c:pt>
                <c:pt idx="106">
                  <c:v>461.05288028198476</c:v>
                </c:pt>
                <c:pt idx="107">
                  <c:v>461.05288028198476</c:v>
                </c:pt>
                <c:pt idx="108">
                  <c:v>461.05288028198476</c:v>
                </c:pt>
                <c:pt idx="109">
                  <c:v>461.05288028198476</c:v>
                </c:pt>
                <c:pt idx="110">
                  <c:v>461.05288028198476</c:v>
                </c:pt>
                <c:pt idx="111">
                  <c:v>461.05288028198476</c:v>
                </c:pt>
                <c:pt idx="112">
                  <c:v>461.05288028198476</c:v>
                </c:pt>
                <c:pt idx="113">
                  <c:v>461.05288028198476</c:v>
                </c:pt>
                <c:pt idx="114">
                  <c:v>461.05288028198476</c:v>
                </c:pt>
                <c:pt idx="115">
                  <c:v>461.05288028198476</c:v>
                </c:pt>
                <c:pt idx="116">
                  <c:v>461.05288028198476</c:v>
                </c:pt>
                <c:pt idx="117">
                  <c:v>461.05288028198476</c:v>
                </c:pt>
                <c:pt idx="118">
                  <c:v>461.05288028198476</c:v>
                </c:pt>
                <c:pt idx="119">
                  <c:v>461.05288028198476</c:v>
                </c:pt>
                <c:pt idx="120">
                  <c:v>461.05288028198476</c:v>
                </c:pt>
                <c:pt idx="121">
                  <c:v>461.05288028198476</c:v>
                </c:pt>
                <c:pt idx="122">
                  <c:v>461.05288028198476</c:v>
                </c:pt>
                <c:pt idx="123">
                  <c:v>461.05288028198476</c:v>
                </c:pt>
                <c:pt idx="124">
                  <c:v>461.05288028198476</c:v>
                </c:pt>
                <c:pt idx="125">
                  <c:v>461.05288028198476</c:v>
                </c:pt>
                <c:pt idx="126">
                  <c:v>461.05288028198476</c:v>
                </c:pt>
                <c:pt idx="127">
                  <c:v>461.05288028198476</c:v>
                </c:pt>
                <c:pt idx="128">
                  <c:v>461.05288028198476</c:v>
                </c:pt>
                <c:pt idx="129">
                  <c:v>461.05288028198476</c:v>
                </c:pt>
                <c:pt idx="130">
                  <c:v>461.05288028198476</c:v>
                </c:pt>
                <c:pt idx="131">
                  <c:v>461.05288028198476</c:v>
                </c:pt>
                <c:pt idx="132">
                  <c:v>461.05288028198476</c:v>
                </c:pt>
                <c:pt idx="133">
                  <c:v>461.05288028198476</c:v>
                </c:pt>
                <c:pt idx="134">
                  <c:v>461.05288028198476</c:v>
                </c:pt>
                <c:pt idx="135">
                  <c:v>461.05288028198476</c:v>
                </c:pt>
                <c:pt idx="136">
                  <c:v>461.05288028198476</c:v>
                </c:pt>
                <c:pt idx="137">
                  <c:v>461.05288028198476</c:v>
                </c:pt>
                <c:pt idx="138">
                  <c:v>461.05288028198476</c:v>
                </c:pt>
                <c:pt idx="139">
                  <c:v>461.05288028198476</c:v>
                </c:pt>
                <c:pt idx="140">
                  <c:v>461.05288028198476</c:v>
                </c:pt>
                <c:pt idx="141">
                  <c:v>461.05288028198476</c:v>
                </c:pt>
                <c:pt idx="142">
                  <c:v>461.05288028198476</c:v>
                </c:pt>
                <c:pt idx="143">
                  <c:v>461.05288028198476</c:v>
                </c:pt>
                <c:pt idx="144">
                  <c:v>461.05288028198476</c:v>
                </c:pt>
                <c:pt idx="145">
                  <c:v>461.05288028198476</c:v>
                </c:pt>
                <c:pt idx="146">
                  <c:v>461.05288028198476</c:v>
                </c:pt>
                <c:pt idx="147">
                  <c:v>461.05288028198476</c:v>
                </c:pt>
                <c:pt idx="148">
                  <c:v>461.05288028198476</c:v>
                </c:pt>
                <c:pt idx="149">
                  <c:v>461.05288028198476</c:v>
                </c:pt>
                <c:pt idx="150">
                  <c:v>461.05288028198476</c:v>
                </c:pt>
                <c:pt idx="151">
                  <c:v>461.05288028198476</c:v>
                </c:pt>
                <c:pt idx="152">
                  <c:v>461.05288028198476</c:v>
                </c:pt>
                <c:pt idx="153">
                  <c:v>461.05288028198476</c:v>
                </c:pt>
                <c:pt idx="154">
                  <c:v>461.05288028198476</c:v>
                </c:pt>
                <c:pt idx="155">
                  <c:v>461.05288028198476</c:v>
                </c:pt>
                <c:pt idx="156">
                  <c:v>461.05288028198476</c:v>
                </c:pt>
                <c:pt idx="157">
                  <c:v>461.05288028198476</c:v>
                </c:pt>
                <c:pt idx="158">
                  <c:v>461.05288028198476</c:v>
                </c:pt>
                <c:pt idx="159">
                  <c:v>461.05288028198476</c:v>
                </c:pt>
                <c:pt idx="160">
                  <c:v>461.05288028198476</c:v>
                </c:pt>
                <c:pt idx="161">
                  <c:v>461.05288028198476</c:v>
                </c:pt>
                <c:pt idx="162">
                  <c:v>461.05288028198476</c:v>
                </c:pt>
                <c:pt idx="163">
                  <c:v>461.05288028198476</c:v>
                </c:pt>
                <c:pt idx="164">
                  <c:v>461.05288028198476</c:v>
                </c:pt>
                <c:pt idx="165">
                  <c:v>461.05288028198476</c:v>
                </c:pt>
                <c:pt idx="166">
                  <c:v>461.05288028198476</c:v>
                </c:pt>
                <c:pt idx="167">
                  <c:v>461.05288028198476</c:v>
                </c:pt>
                <c:pt idx="168">
                  <c:v>461.05288028198476</c:v>
                </c:pt>
                <c:pt idx="169">
                  <c:v>461.05288028198476</c:v>
                </c:pt>
                <c:pt idx="170">
                  <c:v>461.05288028198476</c:v>
                </c:pt>
                <c:pt idx="171">
                  <c:v>461.05288028198476</c:v>
                </c:pt>
                <c:pt idx="172">
                  <c:v>461.05288028198476</c:v>
                </c:pt>
                <c:pt idx="173">
                  <c:v>461.05288028198476</c:v>
                </c:pt>
                <c:pt idx="174">
                  <c:v>461.05288028198476</c:v>
                </c:pt>
                <c:pt idx="175">
                  <c:v>461.05288028198476</c:v>
                </c:pt>
                <c:pt idx="176">
                  <c:v>461.05288028198476</c:v>
                </c:pt>
                <c:pt idx="177">
                  <c:v>461.05288028198476</c:v>
                </c:pt>
                <c:pt idx="178">
                  <c:v>461.05288028198476</c:v>
                </c:pt>
                <c:pt idx="179">
                  <c:v>461.05288028198476</c:v>
                </c:pt>
                <c:pt idx="180">
                  <c:v>461.05288028198476</c:v>
                </c:pt>
                <c:pt idx="181">
                  <c:v>461.05288028198476</c:v>
                </c:pt>
                <c:pt idx="182">
                  <c:v>461.05288028198476</c:v>
                </c:pt>
                <c:pt idx="183">
                  <c:v>461.05288028198476</c:v>
                </c:pt>
                <c:pt idx="184">
                  <c:v>461.05288028198476</c:v>
                </c:pt>
                <c:pt idx="185">
                  <c:v>461.05288028198476</c:v>
                </c:pt>
                <c:pt idx="186">
                  <c:v>461.05288028198476</c:v>
                </c:pt>
                <c:pt idx="187">
                  <c:v>461.05288028198476</c:v>
                </c:pt>
                <c:pt idx="188">
                  <c:v>461.05288028198476</c:v>
                </c:pt>
                <c:pt idx="189">
                  <c:v>461.05288028198476</c:v>
                </c:pt>
                <c:pt idx="190">
                  <c:v>461.05288028198476</c:v>
                </c:pt>
                <c:pt idx="191">
                  <c:v>461.05288028198476</c:v>
                </c:pt>
                <c:pt idx="192">
                  <c:v>461.05288028198476</c:v>
                </c:pt>
                <c:pt idx="193">
                  <c:v>461.05288028198476</c:v>
                </c:pt>
                <c:pt idx="194">
                  <c:v>461.05288028198476</c:v>
                </c:pt>
                <c:pt idx="195">
                  <c:v>461.05288028198476</c:v>
                </c:pt>
                <c:pt idx="196">
                  <c:v>461.05288028198476</c:v>
                </c:pt>
                <c:pt idx="197">
                  <c:v>461.05288028198476</c:v>
                </c:pt>
                <c:pt idx="198">
                  <c:v>461.05288028198476</c:v>
                </c:pt>
                <c:pt idx="199">
                  <c:v>461.05288028198476</c:v>
                </c:pt>
                <c:pt idx="200">
                  <c:v>461.05288028198476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H25" sqref="H2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3.7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18</v>
      </c>
      <c r="C9" s="264">
        <v>0.7564915150276017</v>
      </c>
      <c r="D9" s="33">
        <f t="shared" ref="D9:D18" si="0">C9*$C$5</f>
        <v>2.7990186056021265</v>
      </c>
      <c r="E9" s="265">
        <v>54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81</v>
      </c>
      <c r="C10" s="264">
        <v>0.18912287875690043</v>
      </c>
      <c r="D10" s="33">
        <f t="shared" si="0"/>
        <v>0.69975465140053161</v>
      </c>
      <c r="E10" s="265">
        <v>42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13</v>
      </c>
      <c r="C11" s="264">
        <v>5.4385606215497852E-2</v>
      </c>
      <c r="D11" s="33">
        <f t="shared" si="0"/>
        <v>0.20122674299734206</v>
      </c>
      <c r="E11" s="265">
        <v>100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0.99999999999999989</v>
      </c>
      <c r="D19" s="38">
        <f>SUM(D9:D18)</f>
        <v>3.7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17</v>
      </c>
      <c r="B36" s="259">
        <v>172.88</v>
      </c>
      <c r="C36" s="259"/>
      <c r="D36" s="259"/>
      <c r="E36" s="260"/>
      <c r="F36" s="260"/>
      <c r="G36" s="260"/>
      <c r="H36" s="260"/>
      <c r="I36" s="49">
        <f>IFERROR(B36/A36,"")</f>
        <v>10.169411764705883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18</v>
      </c>
      <c r="B37" s="259">
        <v>202.42</v>
      </c>
      <c r="C37" s="259">
        <v>1</v>
      </c>
      <c r="D37" s="259">
        <v>74.819999999999993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29.539999999999992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24</v>
      </c>
      <c r="B38" s="259">
        <v>289.16000000000003</v>
      </c>
      <c r="C38" s="259">
        <v>2</v>
      </c>
      <c r="D38" s="259">
        <v>51.39</v>
      </c>
      <c r="E38" s="260"/>
      <c r="F38" s="260">
        <v>1</v>
      </c>
      <c r="G38" s="260"/>
      <c r="H38" s="260"/>
      <c r="I38" s="53">
        <f t="shared" si="1"/>
        <v>26.926666666666673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30</v>
      </c>
      <c r="B39" s="259">
        <v>410.69</v>
      </c>
      <c r="C39" s="259">
        <v>3</v>
      </c>
      <c r="D39" s="259">
        <v>80.97</v>
      </c>
      <c r="E39" s="260"/>
      <c r="F39" s="260">
        <v>1</v>
      </c>
      <c r="G39" s="260"/>
      <c r="H39" s="260"/>
      <c r="I39" s="49">
        <f t="shared" si="1"/>
        <v>28.819999999999993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36</v>
      </c>
      <c r="B40" s="259">
        <v>501.69</v>
      </c>
      <c r="C40" s="259">
        <v>4</v>
      </c>
      <c r="D40" s="259">
        <v>85.88</v>
      </c>
      <c r="E40" s="260">
        <v>1</v>
      </c>
      <c r="F40" s="260"/>
      <c r="G40" s="260"/>
      <c r="H40" s="260"/>
      <c r="I40" s="49">
        <f t="shared" si="1"/>
        <v>28.661666666666662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42</v>
      </c>
      <c r="B41" s="259">
        <v>584.37</v>
      </c>
      <c r="C41" s="259">
        <v>5</v>
      </c>
      <c r="D41" s="259">
        <v>91.25</v>
      </c>
      <c r="E41" s="260">
        <v>1</v>
      </c>
      <c r="F41" s="260"/>
      <c r="G41" s="260"/>
      <c r="H41" s="260"/>
      <c r="I41" s="53">
        <f t="shared" si="1"/>
        <v>28.093333333333334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48</v>
      </c>
      <c r="B42" s="259">
        <v>655.72</v>
      </c>
      <c r="C42" s="259">
        <v>6</v>
      </c>
      <c r="D42" s="259">
        <v>101.34</v>
      </c>
      <c r="E42" s="260">
        <v>1</v>
      </c>
      <c r="F42" s="260"/>
      <c r="G42" s="260"/>
      <c r="H42" s="260"/>
      <c r="I42" s="53">
        <f t="shared" si="1"/>
        <v>27.100000000000005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54</v>
      </c>
      <c r="B43" s="259">
        <v>708.61</v>
      </c>
      <c r="C43" s="259">
        <v>7</v>
      </c>
      <c r="D43" s="259">
        <v>707.75</v>
      </c>
      <c r="E43" s="260">
        <v>1</v>
      </c>
      <c r="F43" s="260"/>
      <c r="G43" s="260"/>
      <c r="H43" s="260"/>
      <c r="I43" s="49">
        <f t="shared" si="1"/>
        <v>25.705000000000002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/>
      <c r="B44" s="259"/>
      <c r="C44" s="259"/>
      <c r="D44" s="259"/>
      <c r="E44" s="260"/>
      <c r="F44" s="260"/>
      <c r="G44" s="260"/>
      <c r="H44" s="260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Mélèze hybride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12</v>
      </c>
      <c r="B62" s="261">
        <v>116</v>
      </c>
      <c r="C62" s="261">
        <v>1</v>
      </c>
      <c r="D62" s="261">
        <v>21</v>
      </c>
      <c r="E62" s="260"/>
      <c r="F62" s="260"/>
      <c r="G62" s="260">
        <v>1</v>
      </c>
      <c r="H62" s="260"/>
      <c r="I62" s="53">
        <f>IFERROR(B62/A62,"")</f>
        <v>9.6666666666666661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15</v>
      </c>
      <c r="B63" s="261">
        <v>168</v>
      </c>
      <c r="C63" s="261">
        <v>2</v>
      </c>
      <c r="D63" s="261">
        <v>47</v>
      </c>
      <c r="E63" s="260"/>
      <c r="F63" s="260">
        <v>1</v>
      </c>
      <c r="G63" s="260"/>
      <c r="H63" s="260"/>
      <c r="I63" s="49">
        <f>IF(A63&lt;&gt;0,(B63-(B62-D62))/(A63-A62),"")</f>
        <v>24.333333333333332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18</v>
      </c>
      <c r="B64" s="261">
        <v>185</v>
      </c>
      <c r="C64" s="261">
        <v>3</v>
      </c>
      <c r="D64" s="261">
        <v>61</v>
      </c>
      <c r="E64" s="260"/>
      <c r="F64" s="260">
        <v>1</v>
      </c>
      <c r="G64" s="260"/>
      <c r="H64" s="260"/>
      <c r="I64" s="49">
        <f>IF(A64&lt;&gt;0,(B64-(B63-D63))/(A64-A63),"")</f>
        <v>21.333333333333332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24</v>
      </c>
      <c r="B65" s="261">
        <v>239</v>
      </c>
      <c r="C65" s="261">
        <v>4</v>
      </c>
      <c r="D65" s="261">
        <v>84</v>
      </c>
      <c r="E65" s="260"/>
      <c r="F65" s="260">
        <v>1</v>
      </c>
      <c r="G65" s="260"/>
      <c r="H65" s="260"/>
      <c r="I65" s="49">
        <f>IF(A65&lt;&gt;0,(B65-(B64-D64))/(A65-A64),"")</f>
        <v>19.166666666666668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30</v>
      </c>
      <c r="B66" s="261">
        <v>255</v>
      </c>
      <c r="C66" s="261">
        <v>5</v>
      </c>
      <c r="D66" s="261">
        <v>76</v>
      </c>
      <c r="E66" s="260"/>
      <c r="F66" s="260">
        <v>1</v>
      </c>
      <c r="G66" s="260"/>
      <c r="H66" s="260"/>
      <c r="I66" s="49">
        <f t="shared" ref="I66:I81" si="2">IF(A66&lt;&gt;0,(B66-(B65-D65))/(A66-A65),"")</f>
        <v>16.666666666666668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36</v>
      </c>
      <c r="B67" s="261">
        <v>269</v>
      </c>
      <c r="C67" s="261">
        <v>6</v>
      </c>
      <c r="D67" s="261">
        <v>75</v>
      </c>
      <c r="E67" s="260">
        <v>1</v>
      </c>
      <c r="F67" s="260"/>
      <c r="G67" s="260"/>
      <c r="H67" s="260"/>
      <c r="I67" s="49">
        <f t="shared" si="2"/>
        <v>15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42</v>
      </c>
      <c r="B68" s="261">
        <v>278</v>
      </c>
      <c r="C68" s="261"/>
      <c r="D68" s="261"/>
      <c r="E68" s="260"/>
      <c r="F68" s="260"/>
      <c r="G68" s="260"/>
      <c r="H68" s="260"/>
      <c r="I68" s="49">
        <f t="shared" si="2"/>
        <v>14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/>
      <c r="B69" s="261"/>
      <c r="C69" s="261"/>
      <c r="D69" s="261"/>
      <c r="E69" s="260"/>
      <c r="F69" s="260"/>
      <c r="G69" s="260"/>
      <c r="H69" s="260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/>
      <c r="B71" s="261"/>
      <c r="C71" s="261"/>
      <c r="D71" s="261"/>
      <c r="E71" s="260"/>
      <c r="F71" s="260"/>
      <c r="G71" s="260"/>
      <c r="H71" s="260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/>
      <c r="B72" s="261"/>
      <c r="C72" s="261"/>
      <c r="D72" s="261"/>
      <c r="E72" s="260"/>
      <c r="F72" s="260"/>
      <c r="G72" s="260"/>
      <c r="H72" s="260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/>
      <c r="B73" s="261"/>
      <c r="C73" s="261"/>
      <c r="D73" s="261"/>
      <c r="E73" s="260"/>
      <c r="F73" s="260"/>
      <c r="G73" s="260"/>
      <c r="H73" s="260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rouge d'Amérique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10</v>
      </c>
      <c r="B88" s="261">
        <v>29</v>
      </c>
      <c r="C88" s="261"/>
      <c r="D88" s="261">
        <v>0</v>
      </c>
      <c r="E88" s="260"/>
      <c r="F88" s="260"/>
      <c r="G88" s="260"/>
      <c r="H88" s="260"/>
      <c r="I88" s="53">
        <f>IFERROR(B88/A88,"")</f>
        <v>2.9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15</v>
      </c>
      <c r="B89" s="261">
        <v>73</v>
      </c>
      <c r="C89" s="261"/>
      <c r="D89" s="261">
        <v>0</v>
      </c>
      <c r="E89" s="260"/>
      <c r="F89" s="260"/>
      <c r="G89" s="260"/>
      <c r="H89" s="260"/>
      <c r="I89" s="53">
        <f t="shared" ref="I89:I107" si="3">IF(A89&lt;&gt;0,(B89-(B88-D88))/(A89-A88),"")</f>
        <v>8.8000000000000007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20</v>
      </c>
      <c r="B90" s="261">
        <v>129</v>
      </c>
      <c r="C90" s="261">
        <v>1</v>
      </c>
      <c r="D90" s="261">
        <v>54</v>
      </c>
      <c r="E90" s="260"/>
      <c r="F90" s="260"/>
      <c r="G90" s="260"/>
      <c r="H90" s="260">
        <v>1</v>
      </c>
      <c r="I90" s="53">
        <f t="shared" si="3"/>
        <v>11.2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25</v>
      </c>
      <c r="B91" s="261">
        <v>126</v>
      </c>
      <c r="C91" s="261">
        <v>2</v>
      </c>
      <c r="D91" s="261">
        <v>26</v>
      </c>
      <c r="E91" s="260"/>
      <c r="F91" s="260"/>
      <c r="G91" s="260"/>
      <c r="H91" s="260">
        <v>1</v>
      </c>
      <c r="I91" s="53">
        <f t="shared" si="3"/>
        <v>10.199999999999999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30</v>
      </c>
      <c r="B92" s="261">
        <v>149</v>
      </c>
      <c r="C92" s="261">
        <v>3</v>
      </c>
      <c r="D92" s="261">
        <v>27</v>
      </c>
      <c r="E92" s="260"/>
      <c r="F92" s="260"/>
      <c r="G92" s="260"/>
      <c r="H92" s="260">
        <v>1</v>
      </c>
      <c r="I92" s="53">
        <f t="shared" si="3"/>
        <v>9.8000000000000007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35</v>
      </c>
      <c r="B93" s="261">
        <v>168</v>
      </c>
      <c r="C93" s="261">
        <v>4</v>
      </c>
      <c r="D93" s="261">
        <v>27</v>
      </c>
      <c r="E93" s="260">
        <v>1</v>
      </c>
      <c r="F93" s="260"/>
      <c r="G93" s="260"/>
      <c r="H93" s="260"/>
      <c r="I93" s="53">
        <f t="shared" si="3"/>
        <v>9.1999999999999993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40</v>
      </c>
      <c r="B94" s="261">
        <v>185</v>
      </c>
      <c r="C94" s="261">
        <v>5</v>
      </c>
      <c r="D94" s="261">
        <v>27</v>
      </c>
      <c r="E94" s="260">
        <v>1</v>
      </c>
      <c r="F94" s="260"/>
      <c r="G94" s="260"/>
      <c r="H94" s="260"/>
      <c r="I94" s="53">
        <f t="shared" si="3"/>
        <v>8.8000000000000007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45</v>
      </c>
      <c r="B95" s="261">
        <v>198</v>
      </c>
      <c r="C95" s="261">
        <v>6</v>
      </c>
      <c r="D95" s="261">
        <v>26</v>
      </c>
      <c r="E95" s="260">
        <v>1</v>
      </c>
      <c r="F95" s="260"/>
      <c r="G95" s="260"/>
      <c r="H95" s="260"/>
      <c r="I95" s="53">
        <f t="shared" si="3"/>
        <v>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50</v>
      </c>
      <c r="B96" s="261">
        <v>209</v>
      </c>
      <c r="C96" s="261">
        <v>7</v>
      </c>
      <c r="D96" s="261">
        <v>24</v>
      </c>
      <c r="E96" s="260">
        <v>1</v>
      </c>
      <c r="F96" s="260"/>
      <c r="G96" s="260"/>
      <c r="H96" s="260"/>
      <c r="I96" s="53">
        <f t="shared" si="3"/>
        <v>7.4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55</v>
      </c>
      <c r="B97" s="261">
        <v>218</v>
      </c>
      <c r="C97" s="261">
        <v>8</v>
      </c>
      <c r="D97" s="261">
        <v>23</v>
      </c>
      <c r="E97" s="260">
        <v>1</v>
      </c>
      <c r="F97" s="260"/>
      <c r="G97" s="260"/>
      <c r="H97" s="260"/>
      <c r="I97" s="53">
        <f t="shared" si="3"/>
        <v>6.6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60</v>
      </c>
      <c r="B98" s="261">
        <v>225</v>
      </c>
      <c r="C98" s="261">
        <v>9</v>
      </c>
      <c r="D98" s="261">
        <v>21</v>
      </c>
      <c r="E98" s="260">
        <v>1</v>
      </c>
      <c r="F98" s="260"/>
      <c r="G98" s="260"/>
      <c r="H98" s="260"/>
      <c r="I98" s="53">
        <f t="shared" si="3"/>
        <v>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65</v>
      </c>
      <c r="B99" s="261">
        <v>232</v>
      </c>
      <c r="C99" s="261">
        <v>10</v>
      </c>
      <c r="D99" s="261">
        <v>20</v>
      </c>
      <c r="E99" s="260">
        <v>1</v>
      </c>
      <c r="F99" s="260"/>
      <c r="G99" s="260"/>
      <c r="H99" s="260"/>
      <c r="I99" s="53">
        <f t="shared" si="3"/>
        <v>5.6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70</v>
      </c>
      <c r="B100" s="261">
        <v>237</v>
      </c>
      <c r="C100" s="261">
        <v>11</v>
      </c>
      <c r="D100" s="261">
        <v>18</v>
      </c>
      <c r="E100" s="260">
        <v>1</v>
      </c>
      <c r="F100" s="260"/>
      <c r="G100" s="260"/>
      <c r="H100" s="260"/>
      <c r="I100" s="53">
        <f t="shared" si="3"/>
        <v>5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75</v>
      </c>
      <c r="B101" s="261">
        <v>241</v>
      </c>
      <c r="C101" s="261">
        <v>12</v>
      </c>
      <c r="D101" s="261">
        <v>16</v>
      </c>
      <c r="E101" s="260">
        <v>1</v>
      </c>
      <c r="F101" s="260"/>
      <c r="G101" s="260"/>
      <c r="H101" s="260"/>
      <c r="I101" s="53">
        <f t="shared" si="3"/>
        <v>4.4000000000000004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80</v>
      </c>
      <c r="B102" s="261">
        <v>245</v>
      </c>
      <c r="C102" s="261">
        <v>13</v>
      </c>
      <c r="D102" s="261">
        <v>15</v>
      </c>
      <c r="E102" s="260">
        <v>1</v>
      </c>
      <c r="F102" s="260"/>
      <c r="G102" s="260"/>
      <c r="H102" s="260"/>
      <c r="I102" s="53">
        <f t="shared" si="3"/>
        <v>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>
        <v>85</v>
      </c>
      <c r="B103" s="257">
        <v>248</v>
      </c>
      <c r="C103" s="256">
        <v>14</v>
      </c>
      <c r="D103" s="256">
        <v>14</v>
      </c>
      <c r="E103" s="255">
        <v>1</v>
      </c>
      <c r="F103" s="255"/>
      <c r="G103" s="255"/>
      <c r="H103" s="255"/>
      <c r="I103" s="53">
        <f t="shared" si="3"/>
        <v>3.6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>
        <v>90</v>
      </c>
      <c r="B104" s="257">
        <v>249</v>
      </c>
      <c r="C104" s="256">
        <v>15</v>
      </c>
      <c r="D104" s="256">
        <v>12</v>
      </c>
      <c r="E104" s="255">
        <v>1</v>
      </c>
      <c r="F104" s="255"/>
      <c r="G104" s="255"/>
      <c r="H104" s="255"/>
      <c r="I104" s="53">
        <f t="shared" si="3"/>
        <v>3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>
        <v>95</v>
      </c>
      <c r="B105" s="257">
        <v>252</v>
      </c>
      <c r="C105" s="256">
        <v>16</v>
      </c>
      <c r="D105" s="256">
        <v>12</v>
      </c>
      <c r="E105" s="255">
        <v>1</v>
      </c>
      <c r="F105" s="255"/>
      <c r="G105" s="255"/>
      <c r="H105" s="255"/>
      <c r="I105" s="53">
        <f t="shared" si="3"/>
        <v>3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>
        <v>100</v>
      </c>
      <c r="B106" s="257">
        <v>255</v>
      </c>
      <c r="C106" s="256">
        <v>17</v>
      </c>
      <c r="D106" s="256">
        <v>12</v>
      </c>
      <c r="E106" s="255">
        <v>1</v>
      </c>
      <c r="F106" s="255"/>
      <c r="G106" s="255"/>
      <c r="H106" s="255"/>
      <c r="I106" s="53">
        <f t="shared" si="3"/>
        <v>3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="115" zoomScaleNormal="115" workbookViewId="0">
      <selection activeCell="F9" sqref="F9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Douglas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Mélèze hybride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Chêne rouge d'Amérique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350.01600895263641</v>
      </c>
      <c r="T3" s="59">
        <f>IF('Données projet'!E9&gt;30,$R$33-$H$33,LOOKUP('Données projet'!$E$9,$A$3:$A$203,R3:R203)-LOOKUP('Données projet'!$E$9,$A$3:$A$203,$H$3:$H$203))</f>
        <v>464.08921044376882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159.92263609041913</v>
      </c>
      <c r="AO3" s="59">
        <f>IF('Données projet'!E10&gt;30,$AM$33-$H$33,LOOKUP('Données projet'!$E$10,$A$3:$A$203,AM3:AM203)-LOOKUP('Données projet'!$E$10,$A$3:$A$203,$H$3:$H$203))</f>
        <v>271.78119133009307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268.27008134105046</v>
      </c>
      <c r="BJ3" s="59">
        <f>IF('Données projet'!E11&gt;30,$BH$33-$H$33,LOOKUP('Données projet'!$E$11,$A$3:$A$203,BH3:BH203)-LOOKUP('Données projet'!$E$11,$A$3:$A$203,$H$3:$H$203))</f>
        <v>252.36274686619709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10.169411764705883</v>
      </c>
      <c r="N4" s="13">
        <f>IF('Données projet'!$A$36&gt;35,N3+M4-V3,IF(A4&lt;'Données projet'!$A$36,$K$205^A4,IF(A4='Données projet'!$A$36,'Données projet'!$B$36,N3+M4-V3)))</f>
        <v>1.3540417154604885</v>
      </c>
      <c r="O4" s="13">
        <f>N4*VLOOKUP('Données projet'!$B$9,Paramètres!$A$1:$I$89,3,0)*VLOOKUP('Données projet'!$B$9,Paramètres!$A$1:$I$89,5,0)</f>
        <v>0.75690931894241309</v>
      </c>
      <c r="P4" s="13">
        <f>EXP(-1.0587+0.8836*LN(O4)+0.284)</f>
        <v>0.36030908494947955</v>
      </c>
      <c r="Q4" s="20">
        <f t="shared" ref="Q4:Q34" si="2">(O4+P4)*0.475*44/12</f>
        <v>1.9458220534450461</v>
      </c>
      <c r="R4" s="59">
        <f t="shared" si="0"/>
        <v>295.27915538677837</v>
      </c>
      <c r="S4" s="59">
        <f ca="1">AVERAGE(OFFSET($R$3,0,0,'Données projet'!$E$9+1,1))-AVERAGE(OFFSET($H$3,0,0,'Données projet'!$E$9+1,1))</f>
        <v>350.01600895263641</v>
      </c>
      <c r="T4" s="59">
        <f>$T$3</f>
        <v>464.08921044376882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9.6666666666666661</v>
      </c>
      <c r="AI4" s="13">
        <f>IF('Données projet'!$A$62&gt;35,AI3+AH4-AQ3,IF(A4&lt;'Données projet'!$A$62,$AF$205^A4,IF(A4='Données projet'!$A$62,'Données projet'!$B$62,AI3+AH4-AQ3)))</f>
        <v>1.4860662319460807</v>
      </c>
      <c r="AJ4" s="13">
        <f>AI4*VLOOKUP('Données projet'!$B$10,Paramètres!$A$1:$I$89,3,0)*VLOOKUP('Données projet'!$B$10,Paramètres!$A$1:$I$89,5,0)</f>
        <v>0.81139216264255998</v>
      </c>
      <c r="AK4" s="13">
        <f>EXP(-1.0587+0.8836*LN(AJ4)+0.284)</f>
        <v>0.38313198283208655</v>
      </c>
      <c r="AL4" s="20">
        <f t="shared" ref="AL4:AL67" si="4">(AJ4+AK4)*0.475*44/12</f>
        <v>2.0804628867016759</v>
      </c>
      <c r="AM4" s="59">
        <f t="shared" ref="AM4:AM67" si="5">AL4+(AD4+AE4)*44/12</f>
        <v>295.41379622003501</v>
      </c>
      <c r="AN4" s="59">
        <f ca="1">AVERAGE(OFFSET($AM$3,0,0,'Données projet'!$E$10+1,1))-AVERAGE(OFFSET($H$3,0,0,'Données projet'!$E$10+1,1))</f>
        <v>159.92263609041913</v>
      </c>
      <c r="AO4" s="59">
        <f>$AO$3</f>
        <v>271.78119133009307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2.9</v>
      </c>
      <c r="BD4" s="12">
        <f>IF('Données projet'!$A$88&gt;35,BD3+BC4-BL3,IF(A4&lt;'Données projet'!$A$88,$BA$205^A4,IF(A4='Données projet'!$A$88,'Données projet'!$B$88,BD3+BC4-BL3)))</f>
        <v>1.4003603312913959</v>
      </c>
      <c r="BE4" s="13">
        <f>BD4*VLOOKUP('Données projet'!$B$11,Paramètres!$A$1:$I$89,3,0)*VLOOKUP('Données projet'!$B$11,Paramètres!$A$1:$I$89,5,0)</f>
        <v>1.2233547854161635</v>
      </c>
      <c r="BF4" s="13">
        <f>EXP(-1.0587+0.8836*LN(BE4)+0.284)</f>
        <v>0.55069785861405296</v>
      </c>
      <c r="BG4" s="20">
        <f t="shared" ref="BG4:BG67" si="7">(BE4+BF4)*0.475*44/12</f>
        <v>3.0898083550192936</v>
      </c>
      <c r="BH4" s="59">
        <f t="shared" ref="BH4:BH67" si="8">BG4+(AY4+AZ4)*44/12</f>
        <v>296.42314168835259</v>
      </c>
      <c r="BI4" s="59">
        <f ca="1">AVERAGE(OFFSET($BH$3,0,0,'Données projet'!$E$11+1,1))-AVERAGE(OFFSET($H$3,0,0,'Données projet'!$E$11+1,1))</f>
        <v>268.27008134105046</v>
      </c>
      <c r="BJ4" s="59">
        <f>$BJ$3</f>
        <v>252.36274686619709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10.169411764705883</v>
      </c>
      <c r="N5" s="13">
        <f>IF('Données projet'!$A$36&gt;35,N4+M5-V4,IF(A5&lt;'Données projet'!$A$36,$K$205^A5,IF(A5='Données projet'!$A$36,'Données projet'!$B$36,N4+M5-V4)))</f>
        <v>1.8334289672071824</v>
      </c>
      <c r="O5" s="13">
        <f>N5*VLOOKUP('Données projet'!$B$9,Paramètres!$A$1:$I$89,3,0)*VLOOKUP('Données projet'!$B$9,Paramètres!$A$1:$I$89,5,0)</f>
        <v>1.024886792668815</v>
      </c>
      <c r="P5" s="13">
        <f t="shared" ref="P5:P68" si="33">EXP(-1.0587+0.8836*LN(O5)+0.284)</f>
        <v>0.47096137102098057</v>
      </c>
      <c r="Q5" s="20">
        <f t="shared" si="2"/>
        <v>2.6052688850930608</v>
      </c>
      <c r="R5" s="59">
        <f t="shared" si="0"/>
        <v>295.93860221842635</v>
      </c>
      <c r="S5" s="59">
        <f ca="1">AVERAGE(OFFSET($R$3,0,0,'Données projet'!$E$9+1,1))-AVERAGE(OFFSET($H$3,0,0,'Données projet'!$E$9+1,1))</f>
        <v>350.01600895263641</v>
      </c>
      <c r="T5" s="59">
        <f t="shared" ref="T5:T68" si="34">$T$3</f>
        <v>464.08921044376882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9.6666666666666661</v>
      </c>
      <c r="AI5" s="13">
        <f>IF('Données projet'!$A$62&gt;35,AI4+AH5-AQ4,IF(A5&lt;'Données projet'!$A$62,$AF$205^A5,IF(A5='Données projet'!$A$62,'Données projet'!$B$62,AI4+AH5-AQ4)))</f>
        <v>2.2083928457304225</v>
      </c>
      <c r="AJ5" s="13">
        <f>AI5*VLOOKUP('Données projet'!$B$10,Paramètres!$A$1:$I$89,3,0)*VLOOKUP('Données projet'!$B$10,Paramètres!$A$1:$I$89,5,0)</f>
        <v>1.2057824937688106</v>
      </c>
      <c r="AK5" s="13">
        <f t="shared" ref="AK5:AK68" si="35">EXP(-1.0587+0.8836*LN(AJ5)+0.284)</f>
        <v>0.54370250071771287</v>
      </c>
      <c r="AL5" s="20">
        <f t="shared" si="4"/>
        <v>3.0470196987306952</v>
      </c>
      <c r="AM5" s="59">
        <f t="shared" si="5"/>
        <v>296.38035303206402</v>
      </c>
      <c r="AN5" s="59">
        <f ca="1">AVERAGE(OFFSET($AM$3,0,0,'Données projet'!$E$10+1,1))-AVERAGE(OFFSET($H$3,0,0,'Données projet'!$E$10+1,1))</f>
        <v>159.92263609041913</v>
      </c>
      <c r="AO5" s="59">
        <f t="shared" ref="AO5:AO68" si="36">$AO$3</f>
        <v>271.78119133009307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2.9</v>
      </c>
      <c r="BD5" s="12">
        <f>IF('Données projet'!$A$88&gt;35,BD4+BC5-BL4,IF(A5&lt;'Données projet'!$A$88,$BA$205^A5,IF(A5='Données projet'!$A$88,'Données projet'!$B$88,BD4+BC5-BL4)))</f>
        <v>1.9610090574545482</v>
      </c>
      <c r="BE5" s="13">
        <f>BD5*VLOOKUP('Données projet'!$B$11,Paramètres!$A$1:$I$89,3,0)*VLOOKUP('Données projet'!$B$11,Paramètres!$A$1:$I$89,5,0)</f>
        <v>1.7131375125922934</v>
      </c>
      <c r="BF5" s="13">
        <f t="shared" ref="BF5:BF68" si="37">EXP(-1.0587+0.8836*LN(BE5)+0.284)</f>
        <v>0.74153366912094132</v>
      </c>
      <c r="BG5" s="20">
        <f t="shared" si="7"/>
        <v>4.2752189748172169</v>
      </c>
      <c r="BH5" s="59">
        <f t="shared" si="8"/>
        <v>297.60855230815054</v>
      </c>
      <c r="BI5" s="59">
        <f ca="1">AVERAGE(OFFSET($BH$3,0,0,'Données projet'!$E$11+1,1))-AVERAGE(OFFSET($H$3,0,0,'Données projet'!$E$11+1,1))</f>
        <v>268.27008134105046</v>
      </c>
      <c r="BJ5" s="59">
        <f t="shared" ref="BJ5:BJ68" si="38">$BJ$3</f>
        <v>252.36274686619709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10.169411764705883</v>
      </c>
      <c r="N6" s="13">
        <f>IF('Données projet'!$A$36&gt;35,N5+M6-V5,IF(A6&lt;'Données projet'!$A$36,$K$205^A6,IF(A6='Données projet'!$A$36,'Données projet'!$B$36,N5+M6-V5)))</f>
        <v>2.4825393039321648</v>
      </c>
      <c r="O6" s="13">
        <f>N6*VLOOKUP('Données projet'!$B$9,Paramètres!$A$1:$I$89,3,0)*VLOOKUP('Données projet'!$B$9,Paramètres!$A$1:$I$89,5,0)</f>
        <v>1.3877394708980801</v>
      </c>
      <c r="P6" s="13">
        <f t="shared" si="33"/>
        <v>0.61559539367446658</v>
      </c>
      <c r="Q6" s="20">
        <f t="shared" si="2"/>
        <v>3.4891415557971848</v>
      </c>
      <c r="R6" s="59">
        <f t="shared" si="0"/>
        <v>296.82247488913049</v>
      </c>
      <c r="S6" s="59">
        <f ca="1">AVERAGE(OFFSET($R$3,0,0,'Données projet'!$E$9+1,1))-AVERAGE(OFFSET($H$3,0,0,'Données projet'!$E$9+1,1))</f>
        <v>350.01600895263641</v>
      </c>
      <c r="T6" s="59">
        <f t="shared" si="34"/>
        <v>464.08921044376882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9.6666666666666661</v>
      </c>
      <c r="AI6" s="13">
        <f>IF('Données projet'!$A$62&gt;35,AI5+AH6-AQ5,IF(A6&lt;'Données projet'!$A$62,$AF$205^A6,IF(A6='Données projet'!$A$62,'Données projet'!$B$62,AI5+AH6-AQ5)))</f>
        <v>3.2818180349112911</v>
      </c>
      <c r="AJ6" s="13">
        <f>AI6*VLOOKUP('Données projet'!$B$10,Paramètres!$A$1:$I$89,3,0)*VLOOKUP('Données projet'!$B$10,Paramètres!$A$1:$I$89,5,0)</f>
        <v>1.7918726470615651</v>
      </c>
      <c r="AK6" s="13">
        <f t="shared" si="35"/>
        <v>0.77156808236563035</v>
      </c>
      <c r="AL6" s="20">
        <f t="shared" si="4"/>
        <v>4.4646592704190313</v>
      </c>
      <c r="AM6" s="59">
        <f t="shared" si="5"/>
        <v>297.79799260375233</v>
      </c>
      <c r="AN6" s="59">
        <f ca="1">AVERAGE(OFFSET($AM$3,0,0,'Données projet'!$E$10+1,1))-AVERAGE(OFFSET($H$3,0,0,'Données projet'!$E$10+1,1))</f>
        <v>159.92263609041913</v>
      </c>
      <c r="AO6" s="59">
        <f t="shared" si="36"/>
        <v>271.78119133009307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2.9</v>
      </c>
      <c r="BD6" s="12">
        <f>IF('Données projet'!$A$88&gt;35,BD5+BC6-BL5,IF(A6&lt;'Données projet'!$A$88,$BA$205^A6,IF(A6='Données projet'!$A$88,'Données projet'!$B$88,BD5+BC6-BL5)))</f>
        <v>2.7461192933624794</v>
      </c>
      <c r="BE6" s="13">
        <f>BD6*VLOOKUP('Données projet'!$B$11,Paramètres!$A$1:$I$89,3,0)*VLOOKUP('Données projet'!$B$11,Paramètres!$A$1:$I$89,5,0)</f>
        <v>2.3990098146814622</v>
      </c>
      <c r="BF6" s="13">
        <f t="shared" si="37"/>
        <v>0.99850067298942213</v>
      </c>
      <c r="BG6" s="20">
        <f t="shared" si="7"/>
        <v>5.9173307660267902</v>
      </c>
      <c r="BH6" s="59">
        <f t="shared" si="8"/>
        <v>299.25066409936011</v>
      </c>
      <c r="BI6" s="59">
        <f ca="1">AVERAGE(OFFSET($BH$3,0,0,'Données projet'!$E$11+1,1))-AVERAGE(OFFSET($H$3,0,0,'Données projet'!$E$11+1,1))</f>
        <v>268.27008134105046</v>
      </c>
      <c r="BJ6" s="59">
        <f t="shared" si="38"/>
        <v>252.36274686619709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10.169411764705883</v>
      </c>
      <c r="N7" s="13">
        <f>IF('Données projet'!$A$36&gt;35,N6+M7-V6,IF(A7&lt;'Données projet'!$A$36,$K$205^A7,IF(A7='Données projet'!$A$36,'Données projet'!$B$36,N6+M7-V6)))</f>
        <v>3.3614617777943954</v>
      </c>
      <c r="O7" s="13">
        <f>N7*VLOOKUP('Données projet'!$B$9,Paramètres!$A$1:$I$89,3,0)*VLOOKUP('Données projet'!$B$9,Paramètres!$A$1:$I$89,5,0)</f>
        <v>1.8790571337870672</v>
      </c>
      <c r="P7" s="13">
        <f t="shared" si="33"/>
        <v>0.80464707305334315</v>
      </c>
      <c r="Q7" s="20">
        <f t="shared" si="2"/>
        <v>4.6741181602470476</v>
      </c>
      <c r="R7" s="59">
        <f t="shared" si="0"/>
        <v>298.00745149358033</v>
      </c>
      <c r="S7" s="59">
        <f ca="1">AVERAGE(OFFSET($R$3,0,0,'Données projet'!$E$9+1,1))-AVERAGE(OFFSET($H$3,0,0,'Données projet'!$E$9+1,1))</f>
        <v>350.01600895263641</v>
      </c>
      <c r="T7" s="59">
        <f t="shared" si="34"/>
        <v>464.08921044376882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9.6666666666666661</v>
      </c>
      <c r="AI7" s="13">
        <f>IF('Données projet'!$A$62&gt;35,AI6+AH7-AQ6,IF(A7&lt;'Données projet'!$A$62,$AF$205^A7,IF(A7='Données projet'!$A$62,'Données projet'!$B$62,AI6+AH7-AQ6)))</f>
        <v>4.8769989610733138</v>
      </c>
      <c r="AJ7" s="13">
        <f>AI7*VLOOKUP('Données projet'!$B$10,Paramètres!$A$1:$I$89,3,0)*VLOOKUP('Données projet'!$B$10,Paramètres!$A$1:$I$89,5,0)</f>
        <v>2.6628414327460295</v>
      </c>
      <c r="AK7" s="13">
        <f t="shared" si="35"/>
        <v>1.0949320721157787</v>
      </c>
      <c r="AL7" s="20">
        <f t="shared" si="4"/>
        <v>6.5447888543009825</v>
      </c>
      <c r="AM7" s="59">
        <f t="shared" si="5"/>
        <v>299.87812218763429</v>
      </c>
      <c r="AN7" s="59">
        <f ca="1">AVERAGE(OFFSET($AM$3,0,0,'Données projet'!$E$10+1,1))-AVERAGE(OFFSET($H$3,0,0,'Données projet'!$E$10+1,1))</f>
        <v>159.92263609041913</v>
      </c>
      <c r="AO7" s="59">
        <f t="shared" si="36"/>
        <v>271.78119133009307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2.9</v>
      </c>
      <c r="BD7" s="12">
        <f>IF('Données projet'!$A$88&gt;35,BD6+BC7-BL6,IF(A7&lt;'Données projet'!$A$88,$BA$205^A7,IF(A7='Données projet'!$A$88,'Données projet'!$B$88,BD6+BC7-BL6)))</f>
        <v>3.8455565234187756</v>
      </c>
      <c r="BE7" s="13">
        <f>BD7*VLOOKUP('Données projet'!$B$11,Paramètres!$A$1:$I$89,3,0)*VLOOKUP('Données projet'!$B$11,Paramètres!$A$1:$I$89,5,0)</f>
        <v>3.3594781788586427</v>
      </c>
      <c r="BF7" s="13">
        <f t="shared" si="37"/>
        <v>1.3445156106562728</v>
      </c>
      <c r="BG7" s="20">
        <f t="shared" si="7"/>
        <v>8.1927891834051447</v>
      </c>
      <c r="BH7" s="59">
        <f t="shared" si="8"/>
        <v>301.52612251673844</v>
      </c>
      <c r="BI7" s="59">
        <f ca="1">AVERAGE(OFFSET($BH$3,0,0,'Données projet'!$E$11+1,1))-AVERAGE(OFFSET($H$3,0,0,'Données projet'!$E$11+1,1))</f>
        <v>268.27008134105046</v>
      </c>
      <c r="BJ7" s="59">
        <f t="shared" si="38"/>
        <v>252.36274686619709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10.169411764705883</v>
      </c>
      <c r="N8" s="13">
        <f>IF('Données projet'!$A$36&gt;35,N7+M8-V7,IF(A8&lt;'Données projet'!$A$36,$K$205^A8,IF(A8='Données projet'!$A$36,'Données projet'!$B$36,N7+M8-V7)))</f>
        <v>4.5515594720595862</v>
      </c>
      <c r="O8" s="13">
        <f>N8*VLOOKUP('Données projet'!$B$9,Paramètres!$A$1:$I$89,3,0)*VLOOKUP('Données projet'!$B$9,Paramètres!$A$1:$I$89,5,0)</f>
        <v>2.5443217448813087</v>
      </c>
      <c r="P8" s="13">
        <f t="shared" si="33"/>
        <v>1.051757239944024</v>
      </c>
      <c r="Q8" s="20">
        <f t="shared" si="2"/>
        <v>6.2631708985707881</v>
      </c>
      <c r="R8" s="59">
        <f t="shared" si="0"/>
        <v>299.59650423190408</v>
      </c>
      <c r="S8" s="59">
        <f ca="1">AVERAGE(OFFSET($R$3,0,0,'Données projet'!$E$9+1,1))-AVERAGE(OFFSET($H$3,0,0,'Données projet'!$E$9+1,1))</f>
        <v>350.01600895263641</v>
      </c>
      <c r="T8" s="59">
        <f t="shared" si="34"/>
        <v>464.08921044376882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9.6666666666666661</v>
      </c>
      <c r="AI8" s="13">
        <f>IF('Données projet'!$A$62&gt;35,AI7+AH8-AQ7,IF(A8&lt;'Données projet'!$A$62,$AF$205^A8,IF(A8='Données projet'!$A$62,'Données projet'!$B$62,AI7+AH8-AQ7)))</f>
        <v>7.2475434692871694</v>
      </c>
      <c r="AJ8" s="13">
        <f>AI8*VLOOKUP('Données projet'!$B$10,Paramètres!$A$1:$I$89,3,0)*VLOOKUP('Données projet'!$B$10,Paramètres!$A$1:$I$89,5,0)</f>
        <v>3.9571587342307946</v>
      </c>
      <c r="AK8" s="13">
        <f t="shared" si="35"/>
        <v>1.5538178288453746</v>
      </c>
      <c r="AL8" s="20">
        <f t="shared" si="4"/>
        <v>9.5982841806909942</v>
      </c>
      <c r="AM8" s="59">
        <f t="shared" si="5"/>
        <v>302.93161751402431</v>
      </c>
      <c r="AN8" s="59">
        <f ca="1">AVERAGE(OFFSET($AM$3,0,0,'Données projet'!$E$10+1,1))-AVERAGE(OFFSET($H$3,0,0,'Données projet'!$E$10+1,1))</f>
        <v>159.92263609041913</v>
      </c>
      <c r="AO8" s="59">
        <f t="shared" si="36"/>
        <v>271.78119133009307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2.9</v>
      </c>
      <c r="BD8" s="12">
        <f>IF('Données projet'!$A$88&gt;35,BD7+BC8-BL7,IF(A8&lt;'Données projet'!$A$88,$BA$205^A8,IF(A8='Données projet'!$A$88,'Données projet'!$B$88,BD7+BC8-BL7)))</f>
        <v>5.3851648071345055</v>
      </c>
      <c r="BE8" s="13">
        <f>BD8*VLOOKUP('Données projet'!$B$11,Paramètres!$A$1:$I$89,3,0)*VLOOKUP('Données projet'!$B$11,Paramètres!$A$1:$I$89,5,0)</f>
        <v>4.7044799755127045</v>
      </c>
      <c r="BF8" s="13">
        <f t="shared" si="37"/>
        <v>1.8104366638895204</v>
      </c>
      <c r="BG8" s="20">
        <f t="shared" si="7"/>
        <v>11.346813146958874</v>
      </c>
      <c r="BH8" s="59">
        <f t="shared" si="8"/>
        <v>304.68014648029219</v>
      </c>
      <c r="BI8" s="59">
        <f ca="1">AVERAGE(OFFSET($BH$3,0,0,'Données projet'!$E$11+1,1))-AVERAGE(OFFSET($H$3,0,0,'Données projet'!$E$11+1,1))</f>
        <v>268.27008134105046</v>
      </c>
      <c r="BJ8" s="59">
        <f t="shared" si="38"/>
        <v>252.36274686619709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10.169411764705883</v>
      </c>
      <c r="N9" s="13">
        <f>IF('Données projet'!$A$36&gt;35,N8+M9-V8,IF(A9&lt;'Données projet'!$A$36,$K$205^A9,IF(A9='Données projet'!$A$36,'Données projet'!$B$36,N8+M9-V8)))</f>
        <v>6.1630013955679974</v>
      </c>
      <c r="O9" s="13">
        <f>N9*VLOOKUP('Données projet'!$B$9,Paramètres!$A$1:$I$89,3,0)*VLOOKUP('Données projet'!$B$9,Paramètres!$A$1:$I$89,5,0)</f>
        <v>3.4451177801225104</v>
      </c>
      <c r="P9" s="13">
        <f t="shared" si="33"/>
        <v>1.3747558759855676</v>
      </c>
      <c r="Q9" s="20">
        <f t="shared" si="2"/>
        <v>8.3946132843882353</v>
      </c>
      <c r="R9" s="59">
        <f t="shared" si="0"/>
        <v>301.72794661772156</v>
      </c>
      <c r="S9" s="59">
        <f ca="1">AVERAGE(OFFSET($R$3,0,0,'Données projet'!$E$9+1,1))-AVERAGE(OFFSET($H$3,0,0,'Données projet'!$E$9+1,1))</f>
        <v>350.01600895263641</v>
      </c>
      <c r="T9" s="59">
        <f t="shared" si="34"/>
        <v>464.08921044376882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9.6666666666666661</v>
      </c>
      <c r="AI9" s="13">
        <f>IF('Données projet'!$A$62&gt;35,AI8+AH9-AQ8,IF(A9&lt;'Données projet'!$A$62,$AF$205^A9,IF(A9='Données projet'!$A$62,'Données projet'!$B$62,AI8+AH9-AQ8)))</f>
        <v>10.770329614269009</v>
      </c>
      <c r="AJ9" s="13">
        <f>AI9*VLOOKUP('Données projet'!$B$10,Paramètres!$A$1:$I$89,3,0)*VLOOKUP('Données projet'!$B$10,Paramètres!$A$1:$I$89,5,0)</f>
        <v>5.8805999693908788</v>
      </c>
      <c r="AK9" s="13">
        <f t="shared" si="35"/>
        <v>2.2050224910961043</v>
      </c>
      <c r="AL9" s="20">
        <f t="shared" si="4"/>
        <v>14.082459118681493</v>
      </c>
      <c r="AM9" s="59">
        <f t="shared" si="5"/>
        <v>307.41579245201478</v>
      </c>
      <c r="AN9" s="59">
        <f ca="1">AVERAGE(OFFSET($AM$3,0,0,'Données projet'!$E$10+1,1))-AVERAGE(OFFSET($H$3,0,0,'Données projet'!$E$10+1,1))</f>
        <v>159.92263609041913</v>
      </c>
      <c r="AO9" s="59">
        <f t="shared" si="36"/>
        <v>271.78119133009307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2.9</v>
      </c>
      <c r="BD9" s="12">
        <f>IF('Données projet'!$A$88&gt;35,BD8+BC9-BL8,IF(A9&lt;'Données projet'!$A$88,$BA$205^A9,IF(A9='Données projet'!$A$88,'Données projet'!$B$88,BD8+BC9-BL8)))</f>
        <v>7.5411711733776423</v>
      </c>
      <c r="BE9" s="13">
        <f>BD9*VLOOKUP('Données projet'!$B$11,Paramètres!$A$1:$I$89,3,0)*VLOOKUP('Données projet'!$B$11,Paramètres!$A$1:$I$89,5,0)</f>
        <v>6.5879671370627086</v>
      </c>
      <c r="BF9" s="13">
        <f t="shared" si="37"/>
        <v>2.4378154392387783</v>
      </c>
      <c r="BG9" s="20">
        <f t="shared" si="7"/>
        <v>15.71990465372509</v>
      </c>
      <c r="BH9" s="59">
        <f t="shared" si="8"/>
        <v>309.05323798705842</v>
      </c>
      <c r="BI9" s="59">
        <f ca="1">AVERAGE(OFFSET($BH$3,0,0,'Données projet'!$E$11+1,1))-AVERAGE(OFFSET($H$3,0,0,'Données projet'!$E$11+1,1))</f>
        <v>268.27008134105046</v>
      </c>
      <c r="BJ9" s="59">
        <f t="shared" si="38"/>
        <v>252.36274686619709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10.169411764705883</v>
      </c>
      <c r="N10" s="13">
        <f>IF('Données projet'!$A$36&gt;35,N9+M10-V9,IF(A10&lt;'Données projet'!$A$36,$K$205^A10,IF(A10='Données projet'!$A$36,'Données projet'!$B$36,N9+M10-V9)))</f>
        <v>8.3449609820402753</v>
      </c>
      <c r="O10" s="13">
        <f>N10*VLOOKUP('Données projet'!$B$9,Paramètres!$A$1:$I$89,3,0)*VLOOKUP('Données projet'!$B$9,Paramètres!$A$1:$I$89,5,0)</f>
        <v>4.6648331889605137</v>
      </c>
      <c r="P10" s="13">
        <f t="shared" si="33"/>
        <v>1.7969486177793568</v>
      </c>
      <c r="Q10" s="20">
        <f t="shared" si="2"/>
        <v>11.254269980071941</v>
      </c>
      <c r="R10" s="59">
        <f t="shared" si="0"/>
        <v>304.58760331340528</v>
      </c>
      <c r="S10" s="59">
        <f ca="1">AVERAGE(OFFSET($R$3,0,0,'Données projet'!$E$9+1,1))-AVERAGE(OFFSET($H$3,0,0,'Données projet'!$E$9+1,1))</f>
        <v>350.01600895263641</v>
      </c>
      <c r="T10" s="59">
        <f t="shared" si="34"/>
        <v>464.08921044376882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9.6666666666666661</v>
      </c>
      <c r="AI10" s="13">
        <f>IF('Données projet'!$A$62&gt;35,AI9+AH10-AQ9,IF(A10&lt;'Données projet'!$A$62,$AF$205^A10,IF(A10='Données projet'!$A$62,'Données projet'!$B$62,AI9+AH10-AQ9)))</f>
        <v>16.005423146694032</v>
      </c>
      <c r="AJ10" s="13">
        <f>AI10*VLOOKUP('Données projet'!$B$10,Paramètres!$A$1:$I$89,3,0)*VLOOKUP('Données projet'!$B$10,Paramètres!$A$1:$I$89,5,0)</f>
        <v>8.7389610380949421</v>
      </c>
      <c r="AK10" s="13">
        <f t="shared" si="35"/>
        <v>3.1291468639233355</v>
      </c>
      <c r="AL10" s="20">
        <f t="shared" si="4"/>
        <v>20.6702879293485</v>
      </c>
      <c r="AM10" s="59">
        <f t="shared" si="5"/>
        <v>314.0036212626818</v>
      </c>
      <c r="AN10" s="59">
        <f ca="1">AVERAGE(OFFSET($AM$3,0,0,'Données projet'!$E$10+1,1))-AVERAGE(OFFSET($H$3,0,0,'Données projet'!$E$10+1,1))</f>
        <v>159.92263609041913</v>
      </c>
      <c r="AO10" s="59">
        <f t="shared" si="36"/>
        <v>271.78119133009307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2.9</v>
      </c>
      <c r="BD10" s="12">
        <f>IF('Données projet'!$A$88&gt;35,BD9+BC10-BL9,IF(A10&lt;'Données projet'!$A$88,$BA$205^A10,IF(A10='Données projet'!$A$88,'Données projet'!$B$88,BD9+BC10-BL9)))</f>
        <v>10.560356962676241</v>
      </c>
      <c r="BE10" s="13">
        <f>BD10*VLOOKUP('Données projet'!$B$11,Paramètres!$A$1:$I$89,3,0)*VLOOKUP('Données projet'!$B$11,Paramètres!$A$1:$I$89,5,0)</f>
        <v>9.2255278425939657</v>
      </c>
      <c r="BF10" s="13">
        <f t="shared" si="37"/>
        <v>3.282602608711652</v>
      </c>
      <c r="BG10" s="20">
        <f t="shared" si="7"/>
        <v>21.784993869357283</v>
      </c>
      <c r="BH10" s="59">
        <f t="shared" si="8"/>
        <v>315.11832720269058</v>
      </c>
      <c r="BI10" s="59">
        <f ca="1">AVERAGE(OFFSET($BH$3,0,0,'Données projet'!$E$11+1,1))-AVERAGE(OFFSET($H$3,0,0,'Données projet'!$E$11+1,1))</f>
        <v>268.27008134105046</v>
      </c>
      <c r="BJ10" s="59">
        <f t="shared" si="38"/>
        <v>252.36274686619709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10.169411764705883</v>
      </c>
      <c r="N11" s="13">
        <f>IF('Données projet'!$A$36&gt;35,N10+M11-V10,IF(A11&lt;'Données projet'!$A$36,$K$205^A11,IF(A11='Données projet'!$A$36,'Données projet'!$B$36,N10+M11-V10)))</f>
        <v>11.299425283572656</v>
      </c>
      <c r="O11" s="13">
        <f>N11*VLOOKUP('Données projet'!$B$9,Paramètres!$A$1:$I$89,3,0)*VLOOKUP('Données projet'!$B$9,Paramètres!$A$1:$I$89,5,0)</f>
        <v>6.3163787335171149</v>
      </c>
      <c r="P11" s="13">
        <f t="shared" si="33"/>
        <v>2.3487983512885449</v>
      </c>
      <c r="Q11" s="20">
        <f t="shared" si="2"/>
        <v>15.091850089369855</v>
      </c>
      <c r="R11" s="59">
        <f t="shared" si="0"/>
        <v>308.42518342270318</v>
      </c>
      <c r="S11" s="59">
        <f ca="1">AVERAGE(OFFSET($R$3,0,0,'Données projet'!$E$9+1,1))-AVERAGE(OFFSET($H$3,0,0,'Données projet'!$E$9+1,1))</f>
        <v>350.01600895263641</v>
      </c>
      <c r="T11" s="59">
        <f t="shared" si="34"/>
        <v>464.08921044376882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9.6666666666666661</v>
      </c>
      <c r="AI11" s="13">
        <f>IF('Données projet'!$A$62&gt;35,AI10+AH11-AQ10,IF(A11&lt;'Données projet'!$A$62,$AF$205^A11,IF(A11='Données projet'!$A$62,'Données projet'!$B$62,AI10+AH11-AQ10)))</f>
        <v>23.785118866310182</v>
      </c>
      <c r="AJ11" s="13">
        <f>AI11*VLOOKUP('Données projet'!$B$10,Paramètres!$A$1:$I$89,3,0)*VLOOKUP('Données projet'!$B$10,Paramètres!$A$1:$I$89,5,0)</f>
        <v>12.98667490100536</v>
      </c>
      <c r="AK11" s="13">
        <f t="shared" si="35"/>
        <v>4.4405715295601897</v>
      </c>
      <c r="AL11" s="20">
        <f t="shared" si="4"/>
        <v>30.352454199901668</v>
      </c>
      <c r="AM11" s="59">
        <f t="shared" si="5"/>
        <v>323.68578753323499</v>
      </c>
      <c r="AN11" s="59">
        <f ca="1">AVERAGE(OFFSET($AM$3,0,0,'Données projet'!$E$10+1,1))-AVERAGE(OFFSET($H$3,0,0,'Données projet'!$E$10+1,1))</f>
        <v>159.92263609041913</v>
      </c>
      <c r="AO11" s="59">
        <f t="shared" si="36"/>
        <v>271.78119133009307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2.9</v>
      </c>
      <c r="BD11" s="12">
        <f>IF('Données projet'!$A$88&gt;35,BD10+BC11-BL10,IF(A11&lt;'Données projet'!$A$88,$BA$205^A11,IF(A11='Données projet'!$A$88,'Données projet'!$B$88,BD10+BC11-BL10)))</f>
        <v>14.7883049748087</v>
      </c>
      <c r="BE11" s="13">
        <f>BD11*VLOOKUP('Données projet'!$B$11,Paramètres!$A$1:$I$89,3,0)*VLOOKUP('Données projet'!$B$11,Paramètres!$A$1:$I$89,5,0)</f>
        <v>12.919063225992881</v>
      </c>
      <c r="BF11" s="13">
        <f t="shared" si="37"/>
        <v>4.4201376828121335</v>
      </c>
      <c r="BG11" s="20">
        <f t="shared" si="7"/>
        <v>30.199108249502064</v>
      </c>
      <c r="BH11" s="59">
        <f t="shared" si="8"/>
        <v>323.53244158283536</v>
      </c>
      <c r="BI11" s="59">
        <f ca="1">AVERAGE(OFFSET($BH$3,0,0,'Données projet'!$E$11+1,1))-AVERAGE(OFFSET($H$3,0,0,'Données projet'!$E$11+1,1))</f>
        <v>268.27008134105046</v>
      </c>
      <c r="BJ11" s="59">
        <f t="shared" si="38"/>
        <v>252.36274686619709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10.169411764705883</v>
      </c>
      <c r="N12" s="13">
        <f>IF('Données projet'!$A$36&gt;35,N11+M12-V11,IF(A12&lt;'Données projet'!$A$36,$K$205^A12,IF(A12='Données projet'!$A$36,'Données projet'!$B$36,N11+M12-V11)))</f>
        <v>15.299893194686335</v>
      </c>
      <c r="O12" s="13">
        <f>N12*VLOOKUP('Données projet'!$B$9,Paramètres!$A$1:$I$89,3,0)*VLOOKUP('Données projet'!$B$9,Paramètres!$A$1:$I$89,5,0)</f>
        <v>8.5526402958296615</v>
      </c>
      <c r="P12" s="13">
        <f t="shared" si="33"/>
        <v>3.0701232302532038</v>
      </c>
      <c r="Q12" s="20">
        <f t="shared" si="2"/>
        <v>20.242979807927657</v>
      </c>
      <c r="R12" s="59">
        <f t="shared" si="0"/>
        <v>313.57631314126098</v>
      </c>
      <c r="S12" s="59">
        <f ca="1">AVERAGE(OFFSET($R$3,0,0,'Données projet'!$E$9+1,1))-AVERAGE(OFFSET($H$3,0,0,'Données projet'!$E$9+1,1))</f>
        <v>350.01600895263641</v>
      </c>
      <c r="T12" s="59">
        <f t="shared" si="34"/>
        <v>464.08921044376882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9.6666666666666661</v>
      </c>
      <c r="AI12" s="13">
        <f>IF('Données projet'!$A$62&gt;35,AI11+AH12-AQ11,IF(A12&lt;'Données projet'!$A$62,$AF$205^A12,IF(A12='Données projet'!$A$62,'Données projet'!$B$62,AI11+AH12-AQ11)))</f>
        <v>35.346261970047209</v>
      </c>
      <c r="AJ12" s="13">
        <f>AI12*VLOOKUP('Données projet'!$B$10,Paramètres!$A$1:$I$89,3,0)*VLOOKUP('Données projet'!$B$10,Paramètres!$A$1:$I$89,5,0)</f>
        <v>19.299059035645776</v>
      </c>
      <c r="AK12" s="13">
        <f t="shared" si="35"/>
        <v>6.301613943558138</v>
      </c>
      <c r="AL12" s="20">
        <f t="shared" si="4"/>
        <v>44.587838772113486</v>
      </c>
      <c r="AM12" s="59">
        <f t="shared" si="5"/>
        <v>337.92117210544677</v>
      </c>
      <c r="AN12" s="59">
        <f ca="1">AVERAGE(OFFSET($AM$3,0,0,'Données projet'!$E$10+1,1))-AVERAGE(OFFSET($H$3,0,0,'Données projet'!$E$10+1,1))</f>
        <v>159.92263609041913</v>
      </c>
      <c r="AO12" s="59">
        <f t="shared" si="36"/>
        <v>271.78119133009307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2.9</v>
      </c>
      <c r="BD12" s="12">
        <f>IF('Données projet'!$A$88&gt;35,BD11+BC12-BL11,IF(A12&lt;'Données projet'!$A$88,$BA$205^A12,IF(A12='Données projet'!$A$88,'Données projet'!$B$88,BD11+BC12-BL11)))</f>
        <v>20.708955653761308</v>
      </c>
      <c r="BE12" s="13">
        <f>BD12*VLOOKUP('Données projet'!$B$11,Paramètres!$A$1:$I$89,3,0)*VLOOKUP('Données projet'!$B$11,Paramètres!$A$1:$I$89,5,0)</f>
        <v>18.091343659125879</v>
      </c>
      <c r="BF12" s="13">
        <f t="shared" si="37"/>
        <v>5.9518679121149844</v>
      </c>
      <c r="BG12" s="20">
        <f t="shared" si="7"/>
        <v>41.875260153244504</v>
      </c>
      <c r="BH12" s="59">
        <f t="shared" si="8"/>
        <v>335.2085934865778</v>
      </c>
      <c r="BI12" s="59">
        <f ca="1">AVERAGE(OFFSET($BH$3,0,0,'Données projet'!$E$11+1,1))-AVERAGE(OFFSET($H$3,0,0,'Données projet'!$E$11+1,1))</f>
        <v>268.27008134105046</v>
      </c>
      <c r="BJ12" s="59">
        <f t="shared" si="38"/>
        <v>252.36274686619709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10.169411764705883</v>
      </c>
      <c r="N13" s="13">
        <f>IF('Données projet'!$A$36&gt;35,N12+M13-V12,IF(A13&lt;'Données projet'!$A$36,$K$205^A13,IF(A13='Données projet'!$A$36,'Données projet'!$B$36,N12+M13-V12)))</f>
        <v>20.716693627695339</v>
      </c>
      <c r="O13" s="13">
        <f>N13*VLOOKUP('Données projet'!$B$9,Paramètres!$A$1:$I$89,3,0)*VLOOKUP('Données projet'!$B$9,Paramètres!$A$1:$I$89,5,0)</f>
        <v>11.580631737881694</v>
      </c>
      <c r="P13" s="13">
        <f t="shared" si="33"/>
        <v>4.0129697143943712</v>
      </c>
      <c r="Q13" s="20">
        <f t="shared" si="2"/>
        <v>27.158855862714148</v>
      </c>
      <c r="R13" s="59">
        <f t="shared" si="0"/>
        <v>320.49218919604743</v>
      </c>
      <c r="S13" s="59">
        <f ca="1">AVERAGE(OFFSET($R$3,0,0,'Données projet'!$E$9+1,1))-AVERAGE(OFFSET($H$3,0,0,'Données projet'!$E$9+1,1))</f>
        <v>350.01600895263641</v>
      </c>
      <c r="T13" s="59">
        <f t="shared" si="34"/>
        <v>464.08921044376882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9.6666666666666661</v>
      </c>
      <c r="AI13" s="13">
        <f>IF('Données projet'!$A$62&gt;35,AI12+AH13-AQ12,IF(A13&lt;'Données projet'!$A$62,$AF$205^A13,IF(A13='Données projet'!$A$62,'Données projet'!$B$62,AI12+AH13-AQ12)))</f>
        <v>52.526886339207103</v>
      </c>
      <c r="AJ13" s="13">
        <f>AI13*VLOOKUP('Données projet'!$B$10,Paramètres!$A$1:$I$89,3,0)*VLOOKUP('Données projet'!$B$10,Paramètres!$A$1:$I$89,5,0)</f>
        <v>28.679679941207077</v>
      </c>
      <c r="AK13" s="13">
        <f t="shared" si="35"/>
        <v>8.9426187663684367</v>
      </c>
      <c r="AL13" s="20">
        <f t="shared" si="4"/>
        <v>65.525503582360685</v>
      </c>
      <c r="AM13" s="59">
        <f t="shared" si="5"/>
        <v>358.85883691569398</v>
      </c>
      <c r="AN13" s="59">
        <f ca="1">AVERAGE(OFFSET($AM$3,0,0,'Données projet'!$E$10+1,1))-AVERAGE(OFFSET($H$3,0,0,'Données projet'!$E$10+1,1))</f>
        <v>159.92263609041913</v>
      </c>
      <c r="AO13" s="59">
        <f t="shared" si="36"/>
        <v>271.78119133009307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29</v>
      </c>
      <c r="BB13" s="12">
        <f>VLOOKUP(A13,'Données projet'!$A$87:$I$107,9,0)</f>
        <v>2.9</v>
      </c>
      <c r="BC13" s="12">
        <f t="array" ref="BC13">INDEX(BB:BB,MIN(IF(ISNUMBER(BB13:BB209),ROW(BB13:BB209),"")))</f>
        <v>2.9</v>
      </c>
      <c r="BD13" s="12">
        <f>IF('Données projet'!$A$88&gt;35,BD12+BC13-BL12,IF(A13&lt;'Données projet'!$A$88,$BA$205^A13,IF(A13='Données projet'!$A$88,'Données projet'!$B$88,BD12+BC13-BL12)))</f>
        <v>29</v>
      </c>
      <c r="BE13" s="13">
        <f>BD13*VLOOKUP('Données projet'!$B$11,Paramètres!$A$1:$I$89,3,0)*VLOOKUP('Données projet'!$B$11,Paramètres!$A$1:$I$89,5,0)</f>
        <v>25.334400000000002</v>
      </c>
      <c r="BF13" s="13">
        <f t="shared" si="37"/>
        <v>8.0143955200794572</v>
      </c>
      <c r="BG13" s="20">
        <f t="shared" si="7"/>
        <v>58.082485530805059</v>
      </c>
      <c r="BH13" s="59">
        <f t="shared" si="8"/>
        <v>351.41581886413837</v>
      </c>
      <c r="BI13" s="59">
        <f ca="1">AVERAGE(OFFSET($BH$3,0,0,'Données projet'!$E$11+1,1))-AVERAGE(OFFSET($H$3,0,0,'Données projet'!$E$11+1,1))</f>
        <v>268.27008134105046</v>
      </c>
      <c r="BJ13" s="59">
        <f t="shared" si="38"/>
        <v>252.36274686619709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10.169411764705883</v>
      </c>
      <c r="N14" s="13">
        <f>IF('Données projet'!$A$36&gt;35,N13+M14-V13,IF(A14&lt;'Données projet'!$A$36,$K$205^A14,IF(A14='Données projet'!$A$36,'Données projet'!$B$36,N13+M14-V13)))</f>
        <v>28.051267378313966</v>
      </c>
      <c r="O14" s="13">
        <f>N14*VLOOKUP('Données projet'!$B$9,Paramètres!$A$1:$I$89,3,0)*VLOOKUP('Données projet'!$B$9,Paramètres!$A$1:$I$89,5,0)</f>
        <v>15.680658464477508</v>
      </c>
      <c r="P14" s="13">
        <f t="shared" si="33"/>
        <v>5.245367928543474</v>
      </c>
      <c r="Q14" s="20">
        <f t="shared" si="2"/>
        <v>36.446162634511545</v>
      </c>
      <c r="R14" s="59">
        <f t="shared" si="0"/>
        <v>329.77949596784487</v>
      </c>
      <c r="S14" s="59">
        <f ca="1">AVERAGE(OFFSET($R$3,0,0,'Données projet'!$E$9+1,1))-AVERAGE(OFFSET($H$3,0,0,'Données projet'!$E$9+1,1))</f>
        <v>350.01600895263641</v>
      </c>
      <c r="T14" s="59">
        <f t="shared" si="34"/>
        <v>464.08921044376882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9.6666666666666661</v>
      </c>
      <c r="AI14" s="13">
        <f>IF('Données projet'!$A$62&gt;35,AI13+AH14-AQ13,IF(A14&lt;'Données projet'!$A$62,$AF$205^A14,IF(A14='Données projet'!$A$62,'Données projet'!$B$62,AI13+AH14-AQ13)))</f>
        <v>78.058432057965561</v>
      </c>
      <c r="AJ14" s="13">
        <f>AI14*VLOOKUP('Données projet'!$B$10,Paramètres!$A$1:$I$89,3,0)*VLOOKUP('Données projet'!$B$10,Paramètres!$A$1:$I$89,5,0)</f>
        <v>42.619903903649202</v>
      </c>
      <c r="AK14" s="13">
        <f t="shared" si="35"/>
        <v>12.690468047849112</v>
      </c>
      <c r="AL14" s="20">
        <f t="shared" si="4"/>
        <v>96.332231148859549</v>
      </c>
      <c r="AM14" s="59">
        <f t="shared" si="5"/>
        <v>389.66556448219285</v>
      </c>
      <c r="AN14" s="59">
        <f ca="1">AVERAGE(OFFSET($AM$3,0,0,'Données projet'!$E$10+1,1))-AVERAGE(OFFSET($H$3,0,0,'Données projet'!$E$10+1,1))</f>
        <v>159.92263609041913</v>
      </c>
      <c r="AO14" s="59">
        <f t="shared" si="36"/>
        <v>271.78119133009307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8.8000000000000007</v>
      </c>
      <c r="BD14" s="12">
        <f>IF('Données projet'!$A$88&gt;35,BD13+BC14-BL13,IF(A14&lt;'Données projet'!$A$88,$BA$205^A14,IF(A14='Données projet'!$A$88,'Données projet'!$B$88,BD13+BC14-BL13)))</f>
        <v>37.799999999999997</v>
      </c>
      <c r="BE14" s="13">
        <f>BD14*VLOOKUP('Données projet'!$B$11,Paramètres!$A$1:$I$89,3,0)*VLOOKUP('Données projet'!$B$11,Paramètres!$A$1:$I$89,5,0)</f>
        <v>33.022080000000003</v>
      </c>
      <c r="BF14" s="13">
        <f t="shared" si="37"/>
        <v>10.129025278332465</v>
      </c>
      <c r="BG14" s="20">
        <f t="shared" si="7"/>
        <v>75.154841693095705</v>
      </c>
      <c r="BH14" s="59">
        <f t="shared" si="8"/>
        <v>368.48817502642902</v>
      </c>
      <c r="BI14" s="59">
        <f ca="1">AVERAGE(OFFSET($BH$3,0,0,'Données projet'!$E$11+1,1))-AVERAGE(OFFSET($H$3,0,0,'Données projet'!$E$11+1,1))</f>
        <v>268.27008134105046</v>
      </c>
      <c r="BJ14" s="59">
        <f t="shared" si="38"/>
        <v>252.36274686619709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10.169411764705883</v>
      </c>
      <c r="N15" s="13">
        <f>IF('Données projet'!$A$36&gt;35,N14+M15-V14,IF(A15&lt;'Données projet'!$A$36,$K$205^A15,IF(A15='Données projet'!$A$36,'Données projet'!$B$36,N14+M15-V14)))</f>
        <v>37.982586201773081</v>
      </c>
      <c r="O15" s="13">
        <f>N15*VLOOKUP('Données projet'!$B$9,Paramètres!$A$1:$I$89,3,0)*VLOOKUP('Données projet'!$B$9,Paramètres!$A$1:$I$89,5,0)</f>
        <v>21.232265686791155</v>
      </c>
      <c r="P15" s="13">
        <f t="shared" si="33"/>
        <v>6.8562403067985267</v>
      </c>
      <c r="Q15" s="20">
        <f t="shared" si="2"/>
        <v>48.920814605502024</v>
      </c>
      <c r="R15" s="59">
        <f t="shared" si="0"/>
        <v>342.25414793883533</v>
      </c>
      <c r="S15" s="59">
        <f ca="1">AVERAGE(OFFSET($R$3,0,0,'Données projet'!$E$9+1,1))-AVERAGE(OFFSET($H$3,0,0,'Données projet'!$E$9+1,1))</f>
        <v>350.01600895263641</v>
      </c>
      <c r="T15" s="59">
        <f t="shared" si="34"/>
        <v>464.08921044376882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116</v>
      </c>
      <c r="AG15" s="12">
        <f>VLOOKUP(A15,'Données projet'!$A$61:$I$81,9,0)</f>
        <v>9.6666666666666661</v>
      </c>
      <c r="AH15" s="12">
        <f t="array" ref="AH15">INDEX(AG:AG,MIN(IF(ISNUMBER(AG15:AG211),ROW(AG15:AG211),"")))</f>
        <v>9.6666666666666661</v>
      </c>
      <c r="AI15" s="13">
        <f>IF('Données projet'!$A$62&gt;35,AI14+AH15-AQ14,IF(A15&lt;'Données projet'!$A$62,$AF$205^A15,IF(A15='Données projet'!$A$62,'Données projet'!$B$62,AI14+AH15-AQ14)))</f>
        <v>116</v>
      </c>
      <c r="AJ15" s="13">
        <f>AI15*VLOOKUP('Données projet'!$B$10,Paramètres!$A$1:$I$89,3,0)*VLOOKUP('Données projet'!$B$10,Paramètres!$A$1:$I$89,5,0)</f>
        <v>63.335999999999999</v>
      </c>
      <c r="AK15" s="13">
        <f t="shared" si="35"/>
        <v>18.009040022946227</v>
      </c>
      <c r="AL15" s="20">
        <f t="shared" si="4"/>
        <v>141.67594470663133</v>
      </c>
      <c r="AM15" s="59">
        <f t="shared" si="5"/>
        <v>435.00927803996467</v>
      </c>
      <c r="AN15" s="59">
        <f ca="1">AVERAGE(OFFSET($AM$3,0,0,'Données projet'!$E$10+1,1))-AVERAGE(OFFSET($H$3,0,0,'Données projet'!$E$10+1,1))</f>
        <v>159.92263609041913</v>
      </c>
      <c r="AO15" s="59">
        <f t="shared" si="36"/>
        <v>271.78119133009307</v>
      </c>
      <c r="AP15" s="15">
        <f>IF(ISNA(VLOOKUP(A15,'Données projet'!$A$61:$I$81,3,0)),0,VLOOKUP(A15,'Données projet'!$A$61:$I$81,3,0))</f>
        <v>1</v>
      </c>
      <c r="AQ15" s="15">
        <f>IF(ISNA(VLOOKUP(A15,'Données projet'!$A$61:$I$81,4,0)),0,VLOOKUP(A15,'Données projet'!$A$61:$I$81,4,0))</f>
        <v>21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1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12.982175523438457</v>
      </c>
      <c r="AX15" s="21">
        <f t="shared" si="6"/>
        <v>12.982175523438457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8.8000000000000007</v>
      </c>
      <c r="BD15" s="12">
        <f>IF('Données projet'!$A$88&gt;35,BD14+BC15-BL14,IF(A15&lt;'Données projet'!$A$88,$BA$205^A15,IF(A15='Données projet'!$A$88,'Données projet'!$B$88,BD14+BC15-BL14)))</f>
        <v>46.599999999999994</v>
      </c>
      <c r="BE15" s="13">
        <f>BD15*VLOOKUP('Données projet'!$B$11,Paramètres!$A$1:$I$89,3,0)*VLOOKUP('Données projet'!$B$11,Paramètres!$A$1:$I$89,5,0)</f>
        <v>40.709760000000003</v>
      </c>
      <c r="BF15" s="13">
        <f t="shared" si="37"/>
        <v>12.186575870088381</v>
      </c>
      <c r="BG15" s="20">
        <f t="shared" si="7"/>
        <v>92.127784973737278</v>
      </c>
      <c r="BH15" s="59">
        <f t="shared" si="8"/>
        <v>385.46111830707059</v>
      </c>
      <c r="BI15" s="59">
        <f ca="1">AVERAGE(OFFSET($BH$3,0,0,'Données projet'!$E$11+1,1))-AVERAGE(OFFSET($H$3,0,0,'Données projet'!$E$11+1,1))</f>
        <v>268.27008134105046</v>
      </c>
      <c r="BJ15" s="59">
        <f t="shared" si="38"/>
        <v>252.36274686619709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10.169411764705883</v>
      </c>
      <c r="N16" s="13">
        <f>IF('Données projet'!$A$36&gt;35,N15+M16-V15,IF(A16&lt;'Données projet'!$A$36,$K$205^A16,IF(A16='Données projet'!$A$36,'Données projet'!$B$36,N15+M16-V15)))</f>
        <v>51.430006178274702</v>
      </c>
      <c r="O16" s="13">
        <f>N16*VLOOKUP('Données projet'!$B$9,Paramètres!$A$1:$I$89,3,0)*VLOOKUP('Données projet'!$B$9,Paramètres!$A$1:$I$89,5,0)</f>
        <v>28.749373453655558</v>
      </c>
      <c r="P16" s="13">
        <f t="shared" si="33"/>
        <v>8.9618176999114372</v>
      </c>
      <c r="Q16" s="20">
        <f t="shared" si="2"/>
        <v>65.680324592462512</v>
      </c>
      <c r="R16" s="59">
        <f t="shared" si="0"/>
        <v>359.01365792579583</v>
      </c>
      <c r="S16" s="59">
        <f ca="1">AVERAGE(OFFSET($R$3,0,0,'Données projet'!$E$9+1,1))-AVERAGE(OFFSET($H$3,0,0,'Données projet'!$E$9+1,1))</f>
        <v>350.01600895263641</v>
      </c>
      <c r="T16" s="59">
        <f t="shared" si="34"/>
        <v>464.08921044376882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24.333333333333332</v>
      </c>
      <c r="AI16" s="13">
        <f>IF('Données projet'!$A$62&gt;35,AI15+AH16-AQ15,IF(A16&lt;'Données projet'!$A$62,$AF$205^A16,IF(A16='Données projet'!$A$62,'Données projet'!$B$62,AI15+AH16-AQ15)))</f>
        <v>119.33333333333334</v>
      </c>
      <c r="AJ16" s="13">
        <f>AI16*VLOOKUP('Données projet'!$B$10,Paramètres!$A$1:$I$89,3,0)*VLOOKUP('Données projet'!$B$10,Paramètres!$A$1:$I$89,5,0)</f>
        <v>65.156000000000006</v>
      </c>
      <c r="AK16" s="13">
        <f t="shared" si="35"/>
        <v>18.465547360043153</v>
      </c>
      <c r="AL16" s="20">
        <f t="shared" si="4"/>
        <v>145.64086165207519</v>
      </c>
      <c r="AM16" s="59">
        <f t="shared" si="5"/>
        <v>438.97419498540853</v>
      </c>
      <c r="AN16" s="59">
        <f ca="1">AVERAGE(OFFSET($AM$3,0,0,'Données projet'!$E$10+1,1))-AVERAGE(OFFSET($H$3,0,0,'Données projet'!$E$10+1,1))</f>
        <v>159.92263609041913</v>
      </c>
      <c r="AO16" s="59">
        <f t="shared" si="36"/>
        <v>271.78119133009307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9.1797843471773497</v>
      </c>
      <c r="AX16" s="21">
        <f t="shared" si="6"/>
        <v>9.1797843471773497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8.8000000000000007</v>
      </c>
      <c r="BD16" s="12">
        <f>IF('Données projet'!$A$88&gt;35,BD15+BC16-BL15,IF(A16&lt;'Données projet'!$A$88,$BA$205^A16,IF(A16='Données projet'!$A$88,'Données projet'!$B$88,BD15+BC16-BL15)))</f>
        <v>55.399999999999991</v>
      </c>
      <c r="BE16" s="13">
        <f>BD16*VLOOKUP('Données projet'!$B$11,Paramètres!$A$1:$I$89,3,0)*VLOOKUP('Données projet'!$B$11,Paramètres!$A$1:$I$89,5,0)</f>
        <v>48.397439999999996</v>
      </c>
      <c r="BF16" s="13">
        <f t="shared" si="37"/>
        <v>14.199110166340073</v>
      </c>
      <c r="BG16" s="20">
        <f t="shared" si="7"/>
        <v>109.02232487304228</v>
      </c>
      <c r="BH16" s="59">
        <f t="shared" si="8"/>
        <v>402.35565820637561</v>
      </c>
      <c r="BI16" s="59">
        <f ca="1">AVERAGE(OFFSET($BH$3,0,0,'Données projet'!$E$11+1,1))-AVERAGE(OFFSET($H$3,0,0,'Données projet'!$E$11+1,1))</f>
        <v>268.27008134105046</v>
      </c>
      <c r="BJ16" s="59">
        <f t="shared" si="38"/>
        <v>252.36274686619709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10.169411764705883</v>
      </c>
      <c r="N17" s="13">
        <f>IF('Données projet'!$A$36&gt;35,N16+M17-V16,IF(A17&lt;'Données projet'!$A$36,$K$205^A17,IF(A17='Données projet'!$A$36,'Données projet'!$B$36,N16+M17-V16)))</f>
        <v>69.638373791774598</v>
      </c>
      <c r="O17" s="13">
        <f>N17*VLOOKUP('Données projet'!$B$9,Paramètres!$A$1:$I$89,3,0)*VLOOKUP('Données projet'!$B$9,Paramètres!$A$1:$I$89,5,0)</f>
        <v>38.927850949602004</v>
      </c>
      <c r="P17" s="13">
        <f t="shared" si="33"/>
        <v>11.71402589358018</v>
      </c>
      <c r="Q17" s="20">
        <f t="shared" si="2"/>
        <v>88.201268835208964</v>
      </c>
      <c r="R17" s="59">
        <f t="shared" si="0"/>
        <v>381.53460216854228</v>
      </c>
      <c r="S17" s="59">
        <f ca="1">AVERAGE(OFFSET($R$3,0,0,'Données projet'!$E$9+1,1))-AVERAGE(OFFSET($H$3,0,0,'Données projet'!$E$9+1,1))</f>
        <v>350.01600895263641</v>
      </c>
      <c r="T17" s="59">
        <f t="shared" si="34"/>
        <v>464.08921044376882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24.333333333333332</v>
      </c>
      <c r="AI17" s="13">
        <f>IF('Données projet'!$A$62&gt;35,AI16+AH17-AQ16,IF(A17&lt;'Données projet'!$A$62,$AF$205^A17,IF(A17='Données projet'!$A$62,'Données projet'!$B$62,AI16+AH17-AQ16)))</f>
        <v>143.66666666666669</v>
      </c>
      <c r="AJ17" s="13">
        <f>AI17*VLOOKUP('Données projet'!$B$10,Paramètres!$A$1:$I$89,3,0)*VLOOKUP('Données projet'!$B$10,Paramètres!$A$1:$I$89,5,0)</f>
        <v>78.442000000000007</v>
      </c>
      <c r="AK17" s="13">
        <f t="shared" si="35"/>
        <v>21.755810093736013</v>
      </c>
      <c r="AL17" s="20">
        <f t="shared" si="4"/>
        <v>174.5111859132569</v>
      </c>
      <c r="AM17" s="59">
        <f t="shared" si="5"/>
        <v>467.84451924659021</v>
      </c>
      <c r="AN17" s="59">
        <f ca="1">AVERAGE(OFFSET($AM$3,0,0,'Données projet'!$E$10+1,1))-AVERAGE(OFFSET($H$3,0,0,'Données projet'!$E$10+1,1))</f>
        <v>159.92263609041913</v>
      </c>
      <c r="AO17" s="59">
        <f t="shared" si="36"/>
        <v>271.78119133009307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6.4910877617192284</v>
      </c>
      <c r="AX17" s="21">
        <f t="shared" si="6"/>
        <v>6.4910877617192284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8.8000000000000007</v>
      </c>
      <c r="BD17" s="12">
        <f>IF('Données projet'!$A$88&gt;35,BD16+BC17-BL16,IF(A17&lt;'Données projet'!$A$88,$BA$205^A17,IF(A17='Données projet'!$A$88,'Données projet'!$B$88,BD16+BC17-BL16)))</f>
        <v>64.199999999999989</v>
      </c>
      <c r="BE17" s="13">
        <f>BD17*VLOOKUP('Données projet'!$B$11,Paramètres!$A$1:$I$89,3,0)*VLOOKUP('Données projet'!$B$11,Paramètres!$A$1:$I$89,5,0)</f>
        <v>56.085119999999996</v>
      </c>
      <c r="BF17" s="13">
        <f t="shared" si="37"/>
        <v>16.174611252215492</v>
      </c>
      <c r="BG17" s="20">
        <f t="shared" si="7"/>
        <v>125.85236526427531</v>
      </c>
      <c r="BH17" s="59">
        <f t="shared" si="8"/>
        <v>419.18569859760862</v>
      </c>
      <c r="BI17" s="59">
        <f ca="1">AVERAGE(OFFSET($BH$3,0,0,'Données projet'!$E$11+1,1))-AVERAGE(OFFSET($H$3,0,0,'Données projet'!$E$11+1,1))</f>
        <v>268.27008134105046</v>
      </c>
      <c r="BJ17" s="59">
        <f t="shared" si="38"/>
        <v>252.36274686619709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10.169411764705883</v>
      </c>
      <c r="N18" s="13">
        <f>IF('Données projet'!$A$36&gt;35,N17+M18-V17,IF(A18&lt;'Données projet'!$A$36,$K$205^A18,IF(A18='Données projet'!$A$36,'Données projet'!$B$36,N17+M18-V17)))</f>
        <v>94.293263110893193</v>
      </c>
      <c r="O18" s="13">
        <f>N18*VLOOKUP('Données projet'!$B$9,Paramètres!$A$1:$I$89,3,0)*VLOOKUP('Données projet'!$B$9,Paramètres!$A$1:$I$89,5,0)</f>
        <v>52.709934078989292</v>
      </c>
      <c r="P18" s="13">
        <f t="shared" si="33"/>
        <v>15.311447658305164</v>
      </c>
      <c r="Q18" s="20">
        <f t="shared" si="2"/>
        <v>118.47057319245452</v>
      </c>
      <c r="R18" s="59">
        <f t="shared" si="0"/>
        <v>411.80390652578785</v>
      </c>
      <c r="S18" s="59">
        <f ca="1">AVERAGE(OFFSET($R$3,0,0,'Données projet'!$E$9+1,1))-AVERAGE(OFFSET($H$3,0,0,'Données projet'!$E$9+1,1))</f>
        <v>350.01600895263641</v>
      </c>
      <c r="T18" s="59">
        <f t="shared" si="34"/>
        <v>464.08921044376882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168</v>
      </c>
      <c r="AG18" s="12">
        <f>VLOOKUP(A18,'Données projet'!$A$61:$I$81,9,0)</f>
        <v>24.333333333333332</v>
      </c>
      <c r="AH18" s="12">
        <f t="array" ref="AH18">INDEX(AG:AG,MIN(IF(ISNUMBER(AG18:AG214),ROW(AG18:AG214),"")))</f>
        <v>24.333333333333332</v>
      </c>
      <c r="AI18" s="13">
        <f>IF('Données projet'!$A$62&gt;35,AI17+AH18-AQ17,IF(A18&lt;'Données projet'!$A$62,$AF$205^A18,IF(A18='Données projet'!$A$62,'Données projet'!$B$62,AI17+AH18-AQ17)))</f>
        <v>168.00000000000003</v>
      </c>
      <c r="AJ18" s="13">
        <f>AI18*VLOOKUP('Données projet'!$B$10,Paramètres!$A$1:$I$89,3,0)*VLOOKUP('Données projet'!$B$10,Paramètres!$A$1:$I$89,5,0)</f>
        <v>91.728000000000009</v>
      </c>
      <c r="AK18" s="13">
        <f t="shared" si="35"/>
        <v>24.981514582386563</v>
      </c>
      <c r="AL18" s="20">
        <f t="shared" si="4"/>
        <v>203.26907123098991</v>
      </c>
      <c r="AM18" s="59">
        <f t="shared" si="5"/>
        <v>496.60240456432325</v>
      </c>
      <c r="AN18" s="59">
        <f ca="1">AVERAGE(OFFSET($AM$3,0,0,'Données projet'!$E$10+1,1))-AVERAGE(OFFSET($H$3,0,0,'Données projet'!$E$10+1,1))</f>
        <v>159.92263609041913</v>
      </c>
      <c r="AO18" s="59">
        <f t="shared" si="36"/>
        <v>271.78119133009307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47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0.6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20.344955736509949</v>
      </c>
      <c r="AW18" s="21">
        <f>EXP(-LN(2)/2)*AW17+(1-EXP(-LN(2)/2))/(LN(2)/2)*AQ18*AT18*VLOOKUP('Données projet'!$B$10,Paramètres!$A$1:$I$89,3,0)*0.475*44/12</f>
        <v>4.5898921735886749</v>
      </c>
      <c r="AX18" s="21">
        <f t="shared" si="6"/>
        <v>24.934847910098625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73</v>
      </c>
      <c r="BB18" s="12">
        <f>VLOOKUP(A18,'Données projet'!$A$87:$I$107,9,0)</f>
        <v>8.8000000000000007</v>
      </c>
      <c r="BC18" s="12">
        <f t="array" ref="BC18">INDEX(BB:BB,MIN(IF(ISNUMBER(BB18:BB214),ROW(BB18:BB214),"")))</f>
        <v>8.8000000000000007</v>
      </c>
      <c r="BD18" s="12">
        <f>IF('Données projet'!$A$88&gt;35,BD17+BC18-BL17,IF(A18&lt;'Données projet'!$A$88,$BA$205^A18,IF(A18='Données projet'!$A$88,'Données projet'!$B$88,BD17+BC18-BL17)))</f>
        <v>72.999999999999986</v>
      </c>
      <c r="BE18" s="13">
        <f>BD18*VLOOKUP('Données projet'!$B$11,Paramètres!$A$1:$I$89,3,0)*VLOOKUP('Données projet'!$B$11,Paramètres!$A$1:$I$89,5,0)</f>
        <v>63.772799999999997</v>
      </c>
      <c r="BF18" s="13">
        <f t="shared" si="37"/>
        <v>18.118739450759566</v>
      </c>
      <c r="BG18" s="20">
        <f t="shared" si="7"/>
        <v>142.62776454340624</v>
      </c>
      <c r="BH18" s="59">
        <f t="shared" si="8"/>
        <v>435.96109787673959</v>
      </c>
      <c r="BI18" s="59">
        <f ca="1">AVERAGE(OFFSET($BH$3,0,0,'Données projet'!$E$11+1,1))-AVERAGE(OFFSET($H$3,0,0,'Données projet'!$E$11+1,1))</f>
        <v>268.27008134105046</v>
      </c>
      <c r="BJ18" s="59">
        <f t="shared" si="38"/>
        <v>252.36274686619709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10.169411764705883</v>
      </c>
      <c r="N19" s="13">
        <f>IF('Données projet'!$A$36&gt;35,N18+M19-V18,IF(A19&lt;'Données projet'!$A$36,$K$205^A19,IF(A19='Données projet'!$A$36,'Données projet'!$B$36,N18+M19-V18)))</f>
        <v>127.67701173904101</v>
      </c>
      <c r="O19" s="13">
        <f>N19*VLOOKUP('Données projet'!$B$9,Paramètres!$A$1:$I$89,3,0)*VLOOKUP('Données projet'!$B$9,Paramètres!$A$1:$I$89,5,0)</f>
        <v>71.371449562123928</v>
      </c>
      <c r="P19" s="13">
        <f t="shared" si="33"/>
        <v>20.013651286318474</v>
      </c>
      <c r="Q19" s="20">
        <f t="shared" si="2"/>
        <v>159.16238397770385</v>
      </c>
      <c r="R19" s="59">
        <f t="shared" si="0"/>
        <v>452.4957173110372</v>
      </c>
      <c r="S19" s="59">
        <f ca="1">AVERAGE(OFFSET($R$3,0,0,'Données projet'!$E$9+1,1))-AVERAGE(OFFSET($H$3,0,0,'Données projet'!$E$9+1,1))</f>
        <v>350.01600895263641</v>
      </c>
      <c r="T19" s="59">
        <f t="shared" si="34"/>
        <v>464.08921044376882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21.333333333333332</v>
      </c>
      <c r="AI19" s="13">
        <f>IF('Données projet'!$A$62&gt;35,AI18+AH19-AQ18,IF(A19&lt;'Données projet'!$A$62,$AF$205^A19,IF(A19='Données projet'!$A$62,'Données projet'!$B$62,AI18+AH19-AQ18)))</f>
        <v>142.33333333333337</v>
      </c>
      <c r="AJ19" s="13">
        <f>AI19*VLOOKUP('Données projet'!$B$10,Paramètres!$A$1:$I$89,3,0)*VLOOKUP('Données projet'!$B$10,Paramètres!$A$1:$I$89,5,0)</f>
        <v>77.714000000000027</v>
      </c>
      <c r="AK19" s="13">
        <f t="shared" si="35"/>
        <v>21.577305655991772</v>
      </c>
      <c r="AL19" s="20">
        <f t="shared" si="4"/>
        <v>172.93235735085239</v>
      </c>
      <c r="AM19" s="59">
        <f t="shared" si="5"/>
        <v>466.2656906841857</v>
      </c>
      <c r="AN19" s="59">
        <f ca="1">AVERAGE(OFFSET($AM$3,0,0,'Données projet'!$E$10+1,1))-AVERAGE(OFFSET($H$3,0,0,'Données projet'!$E$10+1,1))</f>
        <v>159.92263609041913</v>
      </c>
      <c r="AO19" s="59">
        <f t="shared" si="36"/>
        <v>271.78119133009307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19.788621852000361</v>
      </c>
      <c r="AW19" s="21">
        <f>EXP(-LN(2)/2)*AW18+(1-EXP(-LN(2)/2))/(LN(2)/2)*AQ19*AT19*VLOOKUP('Données projet'!$B$10,Paramètres!$A$1:$I$89,3,0)*0.475*44/12</f>
        <v>3.2455438808596142</v>
      </c>
      <c r="AX19" s="21">
        <f t="shared" si="6"/>
        <v>23.034165732859975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11.2</v>
      </c>
      <c r="BD19" s="12">
        <f>IF('Données projet'!$A$88&gt;35,BD18+BC19-BL18,IF(A19&lt;'Données projet'!$A$88,$BA$205^A19,IF(A19='Données projet'!$A$88,'Données projet'!$B$88,BD18+BC19-BL18)))</f>
        <v>84.199999999999989</v>
      </c>
      <c r="BE19" s="13">
        <f>BD19*VLOOKUP('Données projet'!$B$11,Paramètres!$A$1:$I$89,3,0)*VLOOKUP('Données projet'!$B$11,Paramètres!$A$1:$I$89,5,0)</f>
        <v>73.557119999999998</v>
      </c>
      <c r="BF19" s="13">
        <f t="shared" si="37"/>
        <v>20.554251427792224</v>
      </c>
      <c r="BG19" s="20">
        <f t="shared" si="7"/>
        <v>163.91063857007143</v>
      </c>
      <c r="BH19" s="59">
        <f t="shared" si="8"/>
        <v>457.24397190340471</v>
      </c>
      <c r="BI19" s="59">
        <f ca="1">AVERAGE(OFFSET($BH$3,0,0,'Données projet'!$E$11+1,1))-AVERAGE(OFFSET($H$3,0,0,'Données projet'!$E$11+1,1))</f>
        <v>268.27008134105046</v>
      </c>
      <c r="BJ19" s="59">
        <f t="shared" si="38"/>
        <v>252.36274686619709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172.88</v>
      </c>
      <c r="L20" s="12">
        <f>VLOOKUP(A20,'Données projet'!$A$35:$I$55,9,0)</f>
        <v>10.169411764705883</v>
      </c>
      <c r="M20" s="12">
        <f t="array" ref="M20">INDEX(L:L,MIN(IF(ISNUMBER(L20:L216),ROW(L20:L216),"")))</f>
        <v>10.169411764705883</v>
      </c>
      <c r="N20" s="13">
        <f>IF('Données projet'!$A$36&gt;35,N19+M20-V19,IF(A20&lt;'Données projet'!$A$36,$K$205^A20,IF(A20='Données projet'!$A$36,'Données projet'!$B$36,N19+M20-V19)))</f>
        <v>172.88</v>
      </c>
      <c r="O20" s="13">
        <f>N20*VLOOKUP('Données projet'!$B$9,Paramètres!$A$1:$I$89,3,0)*VLOOKUP('Données projet'!$B$9,Paramètres!$A$1:$I$89,5,0)</f>
        <v>96.639919999999989</v>
      </c>
      <c r="P20" s="13">
        <f t="shared" si="33"/>
        <v>26.159919476529339</v>
      </c>
      <c r="Q20" s="20">
        <f t="shared" si="2"/>
        <v>213.87638708828857</v>
      </c>
      <c r="R20" s="59">
        <f t="shared" si="0"/>
        <v>507.20972042162191</v>
      </c>
      <c r="S20" s="59">
        <f ca="1">AVERAGE(OFFSET($R$3,0,0,'Données projet'!$E$9+1,1))-AVERAGE(OFFSET($H$3,0,0,'Données projet'!$E$9+1,1))</f>
        <v>350.01600895263641</v>
      </c>
      <c r="T20" s="59">
        <f t="shared" si="34"/>
        <v>464.08921044376882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21.333333333333332</v>
      </c>
      <c r="AI20" s="13">
        <f>IF('Données projet'!$A$62&gt;35,AI19+AH20-AQ19,IF(A20&lt;'Données projet'!$A$62,$AF$205^A20,IF(A20='Données projet'!$A$62,'Données projet'!$B$62,AI19+AH20-AQ19)))</f>
        <v>163.66666666666671</v>
      </c>
      <c r="AJ20" s="13">
        <f>AI20*VLOOKUP('Données projet'!$B$10,Paramètres!$A$1:$I$89,3,0)*VLOOKUP('Données projet'!$B$10,Paramètres!$A$1:$I$89,5,0)</f>
        <v>89.362000000000037</v>
      </c>
      <c r="AK20" s="13">
        <f t="shared" si="35"/>
        <v>24.411291106060958</v>
      </c>
      <c r="AL20" s="20">
        <f t="shared" si="4"/>
        <v>198.15514867638956</v>
      </c>
      <c r="AM20" s="59">
        <f t="shared" si="5"/>
        <v>491.48848200972287</v>
      </c>
      <c r="AN20" s="59">
        <f ca="1">AVERAGE(OFFSET($AM$3,0,0,'Données projet'!$E$10+1,1))-AVERAGE(OFFSET($H$3,0,0,'Données projet'!$E$10+1,1))</f>
        <v>159.92263609041913</v>
      </c>
      <c r="AO20" s="59">
        <f t="shared" si="36"/>
        <v>271.78119133009307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19.247500946819017</v>
      </c>
      <c r="AW20" s="21">
        <f>EXP(-LN(2)/2)*AW19+(1-EXP(-LN(2)/2))/(LN(2)/2)*AQ20*AT20*VLOOKUP('Données projet'!$B$10,Paramètres!$A$1:$I$89,3,0)*0.475*44/12</f>
        <v>2.2949460867943374</v>
      </c>
      <c r="AX20" s="21">
        <f t="shared" si="6"/>
        <v>21.542447033613353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11.2</v>
      </c>
      <c r="BD20" s="12">
        <f>IF('Données projet'!$A$88&gt;35,BD19+BC20-BL19,IF(A20&lt;'Données projet'!$A$88,$BA$205^A20,IF(A20='Données projet'!$A$88,'Données projet'!$B$88,BD19+BC20-BL19)))</f>
        <v>95.399999999999991</v>
      </c>
      <c r="BE20" s="13">
        <f>BD20*VLOOKUP('Données projet'!$B$11,Paramètres!$A$1:$I$89,3,0)*VLOOKUP('Données projet'!$B$11,Paramètres!$A$1:$I$89,5,0)</f>
        <v>83.341440000000006</v>
      </c>
      <c r="BF20" s="13">
        <f t="shared" si="37"/>
        <v>22.952227742446681</v>
      </c>
      <c r="BG20" s="20">
        <f t="shared" si="7"/>
        <v>185.12813798476131</v>
      </c>
      <c r="BH20" s="59">
        <f t="shared" si="8"/>
        <v>478.4614713180946</v>
      </c>
      <c r="BI20" s="59">
        <f ca="1">AVERAGE(OFFSET($BH$3,0,0,'Données projet'!$E$11+1,1))-AVERAGE(OFFSET($H$3,0,0,'Données projet'!$E$11+1,1))</f>
        <v>268.27008134105046</v>
      </c>
      <c r="BJ20" s="59">
        <f t="shared" si="38"/>
        <v>252.36274686619709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202.42</v>
      </c>
      <c r="L21" s="12">
        <f>VLOOKUP(A21,'Données projet'!$A$35:$I$55,9,0)</f>
        <v>29.539999999999992</v>
      </c>
      <c r="M21" s="12">
        <f t="array" ref="M21">INDEX(L:L,MIN(IF(ISNUMBER(L21:L217),ROW(L21:L217),"")))</f>
        <v>29.539999999999992</v>
      </c>
      <c r="N21" s="13">
        <f>IF('Données projet'!$A$36&gt;35,N20+M21-V20,IF(A21&lt;'Données projet'!$A$36,$K$205^A21,IF(A21='Données projet'!$A$36,'Données projet'!$B$36,N20+M21-V20)))</f>
        <v>202.42</v>
      </c>
      <c r="O21" s="13">
        <f>N21*VLOOKUP('Données projet'!$B$9,Paramètres!$A$1:$I$89,3,0)*VLOOKUP('Données projet'!$B$9,Paramètres!$A$1:$I$89,5,0)</f>
        <v>113.15278000000001</v>
      </c>
      <c r="P21" s="13">
        <f t="shared" si="33"/>
        <v>30.072578047950454</v>
      </c>
      <c r="Q21" s="20">
        <f t="shared" si="2"/>
        <v>249.45083193351374</v>
      </c>
      <c r="R21" s="59">
        <f t="shared" si="0"/>
        <v>542.78416526684703</v>
      </c>
      <c r="S21" s="59">
        <f ca="1">AVERAGE(OFFSET($R$3,0,0,'Données projet'!$E$9+1,1))-AVERAGE(OFFSET($H$3,0,0,'Données projet'!$E$9+1,1))</f>
        <v>350.01600895263641</v>
      </c>
      <c r="T21" s="59">
        <f t="shared" si="34"/>
        <v>464.08921044376882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74.819999999999993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1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47.354913860019963</v>
      </c>
      <c r="AC21" s="22">
        <f t="shared" si="3"/>
        <v>47.354913860019963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185</v>
      </c>
      <c r="AG21" s="12">
        <f>VLOOKUP(A21,'Données projet'!$A$61:$I$81,9,0)</f>
        <v>21.333333333333332</v>
      </c>
      <c r="AH21" s="12">
        <f t="array" ref="AH21">INDEX(AG:AG,MIN(IF(ISNUMBER(AG21:AG217),ROW(AG21:AG217),"")))</f>
        <v>21.333333333333332</v>
      </c>
      <c r="AI21" s="13">
        <f>IF('Données projet'!$A$62&gt;35,AI20+AH21-AQ20,IF(A21&lt;'Données projet'!$A$62,$AF$205^A21,IF(A21='Données projet'!$A$62,'Données projet'!$B$62,AI20+AH21-AQ20)))</f>
        <v>185.00000000000006</v>
      </c>
      <c r="AJ21" s="13">
        <f>AI21*VLOOKUP('Données projet'!$B$10,Paramètres!$A$1:$I$89,3,0)*VLOOKUP('Données projet'!$B$10,Paramètres!$A$1:$I$89,5,0)</f>
        <v>101.01000000000002</v>
      </c>
      <c r="AK21" s="13">
        <f t="shared" si="35"/>
        <v>27.202475209169602</v>
      </c>
      <c r="AL21" s="20">
        <f t="shared" si="4"/>
        <v>223.30339432263705</v>
      </c>
      <c r="AM21" s="59">
        <f t="shared" si="5"/>
        <v>516.63672765597039</v>
      </c>
      <c r="AN21" s="59">
        <f ca="1">AVERAGE(OFFSET($AM$3,0,0,'Données projet'!$E$10+1,1))-AVERAGE(OFFSET($H$3,0,0,'Données projet'!$E$10+1,1))</f>
        <v>159.92263609041913</v>
      </c>
      <c r="AO21" s="59">
        <f t="shared" si="36"/>
        <v>271.78119133009307</v>
      </c>
      <c r="AP21" s="15">
        <f>IF(ISNA(VLOOKUP(A21,'Données projet'!$A$61:$I$81,3,0)),0,VLOOKUP(A21,'Données projet'!$A$61:$I$81,3,0))</f>
        <v>3</v>
      </c>
      <c r="AQ21" s="15">
        <f>IF(ISNA(VLOOKUP(A21,'Données projet'!$A$61:$I$81,4,0)),0,VLOOKUP(A21,'Données projet'!$A$61:$I$81,4,0))</f>
        <v>61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0.6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45.126332338844186</v>
      </c>
      <c r="AW21" s="21">
        <f>EXP(-LN(2)/2)*AW20+(1-EXP(-LN(2)/2))/(LN(2)/2)*AQ21*AT21*VLOOKUP('Données projet'!$B$10,Paramètres!$A$1:$I$89,3,0)*0.475*44/12</f>
        <v>1.6227719404298071</v>
      </c>
      <c r="AX21" s="21">
        <f t="shared" si="6"/>
        <v>46.749104279273993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11.2</v>
      </c>
      <c r="BD21" s="12">
        <f>IF('Données projet'!$A$88&gt;35,BD20+BC21-BL20,IF(A21&lt;'Données projet'!$A$88,$BA$205^A21,IF(A21='Données projet'!$A$88,'Données projet'!$B$88,BD20+BC21-BL20)))</f>
        <v>106.6</v>
      </c>
      <c r="BE21" s="13">
        <f>BD21*VLOOKUP('Données projet'!$B$11,Paramètres!$A$1:$I$89,3,0)*VLOOKUP('Données projet'!$B$11,Paramètres!$A$1:$I$89,5,0)</f>
        <v>93.125760000000014</v>
      </c>
      <c r="BF21" s="13">
        <f t="shared" si="37"/>
        <v>25.317578585717406</v>
      </c>
      <c r="BG21" s="20">
        <f t="shared" si="7"/>
        <v>206.2888147034578</v>
      </c>
      <c r="BH21" s="59">
        <f t="shared" si="8"/>
        <v>499.62214803679115</v>
      </c>
      <c r="BI21" s="59">
        <f ca="1">AVERAGE(OFFSET($BH$3,0,0,'Données projet'!$E$11+1,1))-AVERAGE(OFFSET($H$3,0,0,'Données projet'!$E$11+1,1))</f>
        <v>268.27008134105046</v>
      </c>
      <c r="BJ21" s="59">
        <f t="shared" si="38"/>
        <v>252.36274686619709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26.926666666666673</v>
      </c>
      <c r="N22" s="13">
        <f>IF('Données projet'!$A$36&gt;35,N21+M22-V21,IF(A22&lt;'Données projet'!$A$36,$K$205^A22,IF(A22='Données projet'!$A$36,'Données projet'!$B$36,N21+M22-V21)))</f>
        <v>154.52666666666667</v>
      </c>
      <c r="O22" s="13">
        <f>N22*VLOOKUP('Données projet'!$B$9,Paramètres!$A$1:$I$89,3,0)*VLOOKUP('Données projet'!$B$9,Paramètres!$A$1:$I$89,5,0)</f>
        <v>86.380406666666673</v>
      </c>
      <c r="P22" s="13">
        <f t="shared" si="33"/>
        <v>23.690191684477199</v>
      </c>
      <c r="Q22" s="20">
        <f t="shared" si="2"/>
        <v>191.70629212824224</v>
      </c>
      <c r="R22" s="59">
        <f t="shared" si="0"/>
        <v>485.03962546157555</v>
      </c>
      <c r="S22" s="59">
        <f ca="1">AVERAGE(OFFSET($R$3,0,0,'Données projet'!$E$9+1,1))-AVERAGE(OFFSET($H$3,0,0,'Données projet'!$E$9+1,1))</f>
        <v>350.01600895263641</v>
      </c>
      <c r="T22" s="59">
        <f t="shared" si="34"/>
        <v>464.08921044376882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33.484980712924944</v>
      </c>
      <c r="AC22" s="22">
        <f t="shared" si="3"/>
        <v>33.484980712924944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19.166666666666668</v>
      </c>
      <c r="AI22" s="13">
        <f>IF('Données projet'!$A$62&gt;35,AI21+AH22-AQ21,IF(A22&lt;'Données projet'!$A$62,$AF$205^A22,IF(A22='Données projet'!$A$62,'Données projet'!$B$62,AI21+AH22-AQ21)))</f>
        <v>143.16666666666671</v>
      </c>
      <c r="AJ22" s="13">
        <f>AI22*VLOOKUP('Données projet'!$B$10,Paramètres!$A$1:$I$89,3,0)*VLOOKUP('Données projet'!$B$10,Paramètres!$A$1:$I$89,5,0)</f>
        <v>78.169000000000025</v>
      </c>
      <c r="AK22" s="13">
        <f t="shared" si="35"/>
        <v>21.688893622970639</v>
      </c>
      <c r="AL22" s="20">
        <f t="shared" si="4"/>
        <v>173.9191647266739</v>
      </c>
      <c r="AM22" s="59">
        <f t="shared" si="5"/>
        <v>467.25249806000721</v>
      </c>
      <c r="AN22" s="59">
        <f ca="1">AVERAGE(OFFSET($AM$3,0,0,'Données projet'!$E$10+1,1))-AVERAGE(OFFSET($H$3,0,0,'Données projet'!$E$10+1,1))</f>
        <v>159.92263609041913</v>
      </c>
      <c r="AO22" s="59">
        <f t="shared" si="36"/>
        <v>271.78119133009307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43.892350407947809</v>
      </c>
      <c r="AW22" s="21">
        <f>EXP(-LN(2)/2)*AW21+(1-EXP(-LN(2)/2))/(LN(2)/2)*AQ22*AT22*VLOOKUP('Données projet'!$B$10,Paramètres!$A$1:$I$89,3,0)*0.475*44/12</f>
        <v>1.1474730433971687</v>
      </c>
      <c r="AX22" s="21">
        <f t="shared" si="6"/>
        <v>45.039823451344979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11.2</v>
      </c>
      <c r="BD22" s="12">
        <f>IF('Données projet'!$A$88&gt;35,BD21+BC22-BL21,IF(A22&lt;'Données projet'!$A$88,$BA$205^A22,IF(A22='Données projet'!$A$88,'Données projet'!$B$88,BD21+BC22-BL21)))</f>
        <v>117.8</v>
      </c>
      <c r="BE22" s="13">
        <f>BD22*VLOOKUP('Données projet'!$B$11,Paramètres!$A$1:$I$89,3,0)*VLOOKUP('Données projet'!$B$11,Paramètres!$A$1:$I$89,5,0)</f>
        <v>102.91008000000001</v>
      </c>
      <c r="BF22" s="13">
        <f t="shared" si="37"/>
        <v>27.654122306790427</v>
      </c>
      <c r="BG22" s="20">
        <f t="shared" si="7"/>
        <v>227.39931901765999</v>
      </c>
      <c r="BH22" s="59">
        <f t="shared" si="8"/>
        <v>520.73265235099325</v>
      </c>
      <c r="BI22" s="59">
        <f ca="1">AVERAGE(OFFSET($BH$3,0,0,'Données projet'!$E$11+1,1))-AVERAGE(OFFSET($H$3,0,0,'Données projet'!$E$11+1,1))</f>
        <v>268.27008134105046</v>
      </c>
      <c r="BJ22" s="59">
        <f t="shared" si="38"/>
        <v>252.36274686619709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26.926666666666673</v>
      </c>
      <c r="N23" s="13">
        <f>IF('Données projet'!$A$36&gt;35,N22+M23-V22,IF(A23&lt;'Données projet'!$A$36,$K$205^A23,IF(A23='Données projet'!$A$36,'Données projet'!$B$36,N22+M23-V22)))</f>
        <v>181.45333333333335</v>
      </c>
      <c r="O23" s="13">
        <f>N23*VLOOKUP('Données projet'!$B$9,Paramètres!$A$1:$I$89,3,0)*VLOOKUP('Données projet'!$B$9,Paramètres!$A$1:$I$89,5,0)</f>
        <v>101.43241333333334</v>
      </c>
      <c r="P23" s="13">
        <f t="shared" si="33"/>
        <v>27.302967287299122</v>
      </c>
      <c r="Q23" s="20">
        <f t="shared" si="2"/>
        <v>224.21412124760153</v>
      </c>
      <c r="R23" s="59">
        <f t="shared" si="0"/>
        <v>517.54745458093487</v>
      </c>
      <c r="S23" s="59">
        <f ca="1">AVERAGE(OFFSET($R$3,0,0,'Données projet'!$E$9+1,1))-AVERAGE(OFFSET($H$3,0,0,'Données projet'!$E$9+1,1))</f>
        <v>350.01600895263641</v>
      </c>
      <c r="T23" s="59">
        <f t="shared" si="34"/>
        <v>464.08921044376882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23.677456930009985</v>
      </c>
      <c r="AC23" s="22">
        <f t="shared" si="3"/>
        <v>23.677456930009985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19.166666666666668</v>
      </c>
      <c r="AI23" s="13">
        <f>IF('Données projet'!$A$62&gt;35,AI22+AH23-AQ22,IF(A23&lt;'Données projet'!$A$62,$AF$205^A23,IF(A23='Données projet'!$A$62,'Données projet'!$B$62,AI22+AH23-AQ22)))</f>
        <v>162.33333333333337</v>
      </c>
      <c r="AJ23" s="13">
        <f>AI23*VLOOKUP('Données projet'!$B$10,Paramètres!$A$1:$I$89,3,0)*VLOOKUP('Données projet'!$B$10,Paramètres!$A$1:$I$89,5,0)</f>
        <v>88.634000000000015</v>
      </c>
      <c r="AK23" s="13">
        <f t="shared" si="35"/>
        <v>24.235486014796273</v>
      </c>
      <c r="AL23" s="20">
        <f t="shared" si="4"/>
        <v>196.58102147577017</v>
      </c>
      <c r="AM23" s="59">
        <f t="shared" si="5"/>
        <v>489.91435480910349</v>
      </c>
      <c r="AN23" s="59">
        <f ca="1">AVERAGE(OFFSET($AM$3,0,0,'Données projet'!$E$10+1,1))-AVERAGE(OFFSET($H$3,0,0,'Données projet'!$E$10+1,1))</f>
        <v>159.92263609041913</v>
      </c>
      <c r="AO23" s="59">
        <f t="shared" si="36"/>
        <v>271.78119133009307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42.692111777844083</v>
      </c>
      <c r="AW23" s="21">
        <f>EXP(-LN(2)/2)*AW22+(1-EXP(-LN(2)/2))/(LN(2)/2)*AQ23*AT23*VLOOKUP('Données projet'!$B$10,Paramètres!$A$1:$I$89,3,0)*0.475*44/12</f>
        <v>0.81138597021490355</v>
      </c>
      <c r="AX23" s="21">
        <f t="shared" si="6"/>
        <v>43.50349774805899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129</v>
      </c>
      <c r="BB23" s="12">
        <f>VLOOKUP(A23,'Données projet'!$A$87:$I$107,9,0)</f>
        <v>11.2</v>
      </c>
      <c r="BC23" s="12">
        <f t="array" ref="BC23">INDEX(BB:BB,MIN(IF(ISNUMBER(BB23:BB219),ROW(BB23:BB219),"")))</f>
        <v>11.2</v>
      </c>
      <c r="BD23" s="12">
        <f>IF('Données projet'!$A$88&gt;35,BD22+BC23-BL22,IF(A23&lt;'Données projet'!$A$88,$BA$205^A23,IF(A23='Données projet'!$A$88,'Données projet'!$B$88,BD22+BC23-BL22)))</f>
        <v>129</v>
      </c>
      <c r="BE23" s="13">
        <f>BD23*VLOOKUP('Données projet'!$B$11,Paramètres!$A$1:$I$89,3,0)*VLOOKUP('Données projet'!$B$11,Paramètres!$A$1:$I$89,5,0)</f>
        <v>112.69440000000002</v>
      </c>
      <c r="BF23" s="13">
        <f t="shared" si="37"/>
        <v>29.964909381330632</v>
      </c>
      <c r="BG23" s="20">
        <f t="shared" si="7"/>
        <v>248.46496383915087</v>
      </c>
      <c r="BH23" s="59">
        <f t="shared" si="8"/>
        <v>541.79829717248413</v>
      </c>
      <c r="BI23" s="59">
        <f ca="1">AVERAGE(OFFSET($BH$3,0,0,'Données projet'!$E$11+1,1))-AVERAGE(OFFSET($H$3,0,0,'Données projet'!$E$11+1,1))</f>
        <v>268.27008134105046</v>
      </c>
      <c r="BJ23" s="59">
        <f t="shared" si="38"/>
        <v>252.36274686619709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54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26.926666666666673</v>
      </c>
      <c r="N24" s="13">
        <f>IF('Données projet'!$A$36&gt;35,N23+M24-V23,IF(A24&lt;'Données projet'!$A$36,$K$205^A24,IF(A24='Données projet'!$A$36,'Données projet'!$B$36,N23+M24-V23)))</f>
        <v>208.38000000000002</v>
      </c>
      <c r="O24" s="13">
        <f>N24*VLOOKUP('Données projet'!$B$9,Paramètres!$A$1:$I$89,3,0)*VLOOKUP('Données projet'!$B$9,Paramètres!$A$1:$I$89,5,0)</f>
        <v>116.48442000000001</v>
      </c>
      <c r="P24" s="13">
        <f t="shared" si="33"/>
        <v>30.853634445731519</v>
      </c>
      <c r="Q24" s="20">
        <f t="shared" si="2"/>
        <v>256.61377815964903</v>
      </c>
      <c r="R24" s="59">
        <f t="shared" si="0"/>
        <v>549.94711149298234</v>
      </c>
      <c r="S24" s="59">
        <f ca="1">AVERAGE(OFFSET($R$3,0,0,'Données projet'!$E$9+1,1))-AVERAGE(OFFSET($H$3,0,0,'Données projet'!$E$9+1,1))</f>
        <v>350.01600895263641</v>
      </c>
      <c r="T24" s="59">
        <f t="shared" si="34"/>
        <v>464.08921044376882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16.742490356462476</v>
      </c>
      <c r="AC24" s="22">
        <f t="shared" si="3"/>
        <v>16.742490356462476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19.166666666666668</v>
      </c>
      <c r="AI24" s="13">
        <f>IF('Données projet'!$A$62&gt;35,AI23+AH24-AQ23,IF(A24&lt;'Données projet'!$A$62,$AF$205^A24,IF(A24='Données projet'!$A$62,'Données projet'!$B$62,AI23+AH24-AQ23)))</f>
        <v>181.50000000000003</v>
      </c>
      <c r="AJ24" s="13">
        <f>AI24*VLOOKUP('Données projet'!$B$10,Paramètres!$A$1:$I$89,3,0)*VLOOKUP('Données projet'!$B$10,Paramètres!$A$1:$I$89,5,0)</f>
        <v>99.099000000000004</v>
      </c>
      <c r="AK24" s="13">
        <f t="shared" si="35"/>
        <v>26.747233784597075</v>
      </c>
      <c r="AL24" s="20">
        <f t="shared" si="4"/>
        <v>219.18219050817322</v>
      </c>
      <c r="AM24" s="59">
        <f t="shared" si="5"/>
        <v>512.51552384150659</v>
      </c>
      <c r="AN24" s="59">
        <f ca="1">AVERAGE(OFFSET($AM$3,0,0,'Données projet'!$E$10+1,1))-AVERAGE(OFFSET($H$3,0,0,'Données projet'!$E$10+1,1))</f>
        <v>159.92263609041913</v>
      </c>
      <c r="AO24" s="59">
        <f t="shared" si="36"/>
        <v>271.78119133009307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41.524693736198351</v>
      </c>
      <c r="AW24" s="21">
        <f>EXP(-LN(2)/2)*AW23+(1-EXP(-LN(2)/2))/(LN(2)/2)*AQ24*AT24*VLOOKUP('Données projet'!$B$10,Paramètres!$A$1:$I$89,3,0)*0.475*44/12</f>
        <v>0.57373652169858436</v>
      </c>
      <c r="AX24" s="21">
        <f t="shared" si="6"/>
        <v>42.098430257896936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10.199999999999999</v>
      </c>
      <c r="BD24" s="12">
        <f>IF('Données projet'!$A$88&gt;35,BD23+BC24-BL23,IF(A24&lt;'Données projet'!$A$88,$BA$205^A24,IF(A24='Données projet'!$A$88,'Données projet'!$B$88,BD23+BC24-BL23)))</f>
        <v>85.199999999999989</v>
      </c>
      <c r="BE24" s="13">
        <f>BD24*VLOOKUP('Données projet'!$B$11,Paramètres!$A$1:$I$89,3,0)*VLOOKUP('Données projet'!$B$11,Paramètres!$A$1:$I$89,5,0)</f>
        <v>74.430719999999994</v>
      </c>
      <c r="BF24" s="13">
        <f t="shared" si="37"/>
        <v>20.76980057385482</v>
      </c>
      <c r="BG24" s="20">
        <f t="shared" si="7"/>
        <v>165.80757333279712</v>
      </c>
      <c r="BH24" s="59">
        <f t="shared" si="8"/>
        <v>459.14090666613043</v>
      </c>
      <c r="BI24" s="59">
        <f ca="1">AVERAGE(OFFSET($BH$3,0,0,'Données projet'!$E$11+1,1))-AVERAGE(OFFSET($H$3,0,0,'Données projet'!$E$11+1,1))</f>
        <v>268.27008134105046</v>
      </c>
      <c r="BJ24" s="59">
        <f t="shared" si="38"/>
        <v>252.36274686619709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26.926666666666673</v>
      </c>
      <c r="N25" s="13">
        <f>IF('Données projet'!$A$36&gt;35,N24+M25-V24,IF(A25&lt;'Données projet'!$A$36,$K$205^A25,IF(A25='Données projet'!$A$36,'Données projet'!$B$36,N24+M25-V24)))</f>
        <v>235.3066666666667</v>
      </c>
      <c r="O25" s="13">
        <f>N25*VLOOKUP('Données projet'!$B$9,Paramètres!$A$1:$I$89,3,0)*VLOOKUP('Données projet'!$B$9,Paramètres!$A$1:$I$89,5,0)</f>
        <v>131.5364266666667</v>
      </c>
      <c r="P25" s="13">
        <f t="shared" si="33"/>
        <v>34.351139290423262</v>
      </c>
      <c r="Q25" s="20">
        <f t="shared" si="2"/>
        <v>288.92084404193173</v>
      </c>
      <c r="R25" s="59">
        <f t="shared" si="0"/>
        <v>582.25417737526504</v>
      </c>
      <c r="S25" s="59">
        <f ca="1">AVERAGE(OFFSET($R$3,0,0,'Données projet'!$E$9+1,1))-AVERAGE(OFFSET($H$3,0,0,'Données projet'!$E$9+1,1))</f>
        <v>350.01600895263641</v>
      </c>
      <c r="T25" s="59">
        <f t="shared" si="34"/>
        <v>464.08921044376882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11.838728465004994</v>
      </c>
      <c r="AC25" s="22">
        <f t="shared" si="3"/>
        <v>11.838728465004994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19.166666666666668</v>
      </c>
      <c r="AI25" s="13">
        <f>IF('Données projet'!$A$62&gt;35,AI24+AH25-AQ24,IF(A25&lt;'Données projet'!$A$62,$AF$205^A25,IF(A25='Données projet'!$A$62,'Données projet'!$B$62,AI24+AH25-AQ24)))</f>
        <v>200.66666666666669</v>
      </c>
      <c r="AJ25" s="13">
        <f>AI25*VLOOKUP('Données projet'!$B$10,Paramètres!$A$1:$I$89,3,0)*VLOOKUP('Données projet'!$B$10,Paramètres!$A$1:$I$89,5,0)</f>
        <v>109.56400000000001</v>
      </c>
      <c r="AK25" s="13">
        <f t="shared" si="35"/>
        <v>29.228235839881371</v>
      </c>
      <c r="AL25" s="20">
        <f t="shared" si="4"/>
        <v>241.72981075446003</v>
      </c>
      <c r="AM25" s="59">
        <f t="shared" si="5"/>
        <v>535.06314408779338</v>
      </c>
      <c r="AN25" s="59">
        <f ca="1">AVERAGE(OFFSET($AM$3,0,0,'Données projet'!$E$10+1,1))-AVERAGE(OFFSET($H$3,0,0,'Données projet'!$E$10+1,1))</f>
        <v>159.92263609041913</v>
      </c>
      <c r="AO25" s="59">
        <f t="shared" si="36"/>
        <v>271.78119133009307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40.389198802293272</v>
      </c>
      <c r="AW25" s="21">
        <f>EXP(-LN(2)/2)*AW24+(1-EXP(-LN(2)/2))/(LN(2)/2)*AQ25*AT25*VLOOKUP('Données projet'!$B$10,Paramètres!$A$1:$I$89,3,0)*0.475*44/12</f>
        <v>0.40569298510745178</v>
      </c>
      <c r="AX25" s="21">
        <f t="shared" si="6"/>
        <v>40.794891787400722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10.199999999999999</v>
      </c>
      <c r="BD25" s="12">
        <f>IF('Données projet'!$A$88&gt;35,BD24+BC25-BL24,IF(A25&lt;'Données projet'!$A$88,$BA$205^A25,IF(A25='Données projet'!$A$88,'Données projet'!$B$88,BD24+BC25-BL24)))</f>
        <v>95.399999999999991</v>
      </c>
      <c r="BE25" s="13">
        <f>BD25*VLOOKUP('Données projet'!$B$11,Paramètres!$A$1:$I$89,3,0)*VLOOKUP('Données projet'!$B$11,Paramètres!$A$1:$I$89,5,0)</f>
        <v>83.341440000000006</v>
      </c>
      <c r="BF25" s="13">
        <f t="shared" si="37"/>
        <v>22.952227742446681</v>
      </c>
      <c r="BG25" s="20">
        <f t="shared" si="7"/>
        <v>185.12813798476131</v>
      </c>
      <c r="BH25" s="59">
        <f t="shared" si="8"/>
        <v>478.4614713180946</v>
      </c>
      <c r="BI25" s="59">
        <f ca="1">AVERAGE(OFFSET($BH$3,0,0,'Données projet'!$E$11+1,1))-AVERAGE(OFFSET($H$3,0,0,'Données projet'!$E$11+1,1))</f>
        <v>268.27008134105046</v>
      </c>
      <c r="BJ25" s="59">
        <f t="shared" si="38"/>
        <v>252.36274686619709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26.926666666666673</v>
      </c>
      <c r="N26" s="13">
        <f>IF('Données projet'!$A$36&gt;35,N25+M26-V25,IF(A26&lt;'Données projet'!$A$36,$K$205^A26,IF(A26='Données projet'!$A$36,'Données projet'!$B$36,N25+M26-V25)))</f>
        <v>262.23333333333335</v>
      </c>
      <c r="O26" s="13">
        <f>N26*VLOOKUP('Données projet'!$B$9,Paramètres!$A$1:$I$89,3,0)*VLOOKUP('Données projet'!$B$9,Paramètres!$A$1:$I$89,5,0)</f>
        <v>146.58843333333334</v>
      </c>
      <c r="P26" s="13">
        <f t="shared" si="33"/>
        <v>37.80225981907045</v>
      </c>
      <c r="Q26" s="20">
        <f t="shared" si="2"/>
        <v>321.14712390710332</v>
      </c>
      <c r="R26" s="59">
        <f t="shared" si="0"/>
        <v>614.48045724043664</v>
      </c>
      <c r="S26" s="59">
        <f ca="1">AVERAGE(OFFSET($R$3,0,0,'Données projet'!$E$9+1,1))-AVERAGE(OFFSET($H$3,0,0,'Données projet'!$E$9+1,1))</f>
        <v>350.01600895263641</v>
      </c>
      <c r="T26" s="59">
        <f t="shared" si="34"/>
        <v>464.08921044376882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8.3712451782312378</v>
      </c>
      <c r="AC26" s="22">
        <f t="shared" si="3"/>
        <v>8.3712451782312378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19.166666666666668</v>
      </c>
      <c r="AI26" s="13">
        <f>IF('Données projet'!$A$62&gt;35,AI25+AH26-AQ25,IF(A26&lt;'Données projet'!$A$62,$AF$205^A26,IF(A26='Données projet'!$A$62,'Données projet'!$B$62,AI25+AH26-AQ25)))</f>
        <v>219.83333333333334</v>
      </c>
      <c r="AJ26" s="13">
        <f>AI26*VLOOKUP('Données projet'!$B$10,Paramètres!$A$1:$I$89,3,0)*VLOOKUP('Données projet'!$B$10,Paramètres!$A$1:$I$89,5,0)</f>
        <v>120.029</v>
      </c>
      <c r="AK26" s="13">
        <f t="shared" si="35"/>
        <v>31.68176297276506</v>
      </c>
      <c r="AL26" s="20">
        <f t="shared" si="4"/>
        <v>264.22957884423249</v>
      </c>
      <c r="AM26" s="59">
        <f t="shared" si="5"/>
        <v>557.56291217756575</v>
      </c>
      <c r="AN26" s="59">
        <f ca="1">AVERAGE(OFFSET($AM$3,0,0,'Données projet'!$E$10+1,1))-AVERAGE(OFFSET($H$3,0,0,'Données projet'!$E$10+1,1))</f>
        <v>159.92263609041913</v>
      </c>
      <c r="AO26" s="59">
        <f t="shared" si="36"/>
        <v>271.78119133009307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39.284754037068907</v>
      </c>
      <c r="AW26" s="21">
        <f>EXP(-LN(2)/2)*AW25+(1-EXP(-LN(2)/2))/(LN(2)/2)*AQ26*AT26*VLOOKUP('Données projet'!$B$10,Paramètres!$A$1:$I$89,3,0)*0.475*44/12</f>
        <v>0.28686826084929218</v>
      </c>
      <c r="AX26" s="21">
        <f t="shared" si="6"/>
        <v>39.571622297918196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10.199999999999999</v>
      </c>
      <c r="BD26" s="12">
        <f>IF('Données projet'!$A$88&gt;35,BD25+BC26-BL25,IF(A26&lt;'Données projet'!$A$88,$BA$205^A26,IF(A26='Données projet'!$A$88,'Données projet'!$B$88,BD25+BC26-BL25)))</f>
        <v>105.6</v>
      </c>
      <c r="BE26" s="13">
        <f>BD26*VLOOKUP('Données projet'!$B$11,Paramètres!$A$1:$I$89,3,0)*VLOOKUP('Données projet'!$B$11,Paramètres!$A$1:$I$89,5,0)</f>
        <v>92.252160000000003</v>
      </c>
      <c r="BF26" s="13">
        <f t="shared" si="37"/>
        <v>25.107607958259987</v>
      </c>
      <c r="BG26" s="20">
        <f t="shared" si="7"/>
        <v>204.40159586063612</v>
      </c>
      <c r="BH26" s="59">
        <f t="shared" si="8"/>
        <v>497.73492919396944</v>
      </c>
      <c r="BI26" s="59">
        <f ca="1">AVERAGE(OFFSET($BH$3,0,0,'Données projet'!$E$11+1,1))-AVERAGE(OFFSET($H$3,0,0,'Données projet'!$E$11+1,1))</f>
        <v>268.27008134105046</v>
      </c>
      <c r="BJ26" s="59">
        <f t="shared" si="38"/>
        <v>252.36274686619709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289.16000000000003</v>
      </c>
      <c r="L27" s="12">
        <f>VLOOKUP(A27,'Données projet'!$A$35:$I$55,9,0)</f>
        <v>26.926666666666673</v>
      </c>
      <c r="M27" s="12">
        <f t="array" ref="M27">INDEX(L:L,MIN(IF(ISNUMBER(L27:L223),ROW(L27:L223),"")))</f>
        <v>26.926666666666673</v>
      </c>
      <c r="N27" s="13">
        <f>IF('Données projet'!$A$36&gt;35,N26+M27-V26,IF(A27&lt;'Données projet'!$A$36,$K$205^A27,IF(A27='Données projet'!$A$36,'Données projet'!$B$36,N26+M27-V26)))</f>
        <v>289.16000000000003</v>
      </c>
      <c r="O27" s="13">
        <f>N27*VLOOKUP('Données projet'!$B$9,Paramètres!$A$1:$I$89,3,0)*VLOOKUP('Données projet'!$B$9,Paramètres!$A$1:$I$89,5,0)</f>
        <v>161.64044000000001</v>
      </c>
      <c r="P27" s="13">
        <f t="shared" si="33"/>
        <v>41.212301279363686</v>
      </c>
      <c r="Q27" s="20">
        <f t="shared" si="2"/>
        <v>353.30185772822512</v>
      </c>
      <c r="R27" s="59">
        <f t="shared" si="0"/>
        <v>646.63519106155843</v>
      </c>
      <c r="S27" s="59">
        <f ca="1">AVERAGE(OFFSET($R$3,0,0,'Données projet'!$E$9+1,1))-AVERAGE(OFFSET($H$3,0,0,'Données projet'!$E$9+1,1))</f>
        <v>350.01600895263641</v>
      </c>
      <c r="T27" s="59">
        <f t="shared" si="34"/>
        <v>464.08921044376882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51.39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0.55000000000000004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20.877001064528184</v>
      </c>
      <c r="AB27" s="21">
        <f>EXP(-LN(2)/2)*AB26+(1-EXP(-LN(2)/2))/(LN(2)/2)*V27*Y27*VLOOKUP('Données projet'!$B$9,Paramètres!$A$1:$I$89,3,0)*0.475*44/12</f>
        <v>5.9193642325024971</v>
      </c>
      <c r="AC27" s="22">
        <f t="shared" si="3"/>
        <v>26.796365297030682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239</v>
      </c>
      <c r="AG27" s="12">
        <f>VLOOKUP(A27,'Données projet'!$A$61:$I$81,9,0)</f>
        <v>19.166666666666668</v>
      </c>
      <c r="AH27" s="12">
        <f t="array" ref="AH27">INDEX(AG:AG,MIN(IF(ISNUMBER(AG27:AG223),ROW(AG27:AG223),"")))</f>
        <v>19.166666666666668</v>
      </c>
      <c r="AI27" s="13">
        <f>IF('Données projet'!$A$62&gt;35,AI26+AH27-AQ26,IF(A27&lt;'Données projet'!$A$62,$AF$205^A27,IF(A27='Données projet'!$A$62,'Données projet'!$B$62,AI26+AH27-AQ26)))</f>
        <v>239</v>
      </c>
      <c r="AJ27" s="13">
        <f>AI27*VLOOKUP('Données projet'!$B$10,Paramètres!$A$1:$I$89,3,0)*VLOOKUP('Données projet'!$B$10,Paramètres!$A$1:$I$89,5,0)</f>
        <v>130.494</v>
      </c>
      <c r="AK27" s="13">
        <f t="shared" si="35"/>
        <v>34.110483018610772</v>
      </c>
      <c r="AL27" s="20">
        <f t="shared" si="4"/>
        <v>286.68614125741374</v>
      </c>
      <c r="AM27" s="59">
        <f t="shared" si="5"/>
        <v>580.019474590747</v>
      </c>
      <c r="AN27" s="59">
        <f ca="1">AVERAGE(OFFSET($AM$3,0,0,'Données projet'!$E$10+1,1))-AVERAGE(OFFSET($H$3,0,0,'Données projet'!$E$10+1,1))</f>
        <v>159.92263609041913</v>
      </c>
      <c r="AO27" s="59">
        <f t="shared" si="36"/>
        <v>271.78119133009307</v>
      </c>
      <c r="AP27" s="15">
        <f>IF(ISNA(VLOOKUP(A27,'Données projet'!$A$61:$I$81,3,0)),0,VLOOKUP(A27,'Données projet'!$A$61:$I$81,3,0))</f>
        <v>4</v>
      </c>
      <c r="AQ27" s="15">
        <f>IF(ISNA(VLOOKUP(A27,'Données projet'!$A$61:$I$81,4,0)),0,VLOOKUP(A27,'Données projet'!$A$61:$I$81,4,0))</f>
        <v>84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0.6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74.571707858558256</v>
      </c>
      <c r="AW27" s="21">
        <f>EXP(-LN(2)/2)*AW26+(1-EXP(-LN(2)/2))/(LN(2)/2)*AQ27*AT27*VLOOKUP('Données projet'!$B$10,Paramètres!$A$1:$I$89,3,0)*0.475*44/12</f>
        <v>0.20284649255372589</v>
      </c>
      <c r="AX27" s="21">
        <f t="shared" si="6"/>
        <v>74.774554351111988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10.199999999999999</v>
      </c>
      <c r="BD27" s="12">
        <f>IF('Données projet'!$A$88&gt;35,BD26+BC27-BL26,IF(A27&lt;'Données projet'!$A$88,$BA$205^A27,IF(A27='Données projet'!$A$88,'Données projet'!$B$88,BD26+BC27-BL26)))</f>
        <v>115.8</v>
      </c>
      <c r="BE27" s="13">
        <f>BD27*VLOOKUP('Données projet'!$B$11,Paramètres!$A$1:$I$89,3,0)*VLOOKUP('Données projet'!$B$11,Paramètres!$A$1:$I$89,5,0)</f>
        <v>101.16288</v>
      </c>
      <c r="BF27" s="13">
        <f t="shared" si="37"/>
        <v>27.238850979377386</v>
      </c>
      <c r="BG27" s="20">
        <f t="shared" si="7"/>
        <v>223.63301478908227</v>
      </c>
      <c r="BH27" s="59">
        <f t="shared" si="8"/>
        <v>516.96634812241564</v>
      </c>
      <c r="BI27" s="59">
        <f ca="1">AVERAGE(OFFSET($BH$3,0,0,'Données projet'!$E$11+1,1))-AVERAGE(OFFSET($H$3,0,0,'Données projet'!$E$11+1,1))</f>
        <v>268.27008134105046</v>
      </c>
      <c r="BJ27" s="59">
        <f t="shared" si="38"/>
        <v>252.36274686619709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28.819999999999993</v>
      </c>
      <c r="N28" s="13">
        <f>IF('Données projet'!$A$36&gt;35,N27+M28-V27,IF(A28&lt;'Données projet'!$A$36,$K$205^A28,IF(A28='Données projet'!$A$36,'Données projet'!$B$36,N27+M28-V27)))</f>
        <v>266.59000000000003</v>
      </c>
      <c r="O28" s="13">
        <f>N28*VLOOKUP('Données projet'!$B$9,Paramètres!$A$1:$I$89,3,0)*VLOOKUP('Données projet'!$B$9,Paramètres!$A$1:$I$89,5,0)</f>
        <v>149.02381000000003</v>
      </c>
      <c r="P28" s="13">
        <f t="shared" si="33"/>
        <v>38.356658710715394</v>
      </c>
      <c r="Q28" s="20">
        <f t="shared" si="2"/>
        <v>326.3543163378294</v>
      </c>
      <c r="R28" s="59">
        <f t="shared" si="0"/>
        <v>619.68764967116272</v>
      </c>
      <c r="S28" s="59">
        <f ca="1">AVERAGE(OFFSET($R$3,0,0,'Données projet'!$E$9+1,1))-AVERAGE(OFFSET($H$3,0,0,'Données projet'!$E$9+1,1))</f>
        <v>350.01600895263641</v>
      </c>
      <c r="T28" s="59">
        <f t="shared" si="34"/>
        <v>464.08921044376882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20.306118372544891</v>
      </c>
      <c r="AB28" s="21">
        <f>EXP(-LN(2)/2)*AB27+(1-EXP(-LN(2)/2))/(LN(2)/2)*V28*Y28*VLOOKUP('Données projet'!$B$9,Paramètres!$A$1:$I$89,3,0)*0.475*44/12</f>
        <v>4.1856225891156189</v>
      </c>
      <c r="AC28" s="22">
        <f t="shared" si="3"/>
        <v>24.491740961660511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16.666666666666668</v>
      </c>
      <c r="AI28" s="13">
        <f>IF('Données projet'!$A$62&gt;35,AI27+AH28-AQ27,IF(A28&lt;'Données projet'!$A$62,$AF$205^A28,IF(A28='Données projet'!$A$62,'Données projet'!$B$62,AI27+AH28-AQ27)))</f>
        <v>171.66666666666666</v>
      </c>
      <c r="AJ28" s="13">
        <f>AI28*VLOOKUP('Données projet'!$B$10,Paramètres!$A$1:$I$89,3,0)*VLOOKUP('Données projet'!$B$10,Paramètres!$A$1:$I$89,5,0)</f>
        <v>93.72999999999999</v>
      </c>
      <c r="AK28" s="13">
        <f t="shared" si="35"/>
        <v>25.462674063925309</v>
      </c>
      <c r="AL28" s="20">
        <f t="shared" si="4"/>
        <v>207.59390732800321</v>
      </c>
      <c r="AM28" s="59">
        <f t="shared" si="5"/>
        <v>500.92724066133655</v>
      </c>
      <c r="AN28" s="59">
        <f ca="1">AVERAGE(OFFSET($AM$3,0,0,'Données projet'!$E$10+1,1))-AVERAGE(OFFSET($H$3,0,0,'Données projet'!$E$10+1,1))</f>
        <v>159.92263609041913</v>
      </c>
      <c r="AO28" s="59">
        <f t="shared" si="36"/>
        <v>271.78119133009307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72.532540585610306</v>
      </c>
      <c r="AW28" s="21">
        <f>EXP(-LN(2)/2)*AW27+(1-EXP(-LN(2)/2))/(LN(2)/2)*AQ28*AT28*VLOOKUP('Données projet'!$B$10,Paramètres!$A$1:$I$89,3,0)*0.475*44/12</f>
        <v>0.14343413042464609</v>
      </c>
      <c r="AX28" s="21">
        <f t="shared" si="6"/>
        <v>72.675974716034958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126</v>
      </c>
      <c r="BB28" s="12">
        <f>VLOOKUP(A28,'Données projet'!$A$87:$I$107,9,0)</f>
        <v>10.199999999999999</v>
      </c>
      <c r="BC28" s="12">
        <f t="array" ref="BC28">INDEX(BB:BB,MIN(IF(ISNUMBER(BB28:BB224),ROW(BB28:BB224),"")))</f>
        <v>10.199999999999999</v>
      </c>
      <c r="BD28" s="12">
        <f>IF('Données projet'!$A$88&gt;35,BD27+BC28-BL27,IF(A28&lt;'Données projet'!$A$88,$BA$205^A28,IF(A28='Données projet'!$A$88,'Données projet'!$B$88,BD27+BC28-BL27)))</f>
        <v>126</v>
      </c>
      <c r="BE28" s="13">
        <f>BD28*VLOOKUP('Données projet'!$B$11,Paramètres!$A$1:$I$89,3,0)*VLOOKUP('Données projet'!$B$11,Paramètres!$A$1:$I$89,5,0)</f>
        <v>110.07360000000001</v>
      </c>
      <c r="BF28" s="13">
        <f t="shared" si="37"/>
        <v>29.348324631518828</v>
      </c>
      <c r="BG28" s="20">
        <f t="shared" si="7"/>
        <v>242.8265187332286</v>
      </c>
      <c r="BH28" s="59">
        <f t="shared" si="8"/>
        <v>536.15985206656194</v>
      </c>
      <c r="BI28" s="59">
        <f ca="1">AVERAGE(OFFSET($BH$3,0,0,'Données projet'!$E$11+1,1))-AVERAGE(OFFSET($H$3,0,0,'Données projet'!$E$11+1,1))</f>
        <v>268.27008134105046</v>
      </c>
      <c r="BJ28" s="59">
        <f t="shared" si="38"/>
        <v>252.36274686619709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26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28.819999999999993</v>
      </c>
      <c r="N29" s="13">
        <f>IF('Données projet'!$A$36&gt;35,N28+M29-V28,IF(A29&lt;'Données projet'!$A$36,$K$205^A29,IF(A29='Données projet'!$A$36,'Données projet'!$B$36,N28+M29-V28)))</f>
        <v>295.41000000000003</v>
      </c>
      <c r="O29" s="13">
        <f>N29*VLOOKUP('Données projet'!$B$9,Paramètres!$A$1:$I$89,3,0)*VLOOKUP('Données projet'!$B$9,Paramètres!$A$1:$I$89,5,0)</f>
        <v>165.13419000000002</v>
      </c>
      <c r="P29" s="13">
        <f t="shared" si="33"/>
        <v>41.998408993833188</v>
      </c>
      <c r="Q29" s="20">
        <f t="shared" si="2"/>
        <v>360.75594324759282</v>
      </c>
      <c r="R29" s="59">
        <f t="shared" si="0"/>
        <v>654.08927658092614</v>
      </c>
      <c r="S29" s="59">
        <f ca="1">AVERAGE(OFFSET($R$3,0,0,'Données projet'!$E$9+1,1))-AVERAGE(OFFSET($H$3,0,0,'Données projet'!$E$9+1,1))</f>
        <v>350.01600895263641</v>
      </c>
      <c r="T29" s="59">
        <f t="shared" si="34"/>
        <v>464.08921044376882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19.750846497795294</v>
      </c>
      <c r="AB29" s="21">
        <f>EXP(-LN(2)/2)*AB28+(1-EXP(-LN(2)/2))/(LN(2)/2)*V29*Y29*VLOOKUP('Données projet'!$B$9,Paramètres!$A$1:$I$89,3,0)*0.475*44/12</f>
        <v>2.9596821162512486</v>
      </c>
      <c r="AC29" s="22">
        <f t="shared" si="3"/>
        <v>22.710528614046542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16.666666666666668</v>
      </c>
      <c r="AI29" s="13">
        <f>IF('Données projet'!$A$62&gt;35,AI28+AH29-AQ28,IF(A29&lt;'Données projet'!$A$62,$AF$205^A29,IF(A29='Données projet'!$A$62,'Données projet'!$B$62,AI28+AH29-AQ28)))</f>
        <v>188.33333333333331</v>
      </c>
      <c r="AJ29" s="13">
        <f>AI29*VLOOKUP('Données projet'!$B$10,Paramètres!$A$1:$I$89,3,0)*VLOOKUP('Données projet'!$B$10,Paramètres!$A$1:$I$89,5,0)</f>
        <v>102.83</v>
      </c>
      <c r="AK29" s="13">
        <f t="shared" si="35"/>
        <v>27.635107084401234</v>
      </c>
      <c r="AL29" s="20">
        <f t="shared" si="4"/>
        <v>227.22672817199881</v>
      </c>
      <c r="AM29" s="59">
        <f t="shared" si="5"/>
        <v>520.5600615053321</v>
      </c>
      <c r="AN29" s="59">
        <f ca="1">AVERAGE(OFFSET($AM$3,0,0,'Données projet'!$E$10+1,1))-AVERAGE(OFFSET($H$3,0,0,'Données projet'!$E$10+1,1))</f>
        <v>159.92263609041913</v>
      </c>
      <c r="AO29" s="59">
        <f t="shared" si="36"/>
        <v>271.78119133009307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70.549134448976261</v>
      </c>
      <c r="AW29" s="21">
        <f>EXP(-LN(2)/2)*AW28+(1-EXP(-LN(2)/2))/(LN(2)/2)*AQ29*AT29*VLOOKUP('Données projet'!$B$10,Paramètres!$A$1:$I$89,3,0)*0.475*44/12</f>
        <v>0.10142324627686294</v>
      </c>
      <c r="AX29" s="21">
        <f t="shared" si="6"/>
        <v>70.650557695253127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9.8000000000000007</v>
      </c>
      <c r="BD29" s="12">
        <f>IF('Données projet'!$A$88&gt;35,BD28+BC29-BL28,IF(A29&lt;'Données projet'!$A$88,$BA$205^A29,IF(A29='Données projet'!$A$88,'Données projet'!$B$88,BD28+BC29-BL28)))</f>
        <v>109.80000000000001</v>
      </c>
      <c r="BE29" s="13">
        <f>BD29*VLOOKUP('Données projet'!$B$11,Paramètres!$A$1:$I$89,3,0)*VLOOKUP('Données projet'!$B$11,Paramètres!$A$1:$I$89,5,0)</f>
        <v>95.921280000000024</v>
      </c>
      <c r="BF29" s="13">
        <f t="shared" si="37"/>
        <v>25.98795633328076</v>
      </c>
      <c r="BG29" s="20">
        <f t="shared" si="7"/>
        <v>212.32525328046404</v>
      </c>
      <c r="BH29" s="59">
        <f t="shared" si="8"/>
        <v>505.65858661379735</v>
      </c>
      <c r="BI29" s="59">
        <f ca="1">AVERAGE(OFFSET($BH$3,0,0,'Données projet'!$E$11+1,1))-AVERAGE(OFFSET($H$3,0,0,'Données projet'!$E$11+1,1))</f>
        <v>268.27008134105046</v>
      </c>
      <c r="BJ29" s="59">
        <f t="shared" si="38"/>
        <v>252.36274686619709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28.819999999999993</v>
      </c>
      <c r="N30" s="13">
        <f>IF('Données projet'!$A$36&gt;35,N29+M30-V29,IF(A30&lt;'Données projet'!$A$36,$K$205^A30,IF(A30='Données projet'!$A$36,'Données projet'!$B$36,N29+M30-V29)))</f>
        <v>324.23</v>
      </c>
      <c r="O30" s="13">
        <f>N30*VLOOKUP('Données projet'!$B$9,Paramètres!$A$1:$I$89,3,0)*VLOOKUP('Données projet'!$B$9,Paramètres!$A$1:$I$89,5,0)</f>
        <v>181.24457000000001</v>
      </c>
      <c r="P30" s="13">
        <f t="shared" si="33"/>
        <v>45.598968922238527</v>
      </c>
      <c r="Q30" s="20">
        <f t="shared" si="2"/>
        <v>395.08583028956542</v>
      </c>
      <c r="R30" s="59">
        <f t="shared" si="0"/>
        <v>688.41916362289874</v>
      </c>
      <c r="S30" s="59">
        <f ca="1">AVERAGE(OFFSET($R$3,0,0,'Données projet'!$E$9+1,1))-AVERAGE(OFFSET($H$3,0,0,'Données projet'!$E$9+1,1))</f>
        <v>350.01600895263641</v>
      </c>
      <c r="T30" s="59">
        <f t="shared" si="34"/>
        <v>464.08921044376882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19.210758561661205</v>
      </c>
      <c r="AB30" s="21">
        <f>EXP(-LN(2)/2)*AB29+(1-EXP(-LN(2)/2))/(LN(2)/2)*V30*Y30*VLOOKUP('Données projet'!$B$9,Paramètres!$A$1:$I$89,3,0)*0.475*44/12</f>
        <v>2.0928112945578095</v>
      </c>
      <c r="AC30" s="22">
        <f t="shared" si="3"/>
        <v>21.303569856219013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16.666666666666668</v>
      </c>
      <c r="AI30" s="13">
        <f>IF('Données projet'!$A$62&gt;35,AI29+AH30-AQ29,IF(A30&lt;'Données projet'!$A$62,$AF$205^A30,IF(A30='Données projet'!$A$62,'Données projet'!$B$62,AI29+AH30-AQ29)))</f>
        <v>204.99999999999997</v>
      </c>
      <c r="AJ30" s="13">
        <f>AI30*VLOOKUP('Données projet'!$B$10,Paramètres!$A$1:$I$89,3,0)*VLOOKUP('Données projet'!$B$10,Paramètres!$A$1:$I$89,5,0)</f>
        <v>111.92999999999998</v>
      </c>
      <c r="AK30" s="13">
        <f t="shared" si="35"/>
        <v>29.785246291563833</v>
      </c>
      <c r="AL30" s="20">
        <f t="shared" si="4"/>
        <v>246.82072062447358</v>
      </c>
      <c r="AM30" s="59">
        <f t="shared" si="5"/>
        <v>540.15405395780692</v>
      </c>
      <c r="AN30" s="59">
        <f ca="1">AVERAGE(OFFSET($AM$3,0,0,'Données projet'!$E$10+1,1))-AVERAGE(OFFSET($H$3,0,0,'Données projet'!$E$10+1,1))</f>
        <v>159.92263609041913</v>
      </c>
      <c r="AO30" s="59">
        <f t="shared" si="36"/>
        <v>271.78119133009307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68.619964657451263</v>
      </c>
      <c r="AW30" s="21">
        <f>EXP(-LN(2)/2)*AW29+(1-EXP(-LN(2)/2))/(LN(2)/2)*AQ30*AT30*VLOOKUP('Données projet'!$B$10,Paramètres!$A$1:$I$89,3,0)*0.475*44/12</f>
        <v>7.1717065212323045E-2</v>
      </c>
      <c r="AX30" s="21">
        <f t="shared" si="6"/>
        <v>68.691681722663589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9.8000000000000007</v>
      </c>
      <c r="BD30" s="12">
        <f>IF('Données projet'!$A$88&gt;35,BD29+BC30-BL29,IF(A30&lt;'Données projet'!$A$88,$BA$205^A30,IF(A30='Données projet'!$A$88,'Données projet'!$B$88,BD29+BC30-BL29)))</f>
        <v>119.60000000000001</v>
      </c>
      <c r="BE30" s="13">
        <f>BD30*VLOOKUP('Données projet'!$B$11,Paramètres!$A$1:$I$89,3,0)*VLOOKUP('Données projet'!$B$11,Paramètres!$A$1:$I$89,5,0)</f>
        <v>104.48256000000002</v>
      </c>
      <c r="BF30" s="13">
        <f t="shared" si="37"/>
        <v>28.02716504477474</v>
      </c>
      <c r="BG30" s="20">
        <f t="shared" si="7"/>
        <v>230.78777111964939</v>
      </c>
      <c r="BH30" s="59">
        <f t="shared" si="8"/>
        <v>524.12110445298276</v>
      </c>
      <c r="BI30" s="59">
        <f ca="1">AVERAGE(OFFSET($BH$3,0,0,'Données projet'!$E$11+1,1))-AVERAGE(OFFSET($H$3,0,0,'Données projet'!$E$11+1,1))</f>
        <v>268.27008134105046</v>
      </c>
      <c r="BJ30" s="59">
        <f t="shared" si="38"/>
        <v>252.36274686619709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28.819999999999993</v>
      </c>
      <c r="N31" s="13">
        <f>IF('Données projet'!$A$36&gt;35,N30+M31-V30,IF(A31&lt;'Données projet'!$A$36,$K$205^A31,IF(A31='Données projet'!$A$36,'Données projet'!$B$36,N30+M31-V30)))</f>
        <v>353.05</v>
      </c>
      <c r="O31" s="13">
        <f>N31*VLOOKUP('Données projet'!$B$9,Paramètres!$A$1:$I$89,3,0)*VLOOKUP('Données projet'!$B$9,Paramètres!$A$1:$I$89,5,0)</f>
        <v>197.35495</v>
      </c>
      <c r="P31" s="13">
        <f t="shared" si="33"/>
        <v>49.162416141827357</v>
      </c>
      <c r="Q31" s="20">
        <f t="shared" si="2"/>
        <v>429.35107936368263</v>
      </c>
      <c r="R31" s="59">
        <f t="shared" si="0"/>
        <v>722.68441269701589</v>
      </c>
      <c r="S31" s="59">
        <f ca="1">AVERAGE(OFFSET($R$3,0,0,'Données projet'!$E$9+1,1))-AVERAGE(OFFSET($H$3,0,0,'Données projet'!$E$9+1,1))</f>
        <v>350.01600895263641</v>
      </c>
      <c r="T31" s="59">
        <f t="shared" si="34"/>
        <v>464.08921044376882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18.685439358542695</v>
      </c>
      <c r="AB31" s="21">
        <f>EXP(-LN(2)/2)*AB30+(1-EXP(-LN(2)/2))/(LN(2)/2)*V31*Y31*VLOOKUP('Données projet'!$B$9,Paramètres!$A$1:$I$89,3,0)*0.475*44/12</f>
        <v>1.4798410581256243</v>
      </c>
      <c r="AC31" s="22">
        <f t="shared" si="3"/>
        <v>20.16528041666832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16.666666666666668</v>
      </c>
      <c r="AI31" s="13">
        <f>IF('Données projet'!$A$62&gt;35,AI30+AH31-AQ30,IF(A31&lt;'Données projet'!$A$62,$AF$205^A31,IF(A31='Données projet'!$A$62,'Données projet'!$B$62,AI30+AH31-AQ30)))</f>
        <v>221.66666666666663</v>
      </c>
      <c r="AJ31" s="13">
        <f>AI31*VLOOKUP('Données projet'!$B$10,Paramètres!$A$1:$I$89,3,0)*VLOOKUP('Données projet'!$B$10,Paramètres!$A$1:$I$89,5,0)</f>
        <v>121.02999999999997</v>
      </c>
      <c r="AK31" s="13">
        <f t="shared" si="35"/>
        <v>31.915110254002617</v>
      </c>
      <c r="AL31" s="20">
        <f t="shared" si="4"/>
        <v>266.3794003590545</v>
      </c>
      <c r="AM31" s="59">
        <f t="shared" si="5"/>
        <v>559.71273369238781</v>
      </c>
      <c r="AN31" s="59">
        <f ca="1">AVERAGE(OFFSET($AM$3,0,0,'Données projet'!$E$10+1,1))-AVERAGE(OFFSET($H$3,0,0,'Données projet'!$E$10+1,1))</f>
        <v>159.92263609041913</v>
      </c>
      <c r="AO31" s="59">
        <f t="shared" si="36"/>
        <v>271.78119133009307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66.743548115326149</v>
      </c>
      <c r="AW31" s="21">
        <f>EXP(-LN(2)/2)*AW30+(1-EXP(-LN(2)/2))/(LN(2)/2)*AQ31*AT31*VLOOKUP('Données projet'!$B$10,Paramètres!$A$1:$I$89,3,0)*0.475*44/12</f>
        <v>5.0711623138431472E-2</v>
      </c>
      <c r="AX31" s="21">
        <f t="shared" si="6"/>
        <v>66.794259738464575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9.8000000000000007</v>
      </c>
      <c r="BD31" s="12">
        <f>IF('Données projet'!$A$88&gt;35,BD30+BC31-BL30,IF(A31&lt;'Données projet'!$A$88,$BA$205^A31,IF(A31='Données projet'!$A$88,'Données projet'!$B$88,BD30+BC31-BL30)))</f>
        <v>129.4</v>
      </c>
      <c r="BE31" s="13">
        <f>BD31*VLOOKUP('Données projet'!$B$11,Paramètres!$A$1:$I$89,3,0)*VLOOKUP('Données projet'!$B$11,Paramètres!$A$1:$I$89,5,0)</f>
        <v>113.04384000000002</v>
      </c>
      <c r="BF31" s="13">
        <f t="shared" si="37"/>
        <v>30.046993788338579</v>
      </c>
      <c r="BG31" s="20">
        <f t="shared" si="7"/>
        <v>249.2165355146897</v>
      </c>
      <c r="BH31" s="59">
        <f t="shared" si="8"/>
        <v>542.54986884802304</v>
      </c>
      <c r="BI31" s="59">
        <f ca="1">AVERAGE(OFFSET($BH$3,0,0,'Données projet'!$E$11+1,1))-AVERAGE(OFFSET($H$3,0,0,'Données projet'!$E$11+1,1))</f>
        <v>268.27008134105046</v>
      </c>
      <c r="BJ31" s="59">
        <f t="shared" si="38"/>
        <v>252.36274686619709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28.819999999999993</v>
      </c>
      <c r="N32" s="13">
        <f>IF('Données projet'!$A$36&gt;35,N31+M32-V31,IF(A32&lt;'Données projet'!$A$36,$K$205^A32,IF(A32='Données projet'!$A$36,'Données projet'!$B$36,N31+M32-V31)))</f>
        <v>381.87</v>
      </c>
      <c r="O32" s="13">
        <f>N32*VLOOKUP('Données projet'!$B$9,Paramètres!$A$1:$I$89,3,0)*VLOOKUP('Données projet'!$B$9,Paramètres!$A$1:$I$89,5,0)</f>
        <v>213.46533000000002</v>
      </c>
      <c r="P32" s="13">
        <f t="shared" si="33"/>
        <v>52.692124649376929</v>
      </c>
      <c r="Q32" s="20">
        <f t="shared" si="2"/>
        <v>463.55756684766487</v>
      </c>
      <c r="R32" s="59">
        <f t="shared" si="0"/>
        <v>756.89090018099819</v>
      </c>
      <c r="S32" s="59">
        <f ca="1">AVERAGE(OFFSET($R$3,0,0,'Données projet'!$E$9+1,1))-AVERAGE(OFFSET($H$3,0,0,'Données projet'!$E$9+1,1))</f>
        <v>350.01600895263641</v>
      </c>
      <c r="T32" s="59">
        <f t="shared" si="34"/>
        <v>464.08921044376882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18.174485036658794</v>
      </c>
      <c r="AB32" s="21">
        <f>EXP(-LN(2)/2)*AB31+(1-EXP(-LN(2)/2))/(LN(2)/2)*V32*Y32*VLOOKUP('Données projet'!$B$9,Paramètres!$A$1:$I$89,3,0)*0.475*44/12</f>
        <v>1.0464056472789047</v>
      </c>
      <c r="AC32" s="22">
        <f t="shared" si="3"/>
        <v>19.2208906839377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16.666666666666668</v>
      </c>
      <c r="AI32" s="13">
        <f>IF('Données projet'!$A$62&gt;35,AI31+AH32-AQ31,IF(A32&lt;'Données projet'!$A$62,$AF$205^A32,IF(A32='Données projet'!$A$62,'Données projet'!$B$62,AI31+AH32-AQ31)))</f>
        <v>238.33333333333329</v>
      </c>
      <c r="AJ32" s="13">
        <f>AI32*VLOOKUP('Données projet'!$B$10,Paramètres!$A$1:$I$89,3,0)*VLOOKUP('Données projet'!$B$10,Paramètres!$A$1:$I$89,5,0)</f>
        <v>130.12999999999997</v>
      </c>
      <c r="AK32" s="13">
        <f t="shared" si="35"/>
        <v>34.026396767825609</v>
      </c>
      <c r="AL32" s="20">
        <f t="shared" si="4"/>
        <v>285.90572437062957</v>
      </c>
      <c r="AM32" s="59">
        <f t="shared" si="5"/>
        <v>579.23905770396289</v>
      </c>
      <c r="AN32" s="59">
        <f ca="1">AVERAGE(OFFSET($AM$3,0,0,'Données projet'!$E$10+1,1))-AVERAGE(OFFSET($H$3,0,0,'Données projet'!$E$10+1,1))</f>
        <v>159.92263609041913</v>
      </c>
      <c r="AO32" s="59">
        <f t="shared" si="36"/>
        <v>271.78119133009307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64.918442282221903</v>
      </c>
      <c r="AW32" s="21">
        <f>EXP(-LN(2)/2)*AW31+(1-EXP(-LN(2)/2))/(LN(2)/2)*AQ32*AT32*VLOOKUP('Données projet'!$B$10,Paramètres!$A$1:$I$89,3,0)*0.475*44/12</f>
        <v>3.5858532606161522E-2</v>
      </c>
      <c r="AX32" s="21">
        <f t="shared" si="6"/>
        <v>64.954300814828059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9.8000000000000007</v>
      </c>
      <c r="BD32" s="12">
        <f>IF('Données projet'!$A$88&gt;35,BD31+BC32-BL31,IF(A32&lt;'Données projet'!$A$88,$BA$205^A32,IF(A32='Données projet'!$A$88,'Données projet'!$B$88,BD31+BC32-BL31)))</f>
        <v>139.20000000000002</v>
      </c>
      <c r="BE32" s="13">
        <f>BD32*VLOOKUP('Données projet'!$B$11,Paramètres!$A$1:$I$89,3,0)*VLOOKUP('Données projet'!$B$11,Paramètres!$A$1:$I$89,5,0)</f>
        <v>121.60512000000003</v>
      </c>
      <c r="BF32" s="13">
        <f t="shared" si="37"/>
        <v>32.049077176455789</v>
      </c>
      <c r="BG32" s="20">
        <f t="shared" si="7"/>
        <v>267.61439341566057</v>
      </c>
      <c r="BH32" s="59">
        <f t="shared" si="8"/>
        <v>560.94772674899389</v>
      </c>
      <c r="BI32" s="59">
        <f ca="1">AVERAGE(OFFSET($BH$3,0,0,'Données projet'!$E$11+1,1))-AVERAGE(OFFSET($H$3,0,0,'Données projet'!$E$11+1,1))</f>
        <v>268.27008134105046</v>
      </c>
      <c r="BJ32" s="59">
        <f t="shared" si="38"/>
        <v>252.36274686619709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410.69</v>
      </c>
      <c r="L33" s="12">
        <f>VLOOKUP(A33,'Données projet'!$A$35:$I$55,9,0)</f>
        <v>28.819999999999993</v>
      </c>
      <c r="M33" s="12">
        <f t="array" ref="M33">INDEX(L:L,MIN(IF(ISNUMBER(L33:L229),ROW(L33:L229),"")))</f>
        <v>28.819999999999993</v>
      </c>
      <c r="N33" s="13">
        <f>IF('Données projet'!$A$36&gt;35,N32+M33-V32,IF(A33&lt;'Données projet'!$A$36,$K$205^A33,IF(A33='Données projet'!$A$36,'Données projet'!$B$36,N32+M33-V32)))</f>
        <v>410.69</v>
      </c>
      <c r="O33" s="13">
        <f>N33*VLOOKUP('Données projet'!$B$9,Paramètres!$A$1:$I$89,3,0)*VLOOKUP('Données projet'!$B$9,Paramètres!$A$1:$I$89,5,0)</f>
        <v>229.57571000000002</v>
      </c>
      <c r="P33" s="13">
        <f t="shared" si="33"/>
        <v>56.190930256761952</v>
      </c>
      <c r="Q33" s="20">
        <f t="shared" si="2"/>
        <v>497.71023178052701</v>
      </c>
      <c r="R33" s="59">
        <f t="shared" si="0"/>
        <v>791.04356511386027</v>
      </c>
      <c r="S33" s="59">
        <f ca="1">AVERAGE(OFFSET($R$3,0,0,'Données projet'!$E$9+1,1))-AVERAGE(OFFSET($H$3,0,0,'Données projet'!$E$9+1,1))</f>
        <v>350.01600895263641</v>
      </c>
      <c r="T33" s="59">
        <f t="shared" si="34"/>
        <v>464.08921044376882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80.97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50.571271540152075</v>
      </c>
      <c r="AB33" s="21">
        <f>EXP(-LN(2)/2)*AB32+(1-EXP(-LN(2)/2))/(LN(2)/2)*V33*Y33*VLOOKUP('Données projet'!$B$9,Paramètres!$A$1:$I$89,3,0)*0.475*44/12</f>
        <v>0.73992052906281214</v>
      </c>
      <c r="AC33" s="22">
        <f t="shared" si="3"/>
        <v>51.31119206921489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255</v>
      </c>
      <c r="AG33" s="12">
        <f>VLOOKUP(A33,'Données projet'!$A$61:$I$81,9,0)</f>
        <v>16.666666666666668</v>
      </c>
      <c r="AH33" s="12">
        <f t="array" ref="AH33">INDEX(AG:AG,MIN(IF(ISNUMBER(AG33:AG229),ROW(AG33:AG229),"")))</f>
        <v>16.666666666666668</v>
      </c>
      <c r="AI33" s="13">
        <f>IF('Données projet'!$A$62&gt;35,AI32+AH33-AQ32,IF(A33&lt;'Données projet'!$A$62,$AF$205^A33,IF(A33='Données projet'!$A$62,'Données projet'!$B$62,AI32+AH33-AQ32)))</f>
        <v>254.99999999999994</v>
      </c>
      <c r="AJ33" s="13">
        <f>AI33*VLOOKUP('Données projet'!$B$10,Paramètres!$A$1:$I$89,3,0)*VLOOKUP('Données projet'!$B$10,Paramètres!$A$1:$I$89,5,0)</f>
        <v>139.22999999999996</v>
      </c>
      <c r="AK33" s="13">
        <f t="shared" si="35"/>
        <v>36.120552727378737</v>
      </c>
      <c r="AL33" s="20">
        <f t="shared" si="4"/>
        <v>305.4022126668512</v>
      </c>
      <c r="AM33" s="59">
        <f t="shared" si="5"/>
        <v>598.73554600018451</v>
      </c>
      <c r="AN33" s="59">
        <f ca="1">AVERAGE(OFFSET($AM$3,0,0,'Données projet'!$E$10+1,1))-AVERAGE(OFFSET($H$3,0,0,'Données projet'!$E$10+1,1))</f>
        <v>159.92263609041913</v>
      </c>
      <c r="AO33" s="59">
        <f t="shared" si="36"/>
        <v>271.78119133009307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76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0.6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96.041470361437277</v>
      </c>
      <c r="AW33" s="21">
        <f>EXP(-LN(2)/2)*AW32+(1-EXP(-LN(2)/2))/(LN(2)/2)*AQ33*AT33*VLOOKUP('Données projet'!$B$10,Paramètres!$A$1:$I$89,3,0)*0.475*44/12</f>
        <v>2.5355811569215736E-2</v>
      </c>
      <c r="AX33" s="21">
        <f t="shared" si="6"/>
        <v>96.06682617300649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149</v>
      </c>
      <c r="BB33" s="12">
        <f>VLOOKUP(A33,'Données projet'!$A$87:$I$107,9,0)</f>
        <v>9.8000000000000007</v>
      </c>
      <c r="BC33" s="12">
        <f t="array" ref="BC33">INDEX(BB:BB,MIN(IF(ISNUMBER(BB33:BB229),ROW(BB33:BB229),"")))</f>
        <v>9.8000000000000007</v>
      </c>
      <c r="BD33" s="12">
        <f>IF('Données projet'!$A$88&gt;35,BD32+BC33-BL32,IF(A33&lt;'Données projet'!$A$88,$BA$205^A33,IF(A33='Données projet'!$A$88,'Données projet'!$B$88,BD32+BC33-BL32)))</f>
        <v>149.00000000000003</v>
      </c>
      <c r="BE33" s="13">
        <f>BD33*VLOOKUP('Données projet'!$B$11,Paramètres!$A$1:$I$89,3,0)*VLOOKUP('Données projet'!$B$11,Paramètres!$A$1:$I$89,5,0)</f>
        <v>130.16640000000004</v>
      </c>
      <c r="BF33" s="13">
        <f t="shared" si="37"/>
        <v>34.034806623706302</v>
      </c>
      <c r="BG33" s="20">
        <f t="shared" si="7"/>
        <v>285.98376820295522</v>
      </c>
      <c r="BH33" s="59">
        <f t="shared" si="8"/>
        <v>579.31710153628853</v>
      </c>
      <c r="BI33" s="59">
        <f ca="1">AVERAGE(OFFSET($BH$3,0,0,'Données projet'!$E$11+1,1))-AVERAGE(OFFSET($H$3,0,0,'Données projet'!$E$11+1,1))</f>
        <v>268.27008134105046</v>
      </c>
      <c r="BJ33" s="59">
        <f t="shared" si="38"/>
        <v>252.36274686619709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27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28.661666666666662</v>
      </c>
      <c r="N34" s="13">
        <f>IF('Données projet'!$A$36&gt;35,N33+M34-V33,IF(A34&lt;'Données projet'!$A$36,$K$205^A34,IF(A34='Données projet'!$A$36,'Données projet'!$B$36,N33+M34-V33)))</f>
        <v>358.38166666666666</v>
      </c>
      <c r="O34" s="13">
        <f>N34*VLOOKUP('Données projet'!$B$9,Paramètres!$A$1:$I$89,3,0)*VLOOKUP('Données projet'!$B$9,Paramètres!$A$1:$I$89,5,0)</f>
        <v>200.33535166666667</v>
      </c>
      <c r="P34" s="13">
        <f t="shared" si="33"/>
        <v>49.817860683914162</v>
      </c>
      <c r="Q34" s="20">
        <f t="shared" si="2"/>
        <v>435.68351151059488</v>
      </c>
      <c r="R34" s="59">
        <f t="shared" si="0"/>
        <v>729.0168448439282</v>
      </c>
      <c r="S34" s="59">
        <f ca="1">AVERAGE(OFFSET($R$3,0,0,'Données projet'!$E$9+1,1))-AVERAGE(OFFSET($H$3,0,0,'Données projet'!$E$9+1,1))</f>
        <v>350.01600895263641</v>
      </c>
      <c r="T34" s="59">
        <f t="shared" si="34"/>
        <v>464.08921044376882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49.188397460459029</v>
      </c>
      <c r="AB34" s="21">
        <f>EXP(-LN(2)/2)*AB33+(1-EXP(-LN(2)/2))/(LN(2)/2)*V34*Y34*VLOOKUP('Données projet'!$B$9,Paramètres!$A$1:$I$89,3,0)*0.475*44/12</f>
        <v>0.52320282363945236</v>
      </c>
      <c r="AC34" s="22">
        <f t="shared" si="3"/>
        <v>49.711600284098481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</v>
      </c>
      <c r="AI34" s="13">
        <f>IF('Données projet'!$A$62&gt;35,AI33+AH34-AQ33,IF(A34&lt;'Données projet'!$A$62,$AF$205^A34,IF(A34='Données projet'!$A$62,'Données projet'!$B$62,AI33+AH34-AQ33)))</f>
        <v>193.99999999999994</v>
      </c>
      <c r="AJ34" s="13">
        <f>AI34*VLOOKUP('Données projet'!$B$10,Paramètres!$A$1:$I$89,3,0)*VLOOKUP('Données projet'!$B$10,Paramètres!$A$1:$I$89,5,0)</f>
        <v>105.92399999999998</v>
      </c>
      <c r="AK34" s="13">
        <f t="shared" si="35"/>
        <v>28.36854701055546</v>
      </c>
      <c r="AL34" s="20">
        <f t="shared" si="4"/>
        <v>233.89285271005073</v>
      </c>
      <c r="AM34" s="59">
        <f t="shared" si="5"/>
        <v>527.22618604338402</v>
      </c>
      <c r="AN34" s="59">
        <f ca="1">AVERAGE(OFFSET($AM$3,0,0,'Données projet'!$E$10+1,1))-AVERAGE(OFFSET($H$3,0,0,'Données projet'!$E$10+1,1))</f>
        <v>159.92263609041913</v>
      </c>
      <c r="AO34" s="59">
        <f t="shared" si="36"/>
        <v>271.78119133009307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93.415211303802351</v>
      </c>
      <c r="AW34" s="21">
        <f>EXP(-LN(2)/2)*AW33+(1-EXP(-LN(2)/2))/(LN(2)/2)*AQ34*AT34*VLOOKUP('Données projet'!$B$10,Paramètres!$A$1:$I$89,3,0)*0.475*44/12</f>
        <v>1.7929266303080761E-2</v>
      </c>
      <c r="AX34" s="21">
        <f t="shared" si="6"/>
        <v>93.433140570105436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9.1999999999999993</v>
      </c>
      <c r="BD34" s="12">
        <f>IF('Données projet'!$A$88&gt;35,BD33+BC34-BL33,IF(A34&lt;'Données projet'!$A$88,$BA$205^A34,IF(A34='Données projet'!$A$88,'Données projet'!$B$88,BD33+BC34-BL33)))</f>
        <v>131.20000000000002</v>
      </c>
      <c r="BE34" s="13">
        <f>BD34*VLOOKUP('Données projet'!$B$11,Paramètres!$A$1:$I$89,3,0)*VLOOKUP('Données projet'!$B$11,Paramètres!$A$1:$I$89,5,0)</f>
        <v>114.61632000000004</v>
      </c>
      <c r="BF34" s="13">
        <f t="shared" si="37"/>
        <v>30.416009647934409</v>
      </c>
      <c r="BG34" s="20">
        <f t="shared" si="7"/>
        <v>252.59797413681915</v>
      </c>
      <c r="BH34" s="59">
        <f t="shared" si="8"/>
        <v>545.93130747015243</v>
      </c>
      <c r="BI34" s="59">
        <f ca="1">AVERAGE(OFFSET($BH$3,0,0,'Données projet'!$E$11+1,1))-AVERAGE(OFFSET($H$3,0,0,'Données projet'!$E$11+1,1))</f>
        <v>268.27008134105046</v>
      </c>
      <c r="BJ34" s="59">
        <f t="shared" si="38"/>
        <v>252.36274686619709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28.661666666666662</v>
      </c>
      <c r="N35" s="13">
        <f>IF('Données projet'!$A$36&gt;35,N34+M35-V34,IF(A35&lt;'Données projet'!$A$36,$K$205^A35,IF(A35='Données projet'!$A$36,'Données projet'!$B$36,N34+M35-V34)))</f>
        <v>387.04333333333329</v>
      </c>
      <c r="O35" s="13">
        <f>N35*VLOOKUP('Données projet'!$B$9,Paramètres!$A$1:$I$89,3,0)*VLOOKUP('Données projet'!$B$9,Paramètres!$A$1:$I$89,5,0)</f>
        <v>216.35722333333334</v>
      </c>
      <c r="P35" s="13">
        <f t="shared" si="33"/>
        <v>53.322378483830668</v>
      </c>
      <c r="Q35" s="20">
        <f t="shared" ref="Q35:Q66" si="53">(O35+P35)*0.475*44/12</f>
        <v>469.69197316489391</v>
      </c>
      <c r="R35" s="59">
        <f t="shared" si="0"/>
        <v>763.02530649822722</v>
      </c>
      <c r="S35" s="59">
        <f ca="1">AVERAGE(OFFSET($R$3,0,0,'Données projet'!$E$9+1,1))-AVERAGE(OFFSET($H$3,0,0,'Données projet'!$E$9+1,1))</f>
        <v>350.01600895263641</v>
      </c>
      <c r="T35" s="59">
        <f t="shared" si="34"/>
        <v>464.08921044376882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47.843338145197379</v>
      </c>
      <c r="AB35" s="21">
        <f>EXP(-LN(2)/2)*AB34+(1-EXP(-LN(2)/2))/(LN(2)/2)*V35*Y35*VLOOKUP('Données projet'!$B$9,Paramètres!$A$1:$I$89,3,0)*0.475*44/12</f>
        <v>0.36996026453140607</v>
      </c>
      <c r="AC35" s="22">
        <f t="shared" si="3"/>
        <v>48.213298409728786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</v>
      </c>
      <c r="AI35" s="13">
        <f>IF('Données projet'!$A$62&gt;35,AI34+AH35-AQ34,IF(A35&lt;'Données projet'!$A$62,$AF$205^A35,IF(A35='Données projet'!$A$62,'Données projet'!$B$62,AI34+AH35-AQ34)))</f>
        <v>208.99999999999994</v>
      </c>
      <c r="AJ35" s="13">
        <f>AI35*VLOOKUP('Données projet'!$B$10,Paramètres!$A$1:$I$89,3,0)*VLOOKUP('Données projet'!$B$10,Paramètres!$A$1:$I$89,5,0)</f>
        <v>114.11399999999996</v>
      </c>
      <c r="AK35" s="13">
        <f t="shared" si="35"/>
        <v>30.298194021728271</v>
      </c>
      <c r="AL35" s="20">
        <f t="shared" si="4"/>
        <v>251.5179045878433</v>
      </c>
      <c r="AM35" s="59">
        <f t="shared" si="5"/>
        <v>544.85123792117656</v>
      </c>
      <c r="AN35" s="59">
        <f ca="1">AVERAGE(OFFSET($AM$3,0,0,'Données projet'!$E$10+1,1))-AVERAGE(OFFSET($H$3,0,0,'Données projet'!$E$10+1,1))</f>
        <v>159.92263609041913</v>
      </c>
      <c r="AO35" s="59">
        <f t="shared" si="36"/>
        <v>271.78119133009307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90.860767438207418</v>
      </c>
      <c r="AW35" s="21">
        <f>EXP(-LN(2)/2)*AW34+(1-EXP(-LN(2)/2))/(LN(2)/2)*AQ35*AT35*VLOOKUP('Données projet'!$B$10,Paramètres!$A$1:$I$89,3,0)*0.475*44/12</f>
        <v>1.2677905784607868E-2</v>
      </c>
      <c r="AX35" s="21">
        <f t="shared" si="6"/>
        <v>90.873445343992032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9.1999999999999993</v>
      </c>
      <c r="BD35" s="12">
        <f>IF('Données projet'!$A$88&gt;35,BD34+BC35-BL34,IF(A35&lt;'Données projet'!$A$88,$BA$205^A35,IF(A35='Données projet'!$A$88,'Données projet'!$B$88,BD34+BC35-BL34)))</f>
        <v>140.4</v>
      </c>
      <c r="BE35" s="13">
        <f>BD35*VLOOKUP('Données projet'!$B$11,Paramètres!$A$1:$I$89,3,0)*VLOOKUP('Données projet'!$B$11,Paramètres!$A$1:$I$89,5,0)</f>
        <v>122.65344000000002</v>
      </c>
      <c r="BF35" s="13">
        <f t="shared" si="37"/>
        <v>32.293080640759037</v>
      </c>
      <c r="BG35" s="20">
        <f t="shared" si="7"/>
        <v>269.8651901159887</v>
      </c>
      <c r="BH35" s="59">
        <f t="shared" si="8"/>
        <v>563.19852344932201</v>
      </c>
      <c r="BI35" s="59">
        <f ca="1">AVERAGE(OFFSET($BH$3,0,0,'Données projet'!$E$11+1,1))-AVERAGE(OFFSET($H$3,0,0,'Données projet'!$E$11+1,1))</f>
        <v>268.27008134105046</v>
      </c>
      <c r="BJ35" s="59">
        <f t="shared" si="38"/>
        <v>252.36274686619709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28.661666666666662</v>
      </c>
      <c r="N36" s="13">
        <f>IF('Données projet'!$A$36&gt;35,N35+M36-V35,IF(A36&lt;'Données projet'!$A$36,$K$205^A36,IF(A36='Données projet'!$A$36,'Données projet'!$B$36,N35+M36-V35)))</f>
        <v>415.70499999999993</v>
      </c>
      <c r="O36" s="13">
        <f>N36*VLOOKUP('Données projet'!$B$9,Paramètres!$A$1:$I$89,3,0)*VLOOKUP('Données projet'!$B$9,Paramètres!$A$1:$I$89,5,0)</f>
        <v>232.37909499999998</v>
      </c>
      <c r="P36" s="13">
        <f t="shared" si="33"/>
        <v>56.796788993130136</v>
      </c>
      <c r="Q36" s="20">
        <f t="shared" si="53"/>
        <v>503.64799795470162</v>
      </c>
      <c r="R36" s="59">
        <f t="shared" si="0"/>
        <v>796.98133128803488</v>
      </c>
      <c r="S36" s="59">
        <f ca="1">AVERAGE(OFFSET($R$3,0,0,'Données projet'!$E$9+1,1))-AVERAGE(OFFSET($H$3,0,0,'Données projet'!$E$9+1,1))</f>
        <v>350.01600895263641</v>
      </c>
      <c r="T36" s="59">
        <f t="shared" si="34"/>
        <v>464.08921044376882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46.535059547645147</v>
      </c>
      <c r="AB36" s="21">
        <f>EXP(-LN(2)/2)*AB35+(1-EXP(-LN(2)/2))/(LN(2)/2)*V36*Y36*VLOOKUP('Données projet'!$B$9,Paramètres!$A$1:$I$89,3,0)*0.475*44/12</f>
        <v>0.26160141181972618</v>
      </c>
      <c r="AC36" s="22">
        <f t="shared" si="3"/>
        <v>46.796660959464873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</v>
      </c>
      <c r="AI36" s="13">
        <f>IF('Données projet'!$A$62&gt;35,AI35+AH36-AQ35,IF(A36&lt;'Données projet'!$A$62,$AF$205^A36,IF(A36='Données projet'!$A$62,'Données projet'!$B$62,AI35+AH36-AQ35)))</f>
        <v>223.99999999999994</v>
      </c>
      <c r="AJ36" s="13">
        <f>AI36*VLOOKUP('Données projet'!$B$10,Paramètres!$A$1:$I$89,3,0)*VLOOKUP('Données projet'!$B$10,Paramètres!$A$1:$I$89,5,0)</f>
        <v>122.30399999999996</v>
      </c>
      <c r="AK36" s="13">
        <f t="shared" si="35"/>
        <v>32.211773226559373</v>
      </c>
      <c r="AL36" s="20">
        <f t="shared" si="4"/>
        <v>269.11497170292415</v>
      </c>
      <c r="AM36" s="59">
        <f t="shared" si="5"/>
        <v>562.44830503625747</v>
      </c>
      <c r="AN36" s="59">
        <f ca="1">AVERAGE(OFFSET($AM$3,0,0,'Données projet'!$E$10+1,1))-AVERAGE(OFFSET($H$3,0,0,'Données projet'!$E$10+1,1))</f>
        <v>159.92263609041913</v>
      </c>
      <c r="AO36" s="59">
        <f t="shared" si="36"/>
        <v>271.78119133009307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88.37617497444954</v>
      </c>
      <c r="AW36" s="21">
        <f>EXP(-LN(2)/2)*AW35+(1-EXP(-LN(2)/2))/(LN(2)/2)*AQ36*AT36*VLOOKUP('Données projet'!$B$10,Paramètres!$A$1:$I$89,3,0)*0.475*44/12</f>
        <v>8.9646331515403806E-3</v>
      </c>
      <c r="AX36" s="21">
        <f t="shared" si="6"/>
        <v>88.385139607601076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9.1999999999999993</v>
      </c>
      <c r="BD36" s="12">
        <f>IF('Données projet'!$A$88&gt;35,BD35+BC36-BL35,IF(A36&lt;'Données projet'!$A$88,$BA$205^A36,IF(A36='Données projet'!$A$88,'Données projet'!$B$88,BD35+BC36-BL35)))</f>
        <v>149.6</v>
      </c>
      <c r="BE36" s="13">
        <f>BD36*VLOOKUP('Données projet'!$B$11,Paramètres!$A$1:$I$89,3,0)*VLOOKUP('Données projet'!$B$11,Paramètres!$A$1:$I$89,5,0)</f>
        <v>130.69056000000003</v>
      </c>
      <c r="BF36" s="13">
        <f t="shared" si="37"/>
        <v>34.155878238422723</v>
      </c>
      <c r="BG36" s="20">
        <f t="shared" si="7"/>
        <v>287.10754659858628</v>
      </c>
      <c r="BH36" s="59">
        <f t="shared" si="8"/>
        <v>580.44087993191965</v>
      </c>
      <c r="BI36" s="59">
        <f ca="1">AVERAGE(OFFSET($BH$3,0,0,'Données projet'!$E$11+1,1))-AVERAGE(OFFSET($H$3,0,0,'Données projet'!$E$11+1,1))</f>
        <v>268.27008134105046</v>
      </c>
      <c r="BJ36" s="59">
        <f t="shared" si="38"/>
        <v>252.36274686619709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28.661666666666662</v>
      </c>
      <c r="N37" s="13">
        <f>IF('Données projet'!$A$36&gt;35,N36+M37-V36,IF(A37&lt;'Données projet'!$A$36,$K$205^A37,IF(A37='Données projet'!$A$36,'Données projet'!$B$36,N36+M37-V36)))</f>
        <v>444.36666666666656</v>
      </c>
      <c r="O37" s="13">
        <f>N37*VLOOKUP('Données projet'!$B$9,Paramètres!$A$1:$I$89,3,0)*VLOOKUP('Données projet'!$B$9,Paramètres!$A$1:$I$89,5,0)</f>
        <v>248.40096666666662</v>
      </c>
      <c r="P37" s="13">
        <f t="shared" si="33"/>
        <v>60.243404162664191</v>
      </c>
      <c r="Q37" s="20">
        <f t="shared" si="53"/>
        <v>537.55561252775112</v>
      </c>
      <c r="R37" s="59">
        <f t="shared" si="0"/>
        <v>830.88894586108449</v>
      </c>
      <c r="S37" s="59">
        <f ca="1">AVERAGE(OFFSET($R$3,0,0,'Données projet'!$E$9+1,1))-AVERAGE(OFFSET($H$3,0,0,'Données projet'!$E$9+1,1))</f>
        <v>350.01600895263641</v>
      </c>
      <c r="T37" s="59">
        <f t="shared" si="34"/>
        <v>464.08921044376882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45.26255589714237</v>
      </c>
      <c r="AB37" s="21">
        <f>EXP(-LN(2)/2)*AB36+(1-EXP(-LN(2)/2))/(LN(2)/2)*V37*Y37*VLOOKUP('Données projet'!$B$9,Paramètres!$A$1:$I$89,3,0)*0.475*44/12</f>
        <v>0.18498013226570303</v>
      </c>
      <c r="AC37" s="22">
        <f t="shared" si="3"/>
        <v>45.44753602940807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</v>
      </c>
      <c r="AI37" s="13">
        <f>IF('Données projet'!$A$62&gt;35,AI36+AH37-AQ36,IF(A37&lt;'Données projet'!$A$62,$AF$205^A37,IF(A37='Données projet'!$A$62,'Données projet'!$B$62,AI36+AH37-AQ36)))</f>
        <v>238.99999999999994</v>
      </c>
      <c r="AJ37" s="13">
        <f>AI37*VLOOKUP('Données projet'!$B$10,Paramètres!$A$1:$I$89,3,0)*VLOOKUP('Données projet'!$B$10,Paramètres!$A$1:$I$89,5,0)</f>
        <v>130.49399999999997</v>
      </c>
      <c r="AK37" s="13">
        <f t="shared" si="35"/>
        <v>34.110483018610772</v>
      </c>
      <c r="AL37" s="20">
        <f t="shared" si="4"/>
        <v>286.68614125741368</v>
      </c>
      <c r="AM37" s="59">
        <f t="shared" si="5"/>
        <v>580.019474590747</v>
      </c>
      <c r="AN37" s="59">
        <f ca="1">AVERAGE(OFFSET($AM$3,0,0,'Données projet'!$E$10+1,1))-AVERAGE(OFFSET($H$3,0,0,'Données projet'!$E$10+1,1))</f>
        <v>159.92263609041913</v>
      </c>
      <c r="AO37" s="59">
        <f t="shared" si="36"/>
        <v>271.78119133009307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85.95952382227216</v>
      </c>
      <c r="AW37" s="21">
        <f>EXP(-LN(2)/2)*AW36+(1-EXP(-LN(2)/2))/(LN(2)/2)*AQ37*AT37*VLOOKUP('Données projet'!$B$10,Paramètres!$A$1:$I$89,3,0)*0.475*44/12</f>
        <v>6.338952892303934E-3</v>
      </c>
      <c r="AX37" s="21">
        <f t="shared" si="6"/>
        <v>85.965862775164467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9.1999999999999993</v>
      </c>
      <c r="BD37" s="12">
        <f>IF('Données projet'!$A$88&gt;35,BD36+BC37-BL36,IF(A37&lt;'Données projet'!$A$88,$BA$205^A37,IF(A37='Données projet'!$A$88,'Données projet'!$B$88,BD36+BC37-BL36)))</f>
        <v>158.79999999999998</v>
      </c>
      <c r="BE37" s="13">
        <f>BD37*VLOOKUP('Données projet'!$B$11,Paramètres!$A$1:$I$89,3,0)*VLOOKUP('Données projet'!$B$11,Paramètres!$A$1:$I$89,5,0)</f>
        <v>138.72767999999999</v>
      </c>
      <c r="BF37" s="13">
        <f t="shared" si="37"/>
        <v>36.005380160492741</v>
      </c>
      <c r="BG37" s="20">
        <f t="shared" si="7"/>
        <v>304.32674644619152</v>
      </c>
      <c r="BH37" s="59">
        <f t="shared" si="8"/>
        <v>597.66007977952484</v>
      </c>
      <c r="BI37" s="59">
        <f ca="1">AVERAGE(OFFSET($BH$3,0,0,'Données projet'!$E$11+1,1))-AVERAGE(OFFSET($H$3,0,0,'Données projet'!$E$11+1,1))</f>
        <v>268.27008134105046</v>
      </c>
      <c r="BJ37" s="59">
        <f t="shared" si="38"/>
        <v>252.36274686619709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28.661666666666662</v>
      </c>
      <c r="N38" s="13">
        <f>IF('Données projet'!$A$36&gt;35,N37+M38-V37,IF(A38&lt;'Données projet'!$A$36,$K$205^A38,IF(A38='Données projet'!$A$36,'Données projet'!$B$36,N37+M38-V37)))</f>
        <v>473.02833333333319</v>
      </c>
      <c r="O38" s="13">
        <f>N38*VLOOKUP('Données projet'!$B$9,Paramètres!$A$1:$I$89,3,0)*VLOOKUP('Données projet'!$B$9,Paramètres!$A$1:$I$89,5,0)</f>
        <v>264.42283833333329</v>
      </c>
      <c r="P38" s="13">
        <f t="shared" si="33"/>
        <v>63.664220837814945</v>
      </c>
      <c r="Q38" s="20">
        <f t="shared" si="53"/>
        <v>571.41829472308314</v>
      </c>
      <c r="R38" s="59">
        <f t="shared" si="0"/>
        <v>864.75162805641639</v>
      </c>
      <c r="S38" s="59">
        <f ca="1">AVERAGE(OFFSET($R$3,0,0,'Données projet'!$E$9+1,1))-AVERAGE(OFFSET($H$3,0,0,'Données projet'!$E$9+1,1))</f>
        <v>350.01600895263641</v>
      </c>
      <c r="T38" s="59">
        <f t="shared" si="34"/>
        <v>464.08921044376882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44.024848925880647</v>
      </c>
      <c r="AB38" s="21">
        <f>EXP(-LN(2)/2)*AB37+(1-EXP(-LN(2)/2))/(LN(2)/2)*V38*Y38*VLOOKUP('Données projet'!$B$9,Paramètres!$A$1:$I$89,3,0)*0.475*44/12</f>
        <v>0.13080070590986309</v>
      </c>
      <c r="AC38" s="22">
        <f t="shared" si="3"/>
        <v>44.15564963179051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</v>
      </c>
      <c r="AI38" s="13">
        <f>IF('Données projet'!$A$62&gt;35,AI37+AH38-AQ37,IF(A38&lt;'Données projet'!$A$62,$AF$205^A38,IF(A38='Données projet'!$A$62,'Données projet'!$B$62,AI37+AH38-AQ37)))</f>
        <v>253.99999999999994</v>
      </c>
      <c r="AJ38" s="13">
        <f>AI38*VLOOKUP('Données projet'!$B$10,Paramètres!$A$1:$I$89,3,0)*VLOOKUP('Données projet'!$B$10,Paramètres!$A$1:$I$89,5,0)</f>
        <v>138.68399999999997</v>
      </c>
      <c r="AK38" s="13">
        <f t="shared" si="35"/>
        <v>35.995362862956796</v>
      </c>
      <c r="AL38" s="20">
        <f t="shared" si="4"/>
        <v>304.23322365298299</v>
      </c>
      <c r="AM38" s="59">
        <f t="shared" si="5"/>
        <v>597.5665569863163</v>
      </c>
      <c r="AN38" s="59">
        <f ca="1">AVERAGE(OFFSET($AM$3,0,0,'Données projet'!$E$10+1,1))-AVERAGE(OFFSET($H$3,0,0,'Données projet'!$E$10+1,1))</f>
        <v>159.92263609041913</v>
      </c>
      <c r="AO38" s="59">
        <f t="shared" si="36"/>
        <v>271.78119133009307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83.608956122937229</v>
      </c>
      <c r="AW38" s="21">
        <f>EXP(-LN(2)/2)*AW37+(1-EXP(-LN(2)/2))/(LN(2)/2)*AQ38*AT38*VLOOKUP('Données projet'!$B$10,Paramètres!$A$1:$I$89,3,0)*0.475*44/12</f>
        <v>4.4823165757701903E-3</v>
      </c>
      <c r="AX38" s="21">
        <f t="shared" si="6"/>
        <v>83.613438439513004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168</v>
      </c>
      <c r="BB38" s="12">
        <f>VLOOKUP(A38,'Données projet'!$A$87:$I$107,9,0)</f>
        <v>9.1999999999999993</v>
      </c>
      <c r="BC38" s="12">
        <f t="array" ref="BC38">INDEX(BB:BB,MIN(IF(ISNUMBER(BB38:BB234),ROW(BB38:BB234),"")))</f>
        <v>9.1999999999999993</v>
      </c>
      <c r="BD38" s="12">
        <f>IF('Données projet'!$A$88&gt;35,BD37+BC38-BL37,IF(A38&lt;'Données projet'!$A$88,$BA$205^A38,IF(A38='Données projet'!$A$88,'Données projet'!$B$88,BD37+BC38-BL37)))</f>
        <v>167.99999999999997</v>
      </c>
      <c r="BE38" s="13">
        <f>BD38*VLOOKUP('Données projet'!$B$11,Paramètres!$A$1:$I$89,3,0)*VLOOKUP('Données projet'!$B$11,Paramètres!$A$1:$I$89,5,0)</f>
        <v>146.76480000000001</v>
      </c>
      <c r="BF38" s="13">
        <f t="shared" si="37"/>
        <v>37.842444439956665</v>
      </c>
      <c r="BG38" s="20">
        <f t="shared" si="7"/>
        <v>321.52428406625785</v>
      </c>
      <c r="BH38" s="59">
        <f t="shared" si="8"/>
        <v>614.85761739959116</v>
      </c>
      <c r="BI38" s="59">
        <f ca="1">AVERAGE(OFFSET($BH$3,0,0,'Données projet'!$E$11+1,1))-AVERAGE(OFFSET($H$3,0,0,'Données projet'!$E$11+1,1))</f>
        <v>268.27008134105046</v>
      </c>
      <c r="BJ38" s="59">
        <f t="shared" si="38"/>
        <v>252.36274686619709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27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11.212228902531429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11.212228902531429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501.69</v>
      </c>
      <c r="L39" s="12">
        <f>VLOOKUP(A39,'Données projet'!$A$35:$I$55,9,0)</f>
        <v>28.661666666666662</v>
      </c>
      <c r="M39" s="12">
        <f t="array" ref="M39">INDEX(L:L,MIN(IF(ISNUMBER(L39:L235),ROW(L39:L235),"")))</f>
        <v>28.661666666666662</v>
      </c>
      <c r="N39" s="13">
        <f>IF('Données projet'!$A$36&gt;35,N38+M39-V38,IF(A39&lt;'Données projet'!$A$36,$K$205^A39,IF(A39='Données projet'!$A$36,'Données projet'!$B$36,N38+M39-V38)))</f>
        <v>501.68999999999983</v>
      </c>
      <c r="O39" s="13">
        <f>N39*VLOOKUP('Données projet'!$B$9,Paramètres!$A$1:$I$89,3,0)*VLOOKUP('Données projet'!$B$9,Paramètres!$A$1:$I$89,5,0)</f>
        <v>280.44470999999987</v>
      </c>
      <c r="P39" s="13">
        <f t="shared" si="33"/>
        <v>67.06098020598759</v>
      </c>
      <c r="Q39" s="20">
        <f t="shared" si="53"/>
        <v>605.23907710876153</v>
      </c>
      <c r="R39" s="59">
        <f t="shared" si="0"/>
        <v>898.57241044209491</v>
      </c>
      <c r="S39" s="59">
        <f ca="1">AVERAGE(OFFSET($R$3,0,0,'Données projet'!$E$9+1,1))-AVERAGE(OFFSET($H$3,0,0,'Données projet'!$E$9+1,1))</f>
        <v>350.01600895263641</v>
      </c>
      <c r="T39" s="59">
        <f t="shared" si="34"/>
        <v>464.08921044376882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85.88</v>
      </c>
      <c r="W39" s="16">
        <f>IF(ISNA(VLOOKUP(A39,'Données projet'!$A$35:$I$55,5,0)),0%,VLOOKUP(A39,'Données projet'!$A$35:$I$55,5,0)*VLOOKUP('Données projet'!$B$9,Paramètres!$A$1:$I$89,7,0))</f>
        <v>0.55000000000000004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35.026350527921267</v>
      </c>
      <c r="AA39" s="21">
        <f>EXP(-LN(2)/25)*AA38+(1-EXP(-LN(2)/25))/(LN(2)/25)*Calculateur!V39*Calculateur!X39*VLOOKUP('Données projet'!$B$9,Paramètres!$A$1:$I$89,3,0)*0.475*44/12</f>
        <v>42.820987116836257</v>
      </c>
      <c r="AB39" s="21">
        <f>EXP(-LN(2)/2)*AB38+(1-EXP(-LN(2)/2))/(LN(2)/2)*V39*Y39*VLOOKUP('Données projet'!$B$9,Paramètres!$A$1:$I$89,3,0)*0.475*44/12</f>
        <v>9.2490066132851517E-2</v>
      </c>
      <c r="AC39" s="22">
        <f t="shared" si="3"/>
        <v>77.93982771089037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269</v>
      </c>
      <c r="AG39" s="12">
        <f>VLOOKUP(A39,'Données projet'!$A$61:$I$81,9,0)</f>
        <v>15</v>
      </c>
      <c r="AH39" s="12">
        <f t="array" ref="AH39">INDEX(AG:AG,MIN(IF(ISNUMBER(AG39:AG235),ROW(AG39:AG235),"")))</f>
        <v>15</v>
      </c>
      <c r="AI39" s="13">
        <f>IF('Données projet'!$A$62&gt;35,AI38+AH39-AQ38,IF(A39&lt;'Données projet'!$A$62,$AF$205^A39,IF(A39='Données projet'!$A$62,'Données projet'!$B$62,AI38+AH39-AQ38)))</f>
        <v>268.99999999999994</v>
      </c>
      <c r="AJ39" s="13">
        <f>AI39*VLOOKUP('Données projet'!$B$10,Paramètres!$A$1:$I$89,3,0)*VLOOKUP('Données projet'!$B$10,Paramètres!$A$1:$I$89,5,0)</f>
        <v>146.87399999999997</v>
      </c>
      <c r="AK39" s="13">
        <f t="shared" si="35"/>
        <v>37.867322517591383</v>
      </c>
      <c r="AL39" s="20">
        <f t="shared" si="4"/>
        <v>321.75780338480496</v>
      </c>
      <c r="AM39" s="59">
        <f t="shared" si="5"/>
        <v>615.09113671813827</v>
      </c>
      <c r="AN39" s="59">
        <f ca="1">AVERAGE(OFFSET($AM$3,0,0,'Données projet'!$E$10+1,1))-AVERAGE(OFFSET($H$3,0,0,'Données projet'!$E$10+1,1))</f>
        <v>159.92263609041913</v>
      </c>
      <c r="AO39" s="59">
        <f t="shared" si="36"/>
        <v>271.78119133009307</v>
      </c>
      <c r="AP39" s="15">
        <f>IF(ISNA(VLOOKUP(A39,'Données projet'!$A$61:$I$81,3,0)),0,VLOOKUP(A39,'Données projet'!$A$61:$I$81,3,0))</f>
        <v>6</v>
      </c>
      <c r="AQ39" s="15">
        <f>IF(ISNA(VLOOKUP(A39,'Données projet'!$A$61:$I$81,4,0)),0,VLOOKUP(A39,'Données projet'!$A$61:$I$81,4,0))</f>
        <v>75</v>
      </c>
      <c r="AR39" s="16">
        <f>IF(ISNA(VLOOKUP(A39,'Données projet'!$A$61:$I$81,5,0)),0%,VLOOKUP(A39,'Données projet'!$A$61:$I$81,5,0)*VLOOKUP('Données projet'!$B$10,Paramètres!$A$1:$I$89,7,0))</f>
        <v>0.6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32.593688670149504</v>
      </c>
      <c r="AV39" s="21">
        <f>EXP(-LN(2)/25)*AV38+(1-EXP(-LN(2)/25))/(LN(2)/25)*Calculateur!AQ39*Calculateur!AS39*VLOOKUP('Données projet'!$B$10,Paramètres!$A$1:$I$89,3,0)*0.475*44/12</f>
        <v>81.322664820951601</v>
      </c>
      <c r="AW39" s="21">
        <f>EXP(-LN(2)/2)*AW38+(1-EXP(-LN(2)/2))/(LN(2)/2)*AQ39*AT39*VLOOKUP('Données projet'!$B$10,Paramètres!$A$1:$I$89,3,0)*0.475*44/12</f>
        <v>3.169476446151967E-3</v>
      </c>
      <c r="AX39" s="21">
        <f t="shared" si="6"/>
        <v>113.91952296754725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8.8000000000000007</v>
      </c>
      <c r="BD39" s="12">
        <f>IF('Données projet'!$A$88&gt;35,BD38+BC39-BL38,IF(A39&lt;'Données projet'!$A$88,$BA$205^A39,IF(A39='Données projet'!$A$88,'Données projet'!$B$88,BD38+BC39-BL38)))</f>
        <v>149.79999999999998</v>
      </c>
      <c r="BE39" s="13">
        <f>BD39*VLOOKUP('Données projet'!$B$11,Paramètres!$A$1:$I$89,3,0)*VLOOKUP('Données projet'!$B$11,Paramètres!$A$1:$I$89,5,0)</f>
        <v>130.86528000000001</v>
      </c>
      <c r="BF39" s="13">
        <f t="shared" si="37"/>
        <v>34.19622287336729</v>
      </c>
      <c r="BG39" s="20">
        <f t="shared" si="7"/>
        <v>287.48211750444801</v>
      </c>
      <c r="BH39" s="59">
        <f t="shared" si="8"/>
        <v>580.81545083778133</v>
      </c>
      <c r="BI39" s="59">
        <f ca="1">AVERAGE(OFFSET($BH$3,0,0,'Données projet'!$E$11+1,1))-AVERAGE(OFFSET($H$3,0,0,'Données projet'!$E$11+1,1))</f>
        <v>268.27008134105046</v>
      </c>
      <c r="BJ39" s="59">
        <f t="shared" si="38"/>
        <v>252.36274686619709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10.992363932537144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10.992363932537144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28.093333333333334</v>
      </c>
      <c r="N40" s="13">
        <f>IF('Données projet'!$A$36&gt;35,N39+M40-V39,IF(A40&lt;'Données projet'!$A$36,$K$205^A40,IF(A40='Données projet'!$A$36,'Données projet'!$B$36,N39+M40-V39)))</f>
        <v>443.90333333333319</v>
      </c>
      <c r="O40" s="13">
        <f>N40*VLOOKUP('Données projet'!$B$9,Paramètres!$A$1:$I$89,3,0)*VLOOKUP('Données projet'!$B$9,Paramètres!$A$1:$I$89,5,0)</f>
        <v>248.14196333333328</v>
      </c>
      <c r="P40" s="13">
        <f t="shared" si="33"/>
        <v>60.187897687681328</v>
      </c>
      <c r="Q40" s="20">
        <f t="shared" si="53"/>
        <v>537.00784127826716</v>
      </c>
      <c r="R40" s="59">
        <f t="shared" si="0"/>
        <v>830.34117461160054</v>
      </c>
      <c r="S40" s="59">
        <f ca="1">AVERAGE(OFFSET($R$3,0,0,'Données projet'!$E$9+1,1))-AVERAGE(OFFSET($H$3,0,0,'Données projet'!$E$9+1,1))</f>
        <v>350.01600895263641</v>
      </c>
      <c r="T40" s="59">
        <f t="shared" si="34"/>
        <v>464.08921044376882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34.339505158033035</v>
      </c>
      <c r="AA40" s="21">
        <f>EXP(-LN(2)/25)*AA39+(1-EXP(-LN(2)/25))/(LN(2)/25)*Calculateur!V40*Calculateur!X40*VLOOKUP('Données projet'!$B$9,Paramètres!$A$1:$I$89,3,0)*0.475*44/12</f>
        <v>41.650044972268525</v>
      </c>
      <c r="AB40" s="21">
        <f>EXP(-LN(2)/2)*AB39+(1-EXP(-LN(2)/2))/(LN(2)/2)*V40*Y40*VLOOKUP('Données projet'!$B$9,Paramètres!$A$1:$I$89,3,0)*0.475*44/12</f>
        <v>6.5400352954931545E-2</v>
      </c>
      <c r="AC40" s="22">
        <f t="shared" si="3"/>
        <v>76.054950483256491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</v>
      </c>
      <c r="AI40" s="13">
        <f>IF('Données projet'!$A$62&gt;35,AI39+AH40-AQ39,IF(A40&lt;'Données projet'!$A$62,$AF$205^A40,IF(A40='Données projet'!$A$62,'Données projet'!$B$62,AI39+AH40-AQ39)))</f>
        <v>207.99999999999994</v>
      </c>
      <c r="AJ40" s="13">
        <f>AI40*VLOOKUP('Données projet'!$B$10,Paramètres!$A$1:$I$89,3,0)*VLOOKUP('Données projet'!$B$10,Paramètres!$A$1:$I$89,5,0)</f>
        <v>113.56799999999997</v>
      </c>
      <c r="AK40" s="13">
        <f t="shared" si="35"/>
        <v>30.170065062058185</v>
      </c>
      <c r="AL40" s="20">
        <f t="shared" si="4"/>
        <v>250.34379664975128</v>
      </c>
      <c r="AM40" s="59">
        <f t="shared" si="5"/>
        <v>543.67712998308457</v>
      </c>
      <c r="AN40" s="59">
        <f ca="1">AVERAGE(OFFSET($AM$3,0,0,'Données projet'!$E$10+1,1))-AVERAGE(OFFSET($H$3,0,0,'Données projet'!$E$10+1,1))</f>
        <v>159.92263609041913</v>
      </c>
      <c r="AO40" s="59">
        <f t="shared" si="36"/>
        <v>271.78119133009307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31.954546315514957</v>
      </c>
      <c r="AV40" s="21">
        <f>EXP(-LN(2)/25)*AV39+(1-EXP(-LN(2)/25))/(LN(2)/25)*Calculateur!AQ40*Calculateur!AS40*VLOOKUP('Données projet'!$B$10,Paramètres!$A$1:$I$89,3,0)*0.475*44/12</f>
        <v>79.098892274849604</v>
      </c>
      <c r="AW40" s="21">
        <f>EXP(-LN(2)/2)*AW39+(1-EXP(-LN(2)/2))/(LN(2)/2)*AQ40*AT40*VLOOKUP('Données projet'!$B$10,Paramètres!$A$1:$I$89,3,0)*0.475*44/12</f>
        <v>2.2411582878850951E-3</v>
      </c>
      <c r="AX40" s="21">
        <f t="shared" si="6"/>
        <v>111.05567974865245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8.8000000000000007</v>
      </c>
      <c r="BD40" s="12">
        <f>IF('Données projet'!$A$88&gt;35,BD39+BC40-BL39,IF(A40&lt;'Données projet'!$A$88,$BA$205^A40,IF(A40='Données projet'!$A$88,'Données projet'!$B$88,BD39+BC40-BL39)))</f>
        <v>158.6</v>
      </c>
      <c r="BE40" s="13">
        <f>BD40*VLOOKUP('Données projet'!$B$11,Paramètres!$A$1:$I$89,3,0)*VLOOKUP('Données projet'!$B$11,Paramètres!$A$1:$I$89,5,0)</f>
        <v>138.55296000000001</v>
      </c>
      <c r="BF40" s="13">
        <f t="shared" si="37"/>
        <v>35.965308766301796</v>
      </c>
      <c r="BG40" s="20">
        <f t="shared" si="7"/>
        <v>303.95265143464229</v>
      </c>
      <c r="BH40" s="59">
        <f t="shared" si="8"/>
        <v>597.28598476797561</v>
      </c>
      <c r="BI40" s="59">
        <f ca="1">AVERAGE(OFFSET($BH$3,0,0,'Données projet'!$E$11+1,1))-AVERAGE(OFFSET($H$3,0,0,'Données projet'!$E$11+1,1))</f>
        <v>268.27008134105046</v>
      </c>
      <c r="BJ40" s="59">
        <f t="shared" si="38"/>
        <v>252.36274686619709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10.776810380500057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10.776810380500057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28.093333333333334</v>
      </c>
      <c r="N41" s="13">
        <f>IF('Données projet'!$A$36&gt;35,N40+M41-V40,IF(A41&lt;'Données projet'!$A$36,$K$205^A41,IF(A41='Données projet'!$A$36,'Données projet'!$B$36,N40+M41-V40)))</f>
        <v>471.99666666666656</v>
      </c>
      <c r="O41" s="13">
        <f>N41*VLOOKUP('Données projet'!$B$9,Paramètres!$A$1:$I$89,3,0)*VLOOKUP('Données projet'!$B$9,Paramètres!$A$1:$I$89,5,0)</f>
        <v>263.84613666666661</v>
      </c>
      <c r="P41" s="13">
        <f t="shared" si="33"/>
        <v>63.541516886809745</v>
      </c>
      <c r="Q41" s="20">
        <f t="shared" si="53"/>
        <v>570.20016327230462</v>
      </c>
      <c r="R41" s="59">
        <f t="shared" si="0"/>
        <v>863.53349660563799</v>
      </c>
      <c r="S41" s="59">
        <f ca="1">AVERAGE(OFFSET($R$3,0,0,'Données projet'!$E$9+1,1))-AVERAGE(OFFSET($H$3,0,0,'Données projet'!$E$9+1,1))</f>
        <v>350.01600895263641</v>
      </c>
      <c r="T41" s="59">
        <f t="shared" si="34"/>
        <v>464.08921044376882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33.666128406914005</v>
      </c>
      <c r="AA41" s="21">
        <f>EXP(-LN(2)/25)*AA40+(1-EXP(-LN(2)/25))/(LN(2)/25)*Calculateur!V41*Calculateur!X41*VLOOKUP('Données projet'!$B$9,Paramètres!$A$1:$I$89,3,0)*0.475*44/12</f>
        <v>40.511122302221168</v>
      </c>
      <c r="AB41" s="21">
        <f>EXP(-LN(2)/2)*AB40+(1-EXP(-LN(2)/2))/(LN(2)/2)*V41*Y41*VLOOKUP('Données projet'!$B$9,Paramètres!$A$1:$I$89,3,0)*0.475*44/12</f>
        <v>4.6245033066425759E-2</v>
      </c>
      <c r="AC41" s="22">
        <f t="shared" si="3"/>
        <v>74.223495742201592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</v>
      </c>
      <c r="AI41" s="13">
        <f>IF('Données projet'!$A$62&gt;35,AI40+AH41-AQ40,IF(A41&lt;'Données projet'!$A$62,$AF$205^A41,IF(A41='Données projet'!$A$62,'Données projet'!$B$62,AI40+AH41-AQ40)))</f>
        <v>221.99999999999994</v>
      </c>
      <c r="AJ41" s="13">
        <f>AI41*VLOOKUP('Données projet'!$B$10,Paramètres!$A$1:$I$89,3,0)*VLOOKUP('Données projet'!$B$10,Paramètres!$A$1:$I$89,5,0)</f>
        <v>121.21199999999996</v>
      </c>
      <c r="AK41" s="13">
        <f t="shared" si="35"/>
        <v>31.95751284761706</v>
      </c>
      <c r="AL41" s="20">
        <f t="shared" si="4"/>
        <v>266.77023487626633</v>
      </c>
      <c r="AM41" s="59">
        <f t="shared" si="5"/>
        <v>560.10356820959964</v>
      </c>
      <c r="AN41" s="59">
        <f ca="1">AVERAGE(OFFSET($AM$3,0,0,'Données projet'!$E$10+1,1))-AVERAGE(OFFSET($H$3,0,0,'Données projet'!$E$10+1,1))</f>
        <v>159.92263609041913</v>
      </c>
      <c r="AO41" s="59">
        <f t="shared" si="36"/>
        <v>271.78119133009307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31.32793715261645</v>
      </c>
      <c r="AV41" s="21">
        <f>EXP(-LN(2)/25)*AV40+(1-EXP(-LN(2)/25))/(LN(2)/25)*Calculateur!AQ41*Calculateur!AS41*VLOOKUP('Données projet'!$B$10,Paramètres!$A$1:$I$89,3,0)*0.475*44/12</f>
        <v>76.935928905963877</v>
      </c>
      <c r="AW41" s="21">
        <f>EXP(-LN(2)/2)*AW40+(1-EXP(-LN(2)/2))/(LN(2)/2)*AQ41*AT41*VLOOKUP('Données projet'!$B$10,Paramètres!$A$1:$I$89,3,0)*0.475*44/12</f>
        <v>1.5847382230759835E-3</v>
      </c>
      <c r="AX41" s="21">
        <f t="shared" si="6"/>
        <v>108.26545079680341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8.8000000000000007</v>
      </c>
      <c r="BD41" s="12">
        <f>IF('Données projet'!$A$88&gt;35,BD40+BC41-BL40,IF(A41&lt;'Données projet'!$A$88,$BA$205^A41,IF(A41='Données projet'!$A$88,'Données projet'!$B$88,BD40+BC41-BL40)))</f>
        <v>167.4</v>
      </c>
      <c r="BE41" s="13">
        <f>BD41*VLOOKUP('Données projet'!$B$11,Paramètres!$A$1:$I$89,3,0)*VLOOKUP('Données projet'!$B$11,Paramètres!$A$1:$I$89,5,0)</f>
        <v>146.24064000000001</v>
      </c>
      <c r="BF41" s="13">
        <f t="shared" si="37"/>
        <v>37.722999642090628</v>
      </c>
      <c r="BG41" s="20">
        <f t="shared" si="7"/>
        <v>320.40333904330788</v>
      </c>
      <c r="BH41" s="59">
        <f t="shared" si="8"/>
        <v>613.7366723766412</v>
      </c>
      <c r="BI41" s="59">
        <f ca="1">AVERAGE(OFFSET($BH$3,0,0,'Données projet'!$E$11+1,1))-AVERAGE(OFFSET($H$3,0,0,'Données projet'!$E$11+1,1))</f>
        <v>268.27008134105046</v>
      </c>
      <c r="BJ41" s="59">
        <f t="shared" si="38"/>
        <v>252.36274686619709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10.565483702143734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10.565483702143734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28.093333333333334</v>
      </c>
      <c r="N42" s="13">
        <f>IF('Données projet'!$A$36&gt;35,N41+M42-V41,IF(A42&lt;'Données projet'!$A$36,$K$205^A42,IF(A42='Données projet'!$A$36,'Données projet'!$B$36,N41+M42-V41)))</f>
        <v>500.08999999999992</v>
      </c>
      <c r="O42" s="13">
        <f>N42*VLOOKUP('Données projet'!$B$9,Paramètres!$A$1:$I$89,3,0)*VLOOKUP('Données projet'!$B$9,Paramètres!$A$1:$I$89,5,0)</f>
        <v>279.55030999999997</v>
      </c>
      <c r="P42" s="13">
        <f t="shared" si="33"/>
        <v>66.871967568934934</v>
      </c>
      <c r="Q42" s="20">
        <f t="shared" si="53"/>
        <v>603.35213343256157</v>
      </c>
      <c r="R42" s="59">
        <f t="shared" si="0"/>
        <v>896.68546676589494</v>
      </c>
      <c r="S42" s="59">
        <f ca="1">AVERAGE(OFFSET($R$3,0,0,'Données projet'!$E$9+1,1))-AVERAGE(OFFSET($H$3,0,0,'Données projet'!$E$9+1,1))</f>
        <v>350.01600895263641</v>
      </c>
      <c r="T42" s="59">
        <f t="shared" si="34"/>
        <v>464.08921044376882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33.005956163165152</v>
      </c>
      <c r="AA42" s="21">
        <f>EXP(-LN(2)/25)*AA41+(1-EXP(-LN(2)/25))/(LN(2)/25)*Calculateur!V42*Calculateur!X42*VLOOKUP('Données projet'!$B$9,Paramètres!$A$1:$I$89,3,0)*0.475*44/12</f>
        <v>39.403343532479596</v>
      </c>
      <c r="AB42" s="21">
        <f>EXP(-LN(2)/2)*AB41+(1-EXP(-LN(2)/2))/(LN(2)/2)*V42*Y42*VLOOKUP('Données projet'!$B$9,Paramètres!$A$1:$I$89,3,0)*0.475*44/12</f>
        <v>3.2700176477465773E-2</v>
      </c>
      <c r="AC42" s="22">
        <f t="shared" si="3"/>
        <v>72.44199987212221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</v>
      </c>
      <c r="AI42" s="13">
        <f>IF('Données projet'!$A$62&gt;35,AI41+AH42-AQ41,IF(A42&lt;'Données projet'!$A$62,$AF$205^A42,IF(A42='Données projet'!$A$62,'Données projet'!$B$62,AI41+AH42-AQ41)))</f>
        <v>235.99999999999994</v>
      </c>
      <c r="AJ42" s="13">
        <f>AI42*VLOOKUP('Données projet'!$B$10,Paramètres!$A$1:$I$89,3,0)*VLOOKUP('Données projet'!$B$10,Paramètres!$A$1:$I$89,5,0)</f>
        <v>128.85599999999997</v>
      </c>
      <c r="AK42" s="13">
        <f t="shared" si="35"/>
        <v>33.731878688740906</v>
      </c>
      <c r="AL42" s="20">
        <f t="shared" si="4"/>
        <v>283.1738887162237</v>
      </c>
      <c r="AM42" s="59">
        <f t="shared" si="5"/>
        <v>576.50722204955696</v>
      </c>
      <c r="AN42" s="59">
        <f ca="1">AVERAGE(OFFSET($AM$3,0,0,'Données projet'!$E$10+1,1))-AVERAGE(OFFSET($H$3,0,0,'Données projet'!$E$10+1,1))</f>
        <v>159.92263609041913</v>
      </c>
      <c r="AO42" s="59">
        <f t="shared" si="36"/>
        <v>271.78119133009307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30.71361541320853</v>
      </c>
      <c r="AV42" s="21">
        <f>EXP(-LN(2)/25)*AV41+(1-EXP(-LN(2)/25))/(LN(2)/25)*Calculateur!AQ42*Calculateur!AS42*VLOOKUP('Données projet'!$B$10,Paramètres!$A$1:$I$89,3,0)*0.475*44/12</f>
        <v>74.832111884145633</v>
      </c>
      <c r="AW42" s="21">
        <f>EXP(-LN(2)/2)*AW41+(1-EXP(-LN(2)/2))/(LN(2)/2)*AQ42*AT42*VLOOKUP('Données projet'!$B$10,Paramètres!$A$1:$I$89,3,0)*0.475*44/12</f>
        <v>1.1205791439425476E-3</v>
      </c>
      <c r="AX42" s="21">
        <f t="shared" si="6"/>
        <v>105.54684787649811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8.8000000000000007</v>
      </c>
      <c r="BD42" s="12">
        <f>IF('Données projet'!$A$88&gt;35,BD41+BC42-BL41,IF(A42&lt;'Données projet'!$A$88,$BA$205^A42,IF(A42='Données projet'!$A$88,'Données projet'!$B$88,BD41+BC42-BL41)))</f>
        <v>176.20000000000002</v>
      </c>
      <c r="BE42" s="13">
        <f>BD42*VLOOKUP('Données projet'!$B$11,Paramètres!$A$1:$I$89,3,0)*VLOOKUP('Données projet'!$B$11,Paramètres!$A$1:$I$89,5,0)</f>
        <v>153.92832000000004</v>
      </c>
      <c r="BF42" s="13">
        <f t="shared" si="37"/>
        <v>39.469962836517794</v>
      </c>
      <c r="BG42" s="20">
        <f t="shared" si="7"/>
        <v>336.83534260693523</v>
      </c>
      <c r="BH42" s="59">
        <f t="shared" si="8"/>
        <v>630.16867594026849</v>
      </c>
      <c r="BI42" s="59">
        <f ca="1">AVERAGE(OFFSET($BH$3,0,0,'Données projet'!$E$11+1,1))-AVERAGE(OFFSET($H$3,0,0,'Données projet'!$E$11+1,1))</f>
        <v>268.27008134105046</v>
      </c>
      <c r="BJ42" s="59">
        <f t="shared" si="38"/>
        <v>252.36274686619709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10.358301011053431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10.358301011053431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28.093333333333334</v>
      </c>
      <c r="N43" s="13">
        <f>IF('Données projet'!$A$36&gt;35,N42+M43-V42,IF(A43&lt;'Données projet'!$A$36,$K$205^A43,IF(A43='Données projet'!$A$36,'Données projet'!$B$36,N42+M43-V42)))</f>
        <v>528.18333333333328</v>
      </c>
      <c r="O43" s="13">
        <f>N43*VLOOKUP('Données projet'!$B$9,Paramètres!$A$1:$I$89,3,0)*VLOOKUP('Données projet'!$B$9,Paramètres!$A$1:$I$89,5,0)</f>
        <v>295.25448333333333</v>
      </c>
      <c r="P43" s="13">
        <f t="shared" si="33"/>
        <v>70.180699585942122</v>
      </c>
      <c r="Q43" s="20">
        <f t="shared" si="53"/>
        <v>636.46627691773801</v>
      </c>
      <c r="R43" s="59">
        <f t="shared" si="0"/>
        <v>929.79961025107127</v>
      </c>
      <c r="S43" s="59">
        <f ca="1">AVERAGE(OFFSET($R$3,0,0,'Données projet'!$E$9+1,1))-AVERAGE(OFFSET($H$3,0,0,'Données projet'!$E$9+1,1))</f>
        <v>350.01600895263641</v>
      </c>
      <c r="T43" s="59">
        <f t="shared" si="34"/>
        <v>464.08921044376882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32.358729494450905</v>
      </c>
      <c r="AA43" s="21">
        <f>EXP(-LN(2)/25)*AA42+(1-EXP(-LN(2)/25))/(LN(2)/25)*Calculateur!V43*Calculateur!X43*VLOOKUP('Données projet'!$B$9,Paramètres!$A$1:$I$89,3,0)*0.475*44/12</f>
        <v>38.325857031452159</v>
      </c>
      <c r="AB43" s="21">
        <f>EXP(-LN(2)/2)*AB42+(1-EXP(-LN(2)/2))/(LN(2)/2)*V43*Y43*VLOOKUP('Données projet'!$B$9,Paramètres!$A$1:$I$89,3,0)*0.475*44/12</f>
        <v>2.3122516533212879E-2</v>
      </c>
      <c r="AC43" s="22">
        <f t="shared" si="3"/>
        <v>70.707709042436264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14</v>
      </c>
      <c r="AI43" s="13">
        <f>IF('Données projet'!$A$62&gt;35,AI42+AH43-AQ42,IF(A43&lt;'Données projet'!$A$62,$AF$205^A43,IF(A43='Données projet'!$A$62,'Données projet'!$B$62,AI42+AH43-AQ42)))</f>
        <v>249.99999999999994</v>
      </c>
      <c r="AJ43" s="13">
        <f>AI43*VLOOKUP('Données projet'!$B$10,Paramètres!$A$1:$I$89,3,0)*VLOOKUP('Données projet'!$B$10,Paramètres!$A$1:$I$89,5,0)</f>
        <v>136.49999999999997</v>
      </c>
      <c r="AK43" s="13">
        <f t="shared" si="35"/>
        <v>35.494027024087352</v>
      </c>
      <c r="AL43" s="20">
        <f t="shared" si="4"/>
        <v>299.55626373361878</v>
      </c>
      <c r="AM43" s="59">
        <f t="shared" si="5"/>
        <v>592.88959706695209</v>
      </c>
      <c r="AN43" s="59">
        <f ca="1">AVERAGE(OFFSET($AM$3,0,0,'Données projet'!$E$10+1,1))-AVERAGE(OFFSET($H$3,0,0,'Données projet'!$E$10+1,1))</f>
        <v>159.92263609041913</v>
      </c>
      <c r="AO43" s="59">
        <f t="shared" si="36"/>
        <v>271.78119133009307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30.111340148411138</v>
      </c>
      <c r="AV43" s="21">
        <f>EXP(-LN(2)/25)*AV42+(1-EXP(-LN(2)/25))/(LN(2)/25)*Calculateur!AQ43*Calculateur!AS43*VLOOKUP('Données projet'!$B$10,Paramètres!$A$1:$I$89,3,0)*0.475*44/12</f>
        <v>72.785823849423934</v>
      </c>
      <c r="AW43" s="21">
        <f>EXP(-LN(2)/2)*AW42+(1-EXP(-LN(2)/2))/(LN(2)/2)*AQ43*AT43*VLOOKUP('Données projet'!$B$10,Paramètres!$A$1:$I$89,3,0)*0.475*44/12</f>
        <v>7.9236911153799175E-4</v>
      </c>
      <c r="AX43" s="21">
        <f t="shared" si="6"/>
        <v>102.8979563669466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185</v>
      </c>
      <c r="BB43" s="12">
        <f>VLOOKUP(A43,'Données projet'!$A$87:$I$107,9,0)</f>
        <v>8.8000000000000007</v>
      </c>
      <c r="BC43" s="12">
        <f t="array" ref="BC43">INDEX(BB:BB,MIN(IF(ISNUMBER(BB43:BB239),ROW(BB43:BB239),"")))</f>
        <v>8.8000000000000007</v>
      </c>
      <c r="BD43" s="12">
        <f>IF('Données projet'!$A$88&gt;35,BD42+BC43-BL42,IF(A43&lt;'Données projet'!$A$88,$BA$205^A43,IF(A43='Données projet'!$A$88,'Données projet'!$B$88,BD42+BC43-BL42)))</f>
        <v>185.00000000000003</v>
      </c>
      <c r="BE43" s="13">
        <f>BD43*VLOOKUP('Données projet'!$B$11,Paramètres!$A$1:$I$89,3,0)*VLOOKUP('Données projet'!$B$11,Paramètres!$A$1:$I$89,5,0)</f>
        <v>161.61600000000004</v>
      </c>
      <c r="BF43" s="13">
        <f t="shared" si="37"/>
        <v>41.20679526204917</v>
      </c>
      <c r="BG43" s="20">
        <f t="shared" si="7"/>
        <v>353.24970174806907</v>
      </c>
      <c r="BH43" s="59">
        <f t="shared" si="8"/>
        <v>646.58303508140239</v>
      </c>
      <c r="BI43" s="59">
        <f ca="1">AVERAGE(OFFSET($BH$3,0,0,'Données projet'!$E$11+1,1))-AVERAGE(OFFSET($H$3,0,0,'Données projet'!$E$11+1,1))</f>
        <v>268.27008134105046</v>
      </c>
      <c r="BJ43" s="59">
        <f t="shared" si="38"/>
        <v>252.36274686619709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27</v>
      </c>
      <c r="BM43" s="16">
        <f>IF(ISNA(VLOOKUP(A43,'Données projet'!$A$87:$I$107,5,0)),0%,VLOOKUP(A43,'Données projet'!$A$87:$I$107,5,0)*VLOOKUP('Données projet'!$B$11,Paramètres!$A$1:$I$89,7,0))</f>
        <v>0.43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21.367409948697876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21.367409948697876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28.093333333333334</v>
      </c>
      <c r="N44" s="13">
        <f>IF('Données projet'!$A$36&gt;35,N43+M44-V43,IF(A44&lt;'Données projet'!$A$36,$K$205^A44,IF(A44='Données projet'!$A$36,'Données projet'!$B$36,N43+M44-V43)))</f>
        <v>556.27666666666664</v>
      </c>
      <c r="O44" s="13">
        <f>N44*VLOOKUP('Données projet'!$B$9,Paramètres!$A$1:$I$89,3,0)*VLOOKUP('Données projet'!$B$9,Paramètres!$A$1:$I$89,5,0)</f>
        <v>310.95865666666663</v>
      </c>
      <c r="P44" s="13">
        <f t="shared" si="33"/>
        <v>73.468999847738303</v>
      </c>
      <c r="Q44" s="20">
        <f t="shared" si="53"/>
        <v>669.54483509592194</v>
      </c>
      <c r="R44" s="59">
        <f t="shared" si="0"/>
        <v>962.87816842925531</v>
      </c>
      <c r="S44" s="59">
        <f ca="1">AVERAGE(OFFSET($R$3,0,0,'Données projet'!$E$9+1,1))-AVERAGE(OFFSET($H$3,0,0,'Données projet'!$E$9+1,1))</f>
        <v>350.01600895263641</v>
      </c>
      <c r="T44" s="59">
        <f t="shared" si="34"/>
        <v>464.08921044376882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31.724194545940861</v>
      </c>
      <c r="AA44" s="21">
        <f>EXP(-LN(2)/25)*AA43+(1-EXP(-LN(2)/25))/(LN(2)/25)*Calculateur!V44*Calculateur!X44*VLOOKUP('Données projet'!$B$9,Paramètres!$A$1:$I$89,3,0)*0.475*44/12</f>
        <v>37.277834455457871</v>
      </c>
      <c r="AB44" s="21">
        <f>EXP(-LN(2)/2)*AB43+(1-EXP(-LN(2)/2))/(LN(2)/2)*V44*Y44*VLOOKUP('Données projet'!$B$9,Paramètres!$A$1:$I$89,3,0)*0.475*44/12</f>
        <v>1.6350088238732886E-2</v>
      </c>
      <c r="AC44" s="22">
        <f t="shared" si="3"/>
        <v>69.018379089637477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14</v>
      </c>
      <c r="AI44" s="13">
        <f>IF('Données projet'!$A$62&gt;35,AI43+AH44-AQ43,IF(A44&lt;'Données projet'!$A$62,$AF$205^A44,IF(A44='Données projet'!$A$62,'Données projet'!$B$62,AI43+AH44-AQ43)))</f>
        <v>263.99999999999994</v>
      </c>
      <c r="AJ44" s="13">
        <f>AI44*VLOOKUP('Données projet'!$B$10,Paramètres!$A$1:$I$89,3,0)*VLOOKUP('Données projet'!$B$10,Paramètres!$A$1:$I$89,5,0)</f>
        <v>144.14399999999995</v>
      </c>
      <c r="AK44" s="13">
        <f t="shared" si="35"/>
        <v>37.244720006976216</v>
      </c>
      <c r="AL44" s="20">
        <f t="shared" si="4"/>
        <v>315.91868734548348</v>
      </c>
      <c r="AM44" s="59">
        <f t="shared" si="5"/>
        <v>609.25202067881673</v>
      </c>
      <c r="AN44" s="59">
        <f ca="1">AVERAGE(OFFSET($AM$3,0,0,'Données projet'!$E$10+1,1))-AVERAGE(OFFSET($H$3,0,0,'Données projet'!$E$10+1,1))</f>
        <v>159.92263609041913</v>
      </c>
      <c r="AO44" s="59">
        <f t="shared" si="36"/>
        <v>271.78119133009307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29.520875134204783</v>
      </c>
      <c r="AV44" s="21">
        <f>EXP(-LN(2)/25)*AV43+(1-EXP(-LN(2)/25))/(LN(2)/25)*Calculateur!AQ44*Calculateur!AS44*VLOOKUP('Données projet'!$B$10,Paramètres!$A$1:$I$89,3,0)*0.475*44/12</f>
        <v>70.79549166862131</v>
      </c>
      <c r="AW44" s="21">
        <f>EXP(-LN(2)/2)*AW43+(1-EXP(-LN(2)/2))/(LN(2)/2)*AQ44*AT44*VLOOKUP('Données projet'!$B$10,Paramètres!$A$1:$I$89,3,0)*0.475*44/12</f>
        <v>5.6028957197127379E-4</v>
      </c>
      <c r="AX44" s="21">
        <f t="shared" si="6"/>
        <v>100.31692709239806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</v>
      </c>
      <c r="BD44" s="12">
        <f>IF('Données projet'!$A$88&gt;35,BD43+BC44-BL43,IF(A44&lt;'Données projet'!$A$88,$BA$205^A44,IF(A44='Données projet'!$A$88,'Données projet'!$B$88,BD43+BC44-BL43)))</f>
        <v>166.00000000000003</v>
      </c>
      <c r="BE44" s="13">
        <f>BD44*VLOOKUP('Données projet'!$B$11,Paramètres!$A$1:$I$89,3,0)*VLOOKUP('Données projet'!$B$11,Paramètres!$A$1:$I$89,5,0)</f>
        <v>145.01760000000004</v>
      </c>
      <c r="BF44" s="13">
        <f t="shared" si="37"/>
        <v>37.444100932065233</v>
      </c>
      <c r="BG44" s="20">
        <f t="shared" si="7"/>
        <v>317.78746245668032</v>
      </c>
      <c r="BH44" s="59">
        <f t="shared" si="8"/>
        <v>611.12079579001363</v>
      </c>
      <c r="BI44" s="59">
        <f ca="1">AVERAGE(OFFSET($BH$3,0,0,'Données projet'!$E$11+1,1))-AVERAGE(OFFSET($H$3,0,0,'Données projet'!$E$11+1,1))</f>
        <v>268.27008134105046</v>
      </c>
      <c r="BJ44" s="59">
        <f t="shared" si="38"/>
        <v>252.36274686619709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20.948408072437093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20.948408072437093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584.37</v>
      </c>
      <c r="L45" s="12">
        <f>VLOOKUP(A45,'Données projet'!$A$35:$I$55,9,0)</f>
        <v>28.093333333333334</v>
      </c>
      <c r="M45" s="12">
        <f t="array" ref="M45">INDEX(L:L,MIN(IF(ISNUMBER(L45:L241),ROW(L45:L241),"")))</f>
        <v>28.093333333333334</v>
      </c>
      <c r="N45" s="13">
        <f>IF('Données projet'!$A$36&gt;35,N44+M45-V44,IF(A45&lt;'Données projet'!$A$36,$K$205^A45,IF(A45='Données projet'!$A$36,'Données projet'!$B$36,N44+M45-V44)))</f>
        <v>584.37</v>
      </c>
      <c r="O45" s="13">
        <f>N45*VLOOKUP('Données projet'!$B$9,Paramètres!$A$1:$I$89,3,0)*VLOOKUP('Données projet'!$B$9,Paramètres!$A$1:$I$89,5,0)</f>
        <v>326.66282999999999</v>
      </c>
      <c r="P45" s="13">
        <f t="shared" si="33"/>
        <v>76.738017937615012</v>
      </c>
      <c r="Q45" s="20">
        <f t="shared" si="53"/>
        <v>702.58981015801282</v>
      </c>
      <c r="R45" s="59">
        <f t="shared" si="0"/>
        <v>995.92314349134608</v>
      </c>
      <c r="S45" s="59">
        <f ca="1">AVERAGE(OFFSET($R$3,0,0,'Données projet'!$E$9+1,1))-AVERAGE(OFFSET($H$3,0,0,'Données projet'!$E$9+1,1))</f>
        <v>350.01600895263641</v>
      </c>
      <c r="T45" s="59">
        <f t="shared" si="34"/>
        <v>464.08921044376882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91.25</v>
      </c>
      <c r="W45" s="16">
        <f>IF(ISNA(VLOOKUP(A45,'Données projet'!$A$35:$I$55,5,0)),0%,VLOOKUP(A45,'Données projet'!$A$35:$I$55,5,0)*VLOOKUP('Données projet'!$B$9,Paramètres!$A$1:$I$89,7,0))</f>
        <v>0.55000000000000004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68.31861950726389</v>
      </c>
      <c r="AA45" s="21">
        <f>EXP(-LN(2)/25)*AA44+(1-EXP(-LN(2)/25))/(LN(2)/25)*Calculateur!V45*Calculateur!X45*VLOOKUP('Données projet'!$B$9,Paramètres!$A$1:$I$89,3,0)*0.475*44/12</f>
        <v>36.258470111917262</v>
      </c>
      <c r="AB45" s="21">
        <f>EXP(-LN(2)/2)*AB44+(1-EXP(-LN(2)/2))/(LN(2)/2)*V45*Y45*VLOOKUP('Données projet'!$B$9,Paramètres!$A$1:$I$89,3,0)*0.475*44/12</f>
        <v>1.156125826660644E-2</v>
      </c>
      <c r="AC45" s="22">
        <f t="shared" si="3"/>
        <v>104.58865087744776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278</v>
      </c>
      <c r="AG45" s="12">
        <f>VLOOKUP(A45,'Données projet'!$A$61:$I$81,9,0)</f>
        <v>14</v>
      </c>
      <c r="AH45" s="12">
        <f t="array" ref="AH45">INDEX(AG:AG,MIN(IF(ISNUMBER(AG45:AG241),ROW(AG45:AG241),"")))</f>
        <v>14</v>
      </c>
      <c r="AI45" s="13">
        <f>IF('Données projet'!$A$62&gt;35,AI44+AH45-AQ44,IF(A45&lt;'Données projet'!$A$62,$AF$205^A45,IF(A45='Données projet'!$A$62,'Données projet'!$B$62,AI44+AH45-AQ44)))</f>
        <v>277.99999999999994</v>
      </c>
      <c r="AJ45" s="13">
        <f>AI45*VLOOKUP('Données projet'!$B$10,Paramètres!$A$1:$I$89,3,0)*VLOOKUP('Données projet'!$B$10,Paramètres!$A$1:$I$89,5,0)</f>
        <v>151.78799999999998</v>
      </c>
      <c r="AK45" s="13">
        <f t="shared" si="35"/>
        <v>38.984634390835623</v>
      </c>
      <c r="AL45" s="20">
        <f t="shared" si="4"/>
        <v>332.26233823070532</v>
      </c>
      <c r="AM45" s="59">
        <f t="shared" si="5"/>
        <v>625.59567156403864</v>
      </c>
      <c r="AN45" s="59">
        <f ca="1">AVERAGE(OFFSET($AM$3,0,0,'Données projet'!$E$10+1,1))-AVERAGE(OFFSET($H$3,0,0,'Données projet'!$E$10+1,1))</f>
        <v>159.92263609041913</v>
      </c>
      <c r="AO45" s="59">
        <f t="shared" si="36"/>
        <v>271.78119133009307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28.941988778778917</v>
      </c>
      <c r="AV45" s="21">
        <f>EXP(-LN(2)/25)*AV44+(1-EXP(-LN(2)/25))/(LN(2)/25)*Calculateur!AQ45*Calculateur!AS45*VLOOKUP('Données projet'!$B$10,Paramètres!$A$1:$I$89,3,0)*0.475*44/12</f>
        <v>68.859585225969752</v>
      </c>
      <c r="AW45" s="21">
        <f>EXP(-LN(2)/2)*AW44+(1-EXP(-LN(2)/2))/(LN(2)/2)*AQ45*AT45*VLOOKUP('Données projet'!$B$10,Paramètres!$A$1:$I$89,3,0)*0.475*44/12</f>
        <v>3.9618455576899587E-4</v>
      </c>
      <c r="AX45" s="21">
        <f t="shared" si="6"/>
        <v>97.801970189304441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</v>
      </c>
      <c r="BD45" s="12">
        <f>IF('Données projet'!$A$88&gt;35,BD44+BC45-BL44,IF(A45&lt;'Données projet'!$A$88,$BA$205^A45,IF(A45='Données projet'!$A$88,'Données projet'!$B$88,BD44+BC45-BL44)))</f>
        <v>174.00000000000003</v>
      </c>
      <c r="BE45" s="13">
        <f>BD45*VLOOKUP('Données projet'!$B$11,Paramètres!$A$1:$I$89,3,0)*VLOOKUP('Données projet'!$B$11,Paramètres!$A$1:$I$89,5,0)</f>
        <v>152.00640000000004</v>
      </c>
      <c r="BF45" s="13">
        <f t="shared" si="37"/>
        <v>39.034194016561486</v>
      </c>
      <c r="BG45" s="20">
        <f t="shared" si="7"/>
        <v>332.72903457884462</v>
      </c>
      <c r="BH45" s="59">
        <f t="shared" si="8"/>
        <v>626.06236791217793</v>
      </c>
      <c r="BI45" s="59">
        <f ca="1">AVERAGE(OFFSET($BH$3,0,0,'Données projet'!$E$11+1,1))-AVERAGE(OFFSET($H$3,0,0,'Données projet'!$E$11+1,1))</f>
        <v>268.27008134105046</v>
      </c>
      <c r="BJ45" s="59">
        <f t="shared" si="38"/>
        <v>252.36274686619709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20.537622567403876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20.537622567403876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27.100000000000005</v>
      </c>
      <c r="N46" s="13">
        <f>IF('Données projet'!$A$36&gt;35,N45+M46-V45,IF(A46&lt;'Données projet'!$A$36,$K$205^A46,IF(A46='Données projet'!$A$36,'Données projet'!$B$36,N45+M46-V45)))</f>
        <v>520.22</v>
      </c>
      <c r="O46" s="13">
        <f>N46*VLOOKUP('Données projet'!$B$9,Paramètres!$A$1:$I$89,3,0)*VLOOKUP('Données projet'!$B$9,Paramètres!$A$1:$I$89,5,0)</f>
        <v>290.80298000000005</v>
      </c>
      <c r="P46" s="13">
        <f t="shared" si="33"/>
        <v>69.24493486102223</v>
      </c>
      <c r="Q46" s="20">
        <f t="shared" si="53"/>
        <v>627.08345171628036</v>
      </c>
      <c r="R46" s="59">
        <f t="shared" si="0"/>
        <v>920.41678504961374</v>
      </c>
      <c r="S46" s="59">
        <f ca="1">AVERAGE(OFFSET($R$3,0,0,'Données projet'!$E$9+1,1))-AVERAGE(OFFSET($H$3,0,0,'Données projet'!$E$9+1,1))</f>
        <v>350.01600895263641</v>
      </c>
      <c r="T46" s="59">
        <f t="shared" si="34"/>
        <v>464.08921044376882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66.978933048969751</v>
      </c>
      <c r="AA46" s="21">
        <f>EXP(-LN(2)/25)*AA45+(1-EXP(-LN(2)/25))/(LN(2)/25)*Calculateur!V46*Calculateur!X46*VLOOKUP('Données projet'!$B$9,Paramètres!$A$1:$I$89,3,0)*0.475*44/12</f>
        <v>35.26698033995681</v>
      </c>
      <c r="AB46" s="21">
        <f>EXP(-LN(2)/2)*AB45+(1-EXP(-LN(2)/2))/(LN(2)/2)*V46*Y46*VLOOKUP('Données projet'!$B$9,Paramètres!$A$1:$I$89,3,0)*0.475*44/12</f>
        <v>8.1750441193664432E-3</v>
      </c>
      <c r="AC46" s="22">
        <f t="shared" si="3"/>
        <v>102.25408843304594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277.99999999999994</v>
      </c>
      <c r="AJ46" s="13">
        <f>AI46*VLOOKUP('Données projet'!$B$10,Paramètres!$A$1:$I$89,3,0)*VLOOKUP('Données projet'!$B$10,Paramètres!$A$1:$I$89,5,0)</f>
        <v>151.78799999999998</v>
      </c>
      <c r="AK46" s="13">
        <f t="shared" si="35"/>
        <v>38.984634390835623</v>
      </c>
      <c r="AL46" s="20">
        <f t="shared" si="4"/>
        <v>332.26233823070532</v>
      </c>
      <c r="AM46" s="59">
        <f t="shared" si="5"/>
        <v>625.59567156403864</v>
      </c>
      <c r="AN46" s="59">
        <f ca="1">AVERAGE(OFFSET($AM$3,0,0,'Données projet'!$E$10+1,1))-AVERAGE(OFFSET($H$3,0,0,'Données projet'!$E$10+1,1))</f>
        <v>159.92263609041913</v>
      </c>
      <c r="AO46" s="59">
        <f t="shared" si="36"/>
        <v>271.78119133009307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28.374454031697141</v>
      </c>
      <c r="AV46" s="21">
        <f>EXP(-LN(2)/25)*AV45+(1-EXP(-LN(2)/25))/(LN(2)/25)*Calculateur!AQ46*Calculateur!AS46*VLOOKUP('Données projet'!$B$10,Paramètres!$A$1:$I$89,3,0)*0.475*44/12</f>
        <v>66.976616246797406</v>
      </c>
      <c r="AW46" s="21">
        <f>EXP(-LN(2)/2)*AW45+(1-EXP(-LN(2)/2))/(LN(2)/2)*AQ46*AT46*VLOOKUP('Données projet'!$B$10,Paramètres!$A$1:$I$89,3,0)*0.475*44/12</f>
        <v>2.8014478598563689E-4</v>
      </c>
      <c r="AX46" s="21">
        <f t="shared" si="6"/>
        <v>95.351350423280536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</v>
      </c>
      <c r="BD46" s="12">
        <f>IF('Données projet'!$A$88&gt;35,BD45+BC46-BL45,IF(A46&lt;'Données projet'!$A$88,$BA$205^A46,IF(A46='Données projet'!$A$88,'Données projet'!$B$88,BD45+BC46-BL45)))</f>
        <v>182.00000000000003</v>
      </c>
      <c r="BE46" s="13">
        <f>BD46*VLOOKUP('Données projet'!$B$11,Paramètres!$A$1:$I$89,3,0)*VLOOKUP('Données projet'!$B$11,Paramètres!$A$1:$I$89,5,0)</f>
        <v>158.99520000000004</v>
      </c>
      <c r="BF46" s="13">
        <f t="shared" si="37"/>
        <v>40.615796933386044</v>
      </c>
      <c r="BG46" s="20">
        <f t="shared" si="7"/>
        <v>347.65581965898076</v>
      </c>
      <c r="BH46" s="59">
        <f t="shared" si="8"/>
        <v>640.98915299231408</v>
      </c>
      <c r="BI46" s="59">
        <f ca="1">AVERAGE(OFFSET($BH$3,0,0,'Données projet'!$E$11+1,1))-AVERAGE(OFFSET($H$3,0,0,'Données projet'!$E$11+1,1))</f>
        <v>268.27008134105046</v>
      </c>
      <c r="BJ46" s="59">
        <f t="shared" si="38"/>
        <v>252.36274686619709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20.134892315569942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20.134892315569942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27.100000000000005</v>
      </c>
      <c r="N47" s="13">
        <f>IF('Données projet'!$A$36&gt;35,N46+M47-V46,IF(A47&lt;'Données projet'!$A$36,$K$205^A47,IF(A47='Données projet'!$A$36,'Données projet'!$B$36,N46+M47-V46)))</f>
        <v>547.32000000000005</v>
      </c>
      <c r="O47" s="13">
        <f>N47*VLOOKUP('Données projet'!$B$9,Paramètres!$A$1:$I$89,3,0)*VLOOKUP('Données projet'!$B$9,Paramètres!$A$1:$I$89,5,0)</f>
        <v>305.95188000000007</v>
      </c>
      <c r="P47" s="13">
        <f t="shared" si="33"/>
        <v>72.422775940029837</v>
      </c>
      <c r="Q47" s="20">
        <f t="shared" si="53"/>
        <v>659.00252576221885</v>
      </c>
      <c r="R47" s="59">
        <f t="shared" si="0"/>
        <v>952.33585909555222</v>
      </c>
      <c r="S47" s="59">
        <f ca="1">AVERAGE(OFFSET($R$3,0,0,'Données projet'!$E$9+1,1))-AVERAGE(OFFSET($H$3,0,0,'Données projet'!$E$9+1,1))</f>
        <v>350.01600895263641</v>
      </c>
      <c r="T47" s="59">
        <f t="shared" si="34"/>
        <v>464.08921044376882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65.665517024994699</v>
      </c>
      <c r="AA47" s="21">
        <f>EXP(-LN(2)/25)*AA46+(1-EXP(-LN(2)/25))/(LN(2)/25)*Calculateur!V47*Calculateur!X47*VLOOKUP('Données projet'!$B$9,Paramètres!$A$1:$I$89,3,0)*0.475*44/12</f>
        <v>34.302602907950799</v>
      </c>
      <c r="AB47" s="21">
        <f>EXP(-LN(2)/2)*AB46+(1-EXP(-LN(2)/2))/(LN(2)/2)*V47*Y47*VLOOKUP('Données projet'!$B$9,Paramètres!$A$1:$I$89,3,0)*0.475*44/12</f>
        <v>5.7806291333032198E-3</v>
      </c>
      <c r="AC47" s="22">
        <f t="shared" si="3"/>
        <v>99.973900562078796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277.99999999999994</v>
      </c>
      <c r="AJ47" s="13">
        <f>AI47*VLOOKUP('Données projet'!$B$10,Paramètres!$A$1:$I$89,3,0)*VLOOKUP('Données projet'!$B$10,Paramètres!$A$1:$I$89,5,0)</f>
        <v>151.78799999999998</v>
      </c>
      <c r="AK47" s="13">
        <f t="shared" si="35"/>
        <v>38.984634390835623</v>
      </c>
      <c r="AL47" s="20">
        <f t="shared" si="4"/>
        <v>332.26233823070532</v>
      </c>
      <c r="AM47" s="59">
        <f t="shared" si="5"/>
        <v>625.59567156403864</v>
      </c>
      <c r="AN47" s="59">
        <f ca="1">AVERAGE(OFFSET($AM$3,0,0,'Données projet'!$E$10+1,1))-AVERAGE(OFFSET($H$3,0,0,'Données projet'!$E$10+1,1))</f>
        <v>159.92263609041913</v>
      </c>
      <c r="AO47" s="59">
        <f t="shared" si="36"/>
        <v>271.78119133009307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27.818048294843624</v>
      </c>
      <c r="AV47" s="21">
        <f>EXP(-LN(2)/25)*AV46+(1-EXP(-LN(2)/25))/(LN(2)/25)*Calculateur!AQ47*Calculateur!AS47*VLOOKUP('Données projet'!$B$10,Paramètres!$A$1:$I$89,3,0)*0.475*44/12</f>
        <v>65.145137153381555</v>
      </c>
      <c r="AW47" s="21">
        <f>EXP(-LN(2)/2)*AW46+(1-EXP(-LN(2)/2))/(LN(2)/2)*AQ47*AT47*VLOOKUP('Données projet'!$B$10,Paramètres!$A$1:$I$89,3,0)*0.475*44/12</f>
        <v>1.9809227788449794E-4</v>
      </c>
      <c r="AX47" s="21">
        <f t="shared" si="6"/>
        <v>92.96338354050306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</v>
      </c>
      <c r="BD47" s="12">
        <f>IF('Données projet'!$A$88&gt;35,BD46+BC47-BL46,IF(A47&lt;'Données projet'!$A$88,$BA$205^A47,IF(A47='Données projet'!$A$88,'Données projet'!$B$88,BD46+BC47-BL46)))</f>
        <v>190.00000000000003</v>
      </c>
      <c r="BE47" s="13">
        <f>BD47*VLOOKUP('Données projet'!$B$11,Paramètres!$A$1:$I$89,3,0)*VLOOKUP('Données projet'!$B$11,Paramètres!$A$1:$I$89,5,0)</f>
        <v>165.98400000000004</v>
      </c>
      <c r="BF47" s="13">
        <f t="shared" si="37"/>
        <v>42.189325525922285</v>
      </c>
      <c r="BG47" s="20">
        <f t="shared" si="7"/>
        <v>362.56854195764805</v>
      </c>
      <c r="BH47" s="59">
        <f t="shared" si="8"/>
        <v>655.90187529098137</v>
      </c>
      <c r="BI47" s="59">
        <f ca="1">AVERAGE(OFFSET($BH$3,0,0,'Données projet'!$E$11+1,1))-AVERAGE(OFFSET($H$3,0,0,'Données projet'!$E$11+1,1))</f>
        <v>268.27008134105046</v>
      </c>
      <c r="BJ47" s="59">
        <f t="shared" si="38"/>
        <v>252.36274686619709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19.740059358333273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19.740059358333273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27.100000000000005</v>
      </c>
      <c r="N48" s="13">
        <f>IF('Données projet'!$A$36&gt;35,N47+M48-V47,IF(A48&lt;'Données projet'!$A$36,$K$205^A48,IF(A48='Données projet'!$A$36,'Données projet'!$B$36,N47+M48-V47)))</f>
        <v>574.42000000000007</v>
      </c>
      <c r="O48" s="13">
        <f>N48*VLOOKUP('Données projet'!$B$9,Paramètres!$A$1:$I$89,3,0)*VLOOKUP('Données projet'!$B$9,Paramètres!$A$1:$I$89,5,0)</f>
        <v>321.10078000000004</v>
      </c>
      <c r="P48" s="13">
        <f t="shared" si="33"/>
        <v>75.582346553628341</v>
      </c>
      <c r="Q48" s="20">
        <f t="shared" si="53"/>
        <v>690.88977874756938</v>
      </c>
      <c r="R48" s="59">
        <f t="shared" si="0"/>
        <v>984.22311208090264</v>
      </c>
      <c r="S48" s="59">
        <f ca="1">AVERAGE(OFFSET($R$3,0,0,'Données projet'!$E$9+1,1))-AVERAGE(OFFSET($H$3,0,0,'Données projet'!$E$9+1,1))</f>
        <v>350.01600895263641</v>
      </c>
      <c r="T48" s="59">
        <f t="shared" si="34"/>
        <v>464.08921044376882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64.377856288145125</v>
      </c>
      <c r="AA48" s="21">
        <f>EXP(-LN(2)/25)*AA47+(1-EXP(-LN(2)/25))/(LN(2)/25)*Calculateur!V48*Calculateur!X48*VLOOKUP('Données projet'!$B$9,Paramètres!$A$1:$I$89,3,0)*0.475*44/12</f>
        <v>33.3645964275374</v>
      </c>
      <c r="AB48" s="21">
        <f>EXP(-LN(2)/2)*AB47+(1-EXP(-LN(2)/2))/(LN(2)/2)*V48*Y48*VLOOKUP('Données projet'!$B$9,Paramètres!$A$1:$I$89,3,0)*0.475*44/12</f>
        <v>4.0875220596832216E-3</v>
      </c>
      <c r="AC48" s="22">
        <f t="shared" si="3"/>
        <v>97.746540237742209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277.99999999999994</v>
      </c>
      <c r="AJ48" s="13">
        <f>AI48*VLOOKUP('Données projet'!$B$10,Paramètres!$A$1:$I$89,3,0)*VLOOKUP('Données projet'!$B$10,Paramètres!$A$1:$I$89,5,0)</f>
        <v>151.78799999999998</v>
      </c>
      <c r="AK48" s="13">
        <f t="shared" si="35"/>
        <v>38.984634390835623</v>
      </c>
      <c r="AL48" s="20">
        <f t="shared" si="4"/>
        <v>332.26233823070532</v>
      </c>
      <c r="AM48" s="59">
        <f t="shared" si="5"/>
        <v>625.59567156403864</v>
      </c>
      <c r="AN48" s="59">
        <f ca="1">AVERAGE(OFFSET($AM$3,0,0,'Données projet'!$E$10+1,1))-AVERAGE(OFFSET($H$3,0,0,'Données projet'!$E$10+1,1))</f>
        <v>159.92263609041913</v>
      </c>
      <c r="AO48" s="59">
        <f t="shared" si="36"/>
        <v>271.78119133009307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27.272553335115816</v>
      </c>
      <c r="AV48" s="21">
        <f>EXP(-LN(2)/25)*AV47+(1-EXP(-LN(2)/25))/(LN(2)/25)*Calculateur!AQ48*Calculateur!AS48*VLOOKUP('Données projet'!$B$10,Paramètres!$A$1:$I$89,3,0)*0.475*44/12</f>
        <v>63.363739952088466</v>
      </c>
      <c r="AW48" s="21">
        <f>EXP(-LN(2)/2)*AW47+(1-EXP(-LN(2)/2))/(LN(2)/2)*AQ48*AT48*VLOOKUP('Données projet'!$B$10,Paramètres!$A$1:$I$89,3,0)*0.475*44/12</f>
        <v>1.4007239299281845E-4</v>
      </c>
      <c r="AX48" s="21">
        <f t="shared" si="6"/>
        <v>90.636433359597277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198</v>
      </c>
      <c r="BB48" s="12">
        <f>VLOOKUP(A48,'Données projet'!$A$87:$I$107,9,0)</f>
        <v>8</v>
      </c>
      <c r="BC48" s="12">
        <f t="array" ref="BC48">INDEX(BB:BB,MIN(IF(ISNUMBER(BB48:BB244),ROW(BB48:BB244),"")))</f>
        <v>8</v>
      </c>
      <c r="BD48" s="12">
        <f>IF('Données projet'!$A$88&gt;35,BD47+BC48-BL47,IF(A48&lt;'Données projet'!$A$88,$BA$205^A48,IF(A48='Données projet'!$A$88,'Données projet'!$B$88,BD47+BC48-BL47)))</f>
        <v>198.00000000000003</v>
      </c>
      <c r="BE48" s="13">
        <f>BD48*VLOOKUP('Données projet'!$B$11,Paramètres!$A$1:$I$89,3,0)*VLOOKUP('Données projet'!$B$11,Paramètres!$A$1:$I$89,5,0)</f>
        <v>172.97280000000003</v>
      </c>
      <c r="BF48" s="13">
        <f t="shared" si="37"/>
        <v>43.75515863819728</v>
      </c>
      <c r="BG48" s="20">
        <f t="shared" si="7"/>
        <v>377.46786129486031</v>
      </c>
      <c r="BH48" s="59">
        <f t="shared" si="8"/>
        <v>670.80119462819357</v>
      </c>
      <c r="BI48" s="59">
        <f ca="1">AVERAGE(OFFSET($BH$3,0,0,'Données projet'!$E$11+1,1))-AVERAGE(OFFSET($H$3,0,0,'Données projet'!$E$11+1,1))</f>
        <v>268.27008134105046</v>
      </c>
      <c r="BJ48" s="59">
        <f t="shared" si="38"/>
        <v>252.36274686619709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26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30.149929999964328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30.149929999964328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27.100000000000005</v>
      </c>
      <c r="N49" s="13">
        <f>IF('Données projet'!$A$36&gt;35,N48+M49-V48,IF(A49&lt;'Données projet'!$A$36,$K$205^A49,IF(A49='Données projet'!$A$36,'Données projet'!$B$36,N48+M49-V48)))</f>
        <v>601.5200000000001</v>
      </c>
      <c r="O49" s="13">
        <f>N49*VLOOKUP('Données projet'!$B$9,Paramètres!$A$1:$I$89,3,0)*VLOOKUP('Données projet'!$B$9,Paramètres!$A$1:$I$89,5,0)</f>
        <v>336.24968000000007</v>
      </c>
      <c r="P49" s="13">
        <f t="shared" si="33"/>
        <v>78.724607090157278</v>
      </c>
      <c r="Q49" s="20">
        <f t="shared" si="53"/>
        <v>722.74688334869063</v>
      </c>
      <c r="R49" s="59">
        <f t="shared" si="0"/>
        <v>1016.080216682024</v>
      </c>
      <c r="S49" s="59">
        <f ca="1">AVERAGE(OFFSET($R$3,0,0,'Données projet'!$E$9+1,1))-AVERAGE(OFFSET($H$3,0,0,'Données projet'!$E$9+1,1))</f>
        <v>350.01600895263641</v>
      </c>
      <c r="T49" s="59">
        <f t="shared" si="34"/>
        <v>464.08921044376882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63.115445792949679</v>
      </c>
      <c r="AA49" s="21">
        <f>EXP(-LN(2)/25)*AA48+(1-EXP(-LN(2)/25))/(LN(2)/25)*Calculateur!V49*Calculateur!X49*VLOOKUP('Données projet'!$B$9,Paramètres!$A$1:$I$89,3,0)*0.475*44/12</f>
        <v>32.45223978365852</v>
      </c>
      <c r="AB49" s="21">
        <f>EXP(-LN(2)/2)*AB48+(1-EXP(-LN(2)/2))/(LN(2)/2)*V49*Y49*VLOOKUP('Données projet'!$B$9,Paramètres!$A$1:$I$89,3,0)*0.475*44/12</f>
        <v>2.8903145666516099E-3</v>
      </c>
      <c r="AC49" s="22">
        <f t="shared" si="3"/>
        <v>95.570575891174855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277.99999999999994</v>
      </c>
      <c r="AJ49" s="13">
        <f>AI49*VLOOKUP('Données projet'!$B$10,Paramètres!$A$1:$I$89,3,0)*VLOOKUP('Données projet'!$B$10,Paramètres!$A$1:$I$89,5,0)</f>
        <v>151.78799999999998</v>
      </c>
      <c r="AK49" s="13">
        <f t="shared" si="35"/>
        <v>38.984634390835623</v>
      </c>
      <c r="AL49" s="20">
        <f t="shared" si="4"/>
        <v>332.26233823070532</v>
      </c>
      <c r="AM49" s="59">
        <f t="shared" si="5"/>
        <v>625.59567156403864</v>
      </c>
      <c r="AN49" s="59">
        <f ca="1">AVERAGE(OFFSET($AM$3,0,0,'Données projet'!$E$10+1,1))-AVERAGE(OFFSET($H$3,0,0,'Données projet'!$E$10+1,1))</f>
        <v>159.92263609041913</v>
      </c>
      <c r="AO49" s="59">
        <f t="shared" si="36"/>
        <v>271.78119133009307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26.737755198829198</v>
      </c>
      <c r="AV49" s="21">
        <f>EXP(-LN(2)/25)*AV48+(1-EXP(-LN(2)/25))/(LN(2)/25)*Calculateur!AQ49*Calculateur!AS49*VLOOKUP('Données projet'!$B$10,Paramètres!$A$1:$I$89,3,0)*0.475*44/12</f>
        <v>61.631055150944341</v>
      </c>
      <c r="AW49" s="21">
        <f>EXP(-LN(2)/2)*AW48+(1-EXP(-LN(2)/2))/(LN(2)/2)*AQ49*AT49*VLOOKUP('Données projet'!$B$10,Paramètres!$A$1:$I$89,3,0)*0.475*44/12</f>
        <v>9.9046138942248969E-5</v>
      </c>
      <c r="AX49" s="21">
        <f t="shared" si="6"/>
        <v>88.368909395912482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7.4</v>
      </c>
      <c r="BD49" s="12">
        <f>IF('Données projet'!$A$88&gt;35,BD48+BC49-BL48,IF(A49&lt;'Données projet'!$A$88,$BA$205^A49,IF(A49='Données projet'!$A$88,'Données projet'!$B$88,BD48+BC49-BL48)))</f>
        <v>179.40000000000003</v>
      </c>
      <c r="BE49" s="13">
        <f>BD49*VLOOKUP('Données projet'!$B$11,Paramètres!$A$1:$I$89,3,0)*VLOOKUP('Données projet'!$B$11,Paramètres!$A$1:$I$89,5,0)</f>
        <v>156.72384000000005</v>
      </c>
      <c r="BF49" s="13">
        <f t="shared" si="37"/>
        <v>40.102680984620484</v>
      </c>
      <c r="BG49" s="20">
        <f t="shared" si="7"/>
        <v>342.80619071488076</v>
      </c>
      <c r="BH49" s="59">
        <f t="shared" si="8"/>
        <v>636.13952404821407</v>
      </c>
      <c r="BI49" s="59">
        <f ca="1">AVERAGE(OFFSET($BH$3,0,0,'Données projet'!$E$11+1,1))-AVERAGE(OFFSET($H$3,0,0,'Données projet'!$E$11+1,1))</f>
        <v>268.27008134105046</v>
      </c>
      <c r="BJ49" s="59">
        <f t="shared" si="38"/>
        <v>252.36274686619709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29.558708262306503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29.558708262306503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27.100000000000005</v>
      </c>
      <c r="N50" s="13">
        <f>IF('Données projet'!$A$36&gt;35,N49+M50-V49,IF(A50&lt;'Données projet'!$A$36,$K$205^A50,IF(A50='Données projet'!$A$36,'Données projet'!$B$36,N49+M50-V49)))</f>
        <v>628.62000000000012</v>
      </c>
      <c r="O50" s="13">
        <f>N50*VLOOKUP('Données projet'!$B$9,Paramètres!$A$1:$I$89,3,0)*VLOOKUP('Données projet'!$B$9,Paramètres!$A$1:$I$89,5,0)</f>
        <v>351.39858000000009</v>
      </c>
      <c r="P50" s="13">
        <f t="shared" si="33"/>
        <v>81.850426510165747</v>
      </c>
      <c r="Q50" s="20">
        <f t="shared" si="53"/>
        <v>754.57535300520556</v>
      </c>
      <c r="R50" s="59">
        <f t="shared" si="0"/>
        <v>1047.9086863385389</v>
      </c>
      <c r="S50" s="59">
        <f ca="1">AVERAGE(OFFSET($R$3,0,0,'Données projet'!$E$9+1,1))-AVERAGE(OFFSET($H$3,0,0,'Données projet'!$E$9+1,1))</f>
        <v>350.01600895263641</v>
      </c>
      <c r="T50" s="59">
        <f t="shared" si="34"/>
        <v>464.08921044376882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61.877790397570642</v>
      </c>
      <c r="AA50" s="21">
        <f>EXP(-LN(2)/25)*AA49+(1-EXP(-LN(2)/25))/(LN(2)/25)*Calculateur!V50*Calculateur!X50*VLOOKUP('Données projet'!$B$9,Paramètres!$A$1:$I$89,3,0)*0.475*44/12</f>
        <v>31.56483158018526</v>
      </c>
      <c r="AB50" s="21">
        <f>EXP(-LN(2)/2)*AB49+(1-EXP(-LN(2)/2))/(LN(2)/2)*V50*Y50*VLOOKUP('Données projet'!$B$9,Paramètres!$A$1:$I$89,3,0)*0.475*44/12</f>
        <v>2.0437610298416108E-3</v>
      </c>
      <c r="AC50" s="22">
        <f t="shared" si="3"/>
        <v>93.444665738785744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277.99999999999994</v>
      </c>
      <c r="AJ50" s="13">
        <f>AI50*VLOOKUP('Données projet'!$B$10,Paramètres!$A$1:$I$89,3,0)*VLOOKUP('Données projet'!$B$10,Paramètres!$A$1:$I$89,5,0)</f>
        <v>151.78799999999998</v>
      </c>
      <c r="AK50" s="13">
        <f t="shared" si="35"/>
        <v>38.984634390835623</v>
      </c>
      <c r="AL50" s="20">
        <f t="shared" si="4"/>
        <v>332.26233823070532</v>
      </c>
      <c r="AM50" s="59">
        <f t="shared" si="5"/>
        <v>625.59567156403864</v>
      </c>
      <c r="AN50" s="59">
        <f ca="1">AVERAGE(OFFSET($AM$3,0,0,'Données projet'!$E$10+1,1))-AVERAGE(OFFSET($H$3,0,0,'Données projet'!$E$10+1,1))</f>
        <v>159.92263609041913</v>
      </c>
      <c r="AO50" s="59">
        <f t="shared" si="36"/>
        <v>271.78119133009307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26.213444127800507</v>
      </c>
      <c r="AV50" s="21">
        <f>EXP(-LN(2)/25)*AV49+(1-EXP(-LN(2)/25))/(LN(2)/25)*Calculateur!AQ50*Calculateur!AS50*VLOOKUP('Données projet'!$B$10,Paramètres!$A$1:$I$89,3,0)*0.475*44/12</f>
        <v>59.945750706805441</v>
      </c>
      <c r="AW50" s="21">
        <f>EXP(-LN(2)/2)*AW49+(1-EXP(-LN(2)/2))/(LN(2)/2)*AQ50*AT50*VLOOKUP('Données projet'!$B$10,Paramètres!$A$1:$I$89,3,0)*0.475*44/12</f>
        <v>7.0036196496409223E-5</v>
      </c>
      <c r="AX50" s="21">
        <f t="shared" si="6"/>
        <v>86.159264870802446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7.4</v>
      </c>
      <c r="BD50" s="12">
        <f>IF('Données projet'!$A$88&gt;35,BD49+BC50-BL49,IF(A50&lt;'Données projet'!$A$88,$BA$205^A50,IF(A50='Données projet'!$A$88,'Données projet'!$B$88,BD49+BC50-BL49)))</f>
        <v>186.80000000000004</v>
      </c>
      <c r="BE50" s="13">
        <f>BD50*VLOOKUP('Données projet'!$B$11,Paramètres!$A$1:$I$89,3,0)*VLOOKUP('Données projet'!$B$11,Paramètres!$A$1:$I$89,5,0)</f>
        <v>163.18848000000006</v>
      </c>
      <c r="BF50" s="13">
        <f t="shared" si="37"/>
        <v>41.560857991048017</v>
      </c>
      <c r="BG50" s="20">
        <f t="shared" si="7"/>
        <v>356.60509700107536</v>
      </c>
      <c r="BH50" s="59">
        <f t="shared" si="8"/>
        <v>649.93843033440862</v>
      </c>
      <c r="BI50" s="59">
        <f ca="1">AVERAGE(OFFSET($BH$3,0,0,'Données projet'!$E$11+1,1))-AVERAGE(OFFSET($H$3,0,0,'Données projet'!$E$11+1,1))</f>
        <v>268.27008134105046</v>
      </c>
      <c r="BJ50" s="59">
        <f t="shared" si="38"/>
        <v>252.36274686619709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28.979080022314495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28.979080022314495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655.72</v>
      </c>
      <c r="L51" s="12">
        <f>VLOOKUP(A51,'Données projet'!$A$35:$I$55,9,0)</f>
        <v>27.100000000000005</v>
      </c>
      <c r="M51" s="12">
        <f t="array" ref="M51">INDEX(L:L,MIN(IF(ISNUMBER(L51:L247),ROW(L51:L247),"")))</f>
        <v>27.100000000000005</v>
      </c>
      <c r="N51" s="13">
        <f>IF('Données projet'!$A$36&gt;35,N50+M51-V50,IF(A51&lt;'Données projet'!$A$36,$K$205^A51,IF(A51='Données projet'!$A$36,'Données projet'!$B$36,N50+M51-V50)))</f>
        <v>655.72000000000014</v>
      </c>
      <c r="O51" s="13">
        <f>N51*VLOOKUP('Données projet'!$B$9,Paramètres!$A$1:$I$89,3,0)*VLOOKUP('Données projet'!$B$9,Paramètres!$A$1:$I$89,5,0)</f>
        <v>366.54748000000012</v>
      </c>
      <c r="P51" s="13">
        <f t="shared" si="33"/>
        <v>84.960594614663748</v>
      </c>
      <c r="Q51" s="20">
        <f t="shared" si="53"/>
        <v>786.3765632872063</v>
      </c>
      <c r="R51" s="59">
        <f t="shared" si="0"/>
        <v>1079.7098966205397</v>
      </c>
      <c r="S51" s="59">
        <f ca="1">AVERAGE(OFFSET($R$3,0,0,'Données projet'!$E$9+1,1))-AVERAGE(OFFSET($H$3,0,0,'Données projet'!$E$9+1,1))</f>
        <v>350.01600895263641</v>
      </c>
      <c r="T51" s="59">
        <f t="shared" si="34"/>
        <v>464.08921044376882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101.34</v>
      </c>
      <c r="W51" s="16">
        <f>IF(ISNA(VLOOKUP(A51,'Données projet'!$A$35:$I$55,5,0)),0%,VLOOKUP(A51,'Données projet'!$A$35:$I$55,5,0)*VLOOKUP('Données projet'!$B$9,Paramètres!$A$1:$I$89,7,0))</f>
        <v>0.55000000000000004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101.99615085613375</v>
      </c>
      <c r="AA51" s="21">
        <f>EXP(-LN(2)/25)*AA50+(1-EXP(-LN(2)/25))/(LN(2)/25)*Calculateur!V51*Calculateur!X51*VLOOKUP('Données projet'!$B$9,Paramètres!$A$1:$I$89,3,0)*0.475*44/12</f>
        <v>30.701689600702743</v>
      </c>
      <c r="AB51" s="21">
        <f>EXP(-LN(2)/2)*AB50+(1-EXP(-LN(2)/2))/(LN(2)/2)*V51*Y51*VLOOKUP('Données projet'!$B$9,Paramètres!$A$1:$I$89,3,0)*0.475*44/12</f>
        <v>1.445157283325805E-3</v>
      </c>
      <c r="AC51" s="22">
        <f t="shared" si="3"/>
        <v>132.69928561411982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277.99999999999994</v>
      </c>
      <c r="AJ51" s="13">
        <f>AI51*VLOOKUP('Données projet'!$B$10,Paramètres!$A$1:$I$89,3,0)*VLOOKUP('Données projet'!$B$10,Paramètres!$A$1:$I$89,5,0)</f>
        <v>151.78799999999998</v>
      </c>
      <c r="AK51" s="13">
        <f t="shared" si="35"/>
        <v>38.984634390835623</v>
      </c>
      <c r="AL51" s="20">
        <f t="shared" si="4"/>
        <v>332.26233823070532</v>
      </c>
      <c r="AM51" s="59">
        <f t="shared" si="5"/>
        <v>625.59567156403864</v>
      </c>
      <c r="AN51" s="59">
        <f ca="1">AVERAGE(OFFSET($AM$3,0,0,'Données projet'!$E$10+1,1))-AVERAGE(OFFSET($H$3,0,0,'Données projet'!$E$10+1,1))</f>
        <v>159.92263609041913</v>
      </c>
      <c r="AO51" s="59">
        <f t="shared" si="36"/>
        <v>271.78119133009307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25.699414477076512</v>
      </c>
      <c r="AV51" s="21">
        <f>EXP(-LN(2)/25)*AV50+(1-EXP(-LN(2)/25))/(LN(2)/25)*Calculateur!AQ51*Calculateur!AS51*VLOOKUP('Données projet'!$B$10,Paramètres!$A$1:$I$89,3,0)*0.475*44/12</f>
        <v>58.306531001317822</v>
      </c>
      <c r="AW51" s="21">
        <f>EXP(-LN(2)/2)*AW50+(1-EXP(-LN(2)/2))/(LN(2)/2)*AQ51*AT51*VLOOKUP('Données projet'!$B$10,Paramètres!$A$1:$I$89,3,0)*0.475*44/12</f>
        <v>4.9523069471124484E-5</v>
      </c>
      <c r="AX51" s="21">
        <f t="shared" si="6"/>
        <v>84.005995001463816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7.4</v>
      </c>
      <c r="BD51" s="12">
        <f>IF('Données projet'!$A$88&gt;35,BD50+BC51-BL50,IF(A51&lt;'Données projet'!$A$88,$BA$205^A51,IF(A51='Données projet'!$A$88,'Données projet'!$B$88,BD50+BC51-BL50)))</f>
        <v>194.20000000000005</v>
      </c>
      <c r="BE51" s="13">
        <f>BD51*VLOOKUP('Données projet'!$B$11,Paramètres!$A$1:$I$89,3,0)*VLOOKUP('Données projet'!$B$11,Paramètres!$A$1:$I$89,5,0)</f>
        <v>169.65312000000006</v>
      </c>
      <c r="BF51" s="13">
        <f t="shared" si="37"/>
        <v>43.012324771430336</v>
      </c>
      <c r="BG51" s="20">
        <f t="shared" si="7"/>
        <v>370.39231631024131</v>
      </c>
      <c r="BH51" s="59">
        <f t="shared" si="8"/>
        <v>663.72564964357457</v>
      </c>
      <c r="BI51" s="59">
        <f ca="1">AVERAGE(OFFSET($BH$3,0,0,'Données projet'!$E$11+1,1))-AVERAGE(OFFSET($H$3,0,0,'Données projet'!$E$11+1,1))</f>
        <v>268.27008134105046</v>
      </c>
      <c r="BJ51" s="59">
        <f t="shared" si="38"/>
        <v>252.36274686619709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28.41081793857041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28.41081793857041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25.705000000000002</v>
      </c>
      <c r="N52" s="13">
        <f>IF('Données projet'!$A$36&gt;35,N51+M52-V51,IF(A52&lt;'Données projet'!$A$36,$K$205^A52,IF(A52='Données projet'!$A$36,'Données projet'!$B$36,N51+M52-V51)))</f>
        <v>580.08500000000015</v>
      </c>
      <c r="O52" s="13">
        <f>N52*VLOOKUP('Données projet'!$B$9,Paramètres!$A$1:$I$89,3,0)*VLOOKUP('Données projet'!$B$9,Paramètres!$A$1:$I$89,5,0)</f>
        <v>324.26751500000012</v>
      </c>
      <c r="P52" s="13">
        <f t="shared" si="33"/>
        <v>76.240607370612722</v>
      </c>
      <c r="Q52" s="20">
        <f t="shared" si="53"/>
        <v>697.55164646215064</v>
      </c>
      <c r="R52" s="59">
        <f t="shared" si="0"/>
        <v>990.88497979548401</v>
      </c>
      <c r="S52" s="59">
        <f ca="1">AVERAGE(OFFSET($R$3,0,0,'Données projet'!$E$9+1,1))-AVERAGE(OFFSET($H$3,0,0,'Données projet'!$E$9+1,1))</f>
        <v>350.01600895263641</v>
      </c>
      <c r="T52" s="59">
        <f t="shared" si="34"/>
        <v>464.08921044376882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99.996068549354121</v>
      </c>
      <c r="AA52" s="21">
        <f>EXP(-LN(2)/25)*AA51+(1-EXP(-LN(2)/25))/(LN(2)/25)*Calculateur!V52*Calculateur!X52*VLOOKUP('Données projet'!$B$9,Paramètres!$A$1:$I$89,3,0)*0.475*44/12</f>
        <v>29.862150284039839</v>
      </c>
      <c r="AB52" s="21">
        <f>EXP(-LN(2)/2)*AB51+(1-EXP(-LN(2)/2))/(LN(2)/2)*V52*Y52*VLOOKUP('Données projet'!$B$9,Paramètres!$A$1:$I$89,3,0)*0.475*44/12</f>
        <v>1.0218805149208054E-3</v>
      </c>
      <c r="AC52" s="22">
        <f t="shared" si="3"/>
        <v>129.85924071390886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277.99999999999994</v>
      </c>
      <c r="AJ52" s="13">
        <f>AI52*VLOOKUP('Données projet'!$B$10,Paramètres!$A$1:$I$89,3,0)*VLOOKUP('Données projet'!$B$10,Paramètres!$A$1:$I$89,5,0)</f>
        <v>151.78799999999998</v>
      </c>
      <c r="AK52" s="13">
        <f t="shared" si="35"/>
        <v>38.984634390835623</v>
      </c>
      <c r="AL52" s="20">
        <f t="shared" si="4"/>
        <v>332.26233823070532</v>
      </c>
      <c r="AM52" s="59">
        <f t="shared" si="5"/>
        <v>625.59567156403864</v>
      </c>
      <c r="AN52" s="59">
        <f ca="1">AVERAGE(OFFSET($AM$3,0,0,'Données projet'!$E$10+1,1))-AVERAGE(OFFSET($H$3,0,0,'Données projet'!$E$10+1,1))</f>
        <v>159.92263609041913</v>
      </c>
      <c r="AO52" s="59">
        <f t="shared" si="36"/>
        <v>271.78119133009307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25.195464634276085</v>
      </c>
      <c r="AV52" s="21">
        <f>EXP(-LN(2)/25)*AV51+(1-EXP(-LN(2)/25))/(LN(2)/25)*Calculateur!AQ52*Calculateur!AS52*VLOOKUP('Données projet'!$B$10,Paramètres!$A$1:$I$89,3,0)*0.475*44/12</f>
        <v>56.712135844879583</v>
      </c>
      <c r="AW52" s="21">
        <f>EXP(-LN(2)/2)*AW51+(1-EXP(-LN(2)/2))/(LN(2)/2)*AQ52*AT52*VLOOKUP('Données projet'!$B$10,Paramètres!$A$1:$I$89,3,0)*0.475*44/12</f>
        <v>3.5018098248204612E-5</v>
      </c>
      <c r="AX52" s="21">
        <f t="shared" si="6"/>
        <v>81.907635497253906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7.4</v>
      </c>
      <c r="BD52" s="12">
        <f>IF('Données projet'!$A$88&gt;35,BD51+BC52-BL51,IF(A52&lt;'Données projet'!$A$88,$BA$205^A52,IF(A52='Données projet'!$A$88,'Données projet'!$B$88,BD51+BC52-BL51)))</f>
        <v>201.60000000000005</v>
      </c>
      <c r="BE52" s="13">
        <f>BD52*VLOOKUP('Données projet'!$B$11,Paramètres!$A$1:$I$89,3,0)*VLOOKUP('Données projet'!$B$11,Paramètres!$A$1:$I$89,5,0)</f>
        <v>176.11776000000006</v>
      </c>
      <c r="BF52" s="13">
        <f t="shared" si="37"/>
        <v>44.457366290237246</v>
      </c>
      <c r="BG52" s="20">
        <f t="shared" si="7"/>
        <v>384.16834495549665</v>
      </c>
      <c r="BH52" s="59">
        <f t="shared" si="8"/>
        <v>677.50167828882991</v>
      </c>
      <c r="BI52" s="59">
        <f ca="1">AVERAGE(OFFSET($BH$3,0,0,'Données projet'!$E$11+1,1))-AVERAGE(OFFSET($H$3,0,0,'Données projet'!$E$11+1,1))</f>
        <v>268.27008134105046</v>
      </c>
      <c r="BJ52" s="59">
        <f t="shared" si="38"/>
        <v>252.36274686619709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27.853699127682901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27.853699127682901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25.705000000000002</v>
      </c>
      <c r="N53" s="13">
        <f>IF('Données projet'!$A$36&gt;35,N52+M53-V52,IF(A53&lt;'Données projet'!$A$36,$K$205^A53,IF(A53='Données projet'!$A$36,'Données projet'!$B$36,N52+M53-V52)))</f>
        <v>605.79000000000019</v>
      </c>
      <c r="O53" s="13">
        <f>N53*VLOOKUP('Données projet'!$B$9,Paramètres!$A$1:$I$89,3,0)*VLOOKUP('Données projet'!$B$9,Paramètres!$A$1:$I$89,5,0)</f>
        <v>338.63661000000013</v>
      </c>
      <c r="P53" s="13">
        <f t="shared" si="33"/>
        <v>79.218195577662726</v>
      </c>
      <c r="Q53" s="20">
        <f t="shared" si="53"/>
        <v>727.76378638109611</v>
      </c>
      <c r="R53" s="59">
        <f t="shared" si="0"/>
        <v>1021.0971197144295</v>
      </c>
      <c r="S53" s="59">
        <f ca="1">AVERAGE(OFFSET($R$3,0,0,'Données projet'!$E$9+1,1))-AVERAGE(OFFSET($H$3,0,0,'Données projet'!$E$9+1,1))</f>
        <v>350.01600895263641</v>
      </c>
      <c r="T53" s="59">
        <f t="shared" si="34"/>
        <v>464.08921044376882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98.035206636680684</v>
      </c>
      <c r="AA53" s="21">
        <f>EXP(-LN(2)/25)*AA52+(1-EXP(-LN(2)/25))/(LN(2)/25)*Calculateur!V53*Calculateur!X53*VLOOKUP('Données projet'!$B$9,Paramètres!$A$1:$I$89,3,0)*0.475*44/12</f>
        <v>29.045568214140538</v>
      </c>
      <c r="AB53" s="21">
        <f>EXP(-LN(2)/2)*AB52+(1-EXP(-LN(2)/2))/(LN(2)/2)*V53*Y53*VLOOKUP('Données projet'!$B$9,Paramètres!$A$1:$I$89,3,0)*0.475*44/12</f>
        <v>7.2257864166290248E-4</v>
      </c>
      <c r="AC53" s="22">
        <f t="shared" si="3"/>
        <v>127.08149742946289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277.99999999999994</v>
      </c>
      <c r="AJ53" s="13">
        <f>AI53*VLOOKUP('Données projet'!$B$10,Paramètres!$A$1:$I$89,3,0)*VLOOKUP('Données projet'!$B$10,Paramètres!$A$1:$I$89,5,0)</f>
        <v>151.78799999999998</v>
      </c>
      <c r="AK53" s="13">
        <f t="shared" si="35"/>
        <v>38.984634390835623</v>
      </c>
      <c r="AL53" s="20">
        <f t="shared" si="4"/>
        <v>332.26233823070532</v>
      </c>
      <c r="AM53" s="59">
        <f t="shared" si="5"/>
        <v>625.59567156403864</v>
      </c>
      <c r="AN53" s="59">
        <f ca="1">AVERAGE(OFFSET($AM$3,0,0,'Données projet'!$E$10+1,1))-AVERAGE(OFFSET($H$3,0,0,'Données projet'!$E$10+1,1))</f>
        <v>159.92263609041913</v>
      </c>
      <c r="AO53" s="59">
        <f t="shared" si="36"/>
        <v>271.78119133009307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24.701396940513924</v>
      </c>
      <c r="AV53" s="21">
        <f>EXP(-LN(2)/25)*AV52+(1-EXP(-LN(2)/25))/(LN(2)/25)*Calculateur!AQ53*Calculateur!AS53*VLOOKUP('Données projet'!$B$10,Paramètres!$A$1:$I$89,3,0)*0.475*44/12</f>
        <v>55.161339507839742</v>
      </c>
      <c r="AW53" s="21">
        <f>EXP(-LN(2)/2)*AW52+(1-EXP(-LN(2)/2))/(LN(2)/2)*AQ53*AT53*VLOOKUP('Données projet'!$B$10,Paramètres!$A$1:$I$89,3,0)*0.475*44/12</f>
        <v>2.4761534735562242E-5</v>
      </c>
      <c r="AX53" s="21">
        <f t="shared" si="6"/>
        <v>79.862761209888404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209</v>
      </c>
      <c r="BB53" s="12">
        <f>VLOOKUP(A53,'Données projet'!$A$87:$I$107,9,0)</f>
        <v>7.4</v>
      </c>
      <c r="BC53" s="12">
        <f t="array" ref="BC53">INDEX(BB:BB,MIN(IF(ISNUMBER(BB53:BB249),ROW(BB53:BB249),"")))</f>
        <v>7.4</v>
      </c>
      <c r="BD53" s="12">
        <f>IF('Données projet'!$A$88&gt;35,BD52+BC53-BL52,IF(A53&lt;'Données projet'!$A$88,$BA$205^A53,IF(A53='Données projet'!$A$88,'Données projet'!$B$88,BD52+BC53-BL52)))</f>
        <v>209.00000000000006</v>
      </c>
      <c r="BE53" s="13">
        <f>BD53*VLOOKUP('Données projet'!$B$11,Paramètres!$A$1:$I$89,3,0)*VLOOKUP('Données projet'!$B$11,Paramètres!$A$1:$I$89,5,0)</f>
        <v>182.58240000000009</v>
      </c>
      <c r="BF53" s="13">
        <f t="shared" si="37"/>
        <v>45.896245406460288</v>
      </c>
      <c r="BG53" s="20">
        <f t="shared" si="7"/>
        <v>397.93364074958509</v>
      </c>
      <c r="BH53" s="59">
        <f t="shared" si="8"/>
        <v>691.26697408291841</v>
      </c>
      <c r="BI53" s="59">
        <f ca="1">AVERAGE(OFFSET($BH$3,0,0,'Données projet'!$E$11+1,1))-AVERAGE(OFFSET($H$3,0,0,'Données projet'!$E$11+1,1))</f>
        <v>268.27008134105046</v>
      </c>
      <c r="BJ53" s="59">
        <f t="shared" si="38"/>
        <v>252.36274686619709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24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37.273930768007027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37.273930768007027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25.705000000000002</v>
      </c>
      <c r="N54" s="13">
        <f>IF('Données projet'!$A$36&gt;35,N53+M54-V53,IF(A54&lt;'Données projet'!$A$36,$K$205^A54,IF(A54='Données projet'!$A$36,'Données projet'!$B$36,N53+M54-V53)))</f>
        <v>631.49500000000023</v>
      </c>
      <c r="O54" s="13">
        <f>N54*VLOOKUP('Données projet'!$B$9,Paramètres!$A$1:$I$89,3,0)*VLOOKUP('Données projet'!$B$9,Paramètres!$A$1:$I$89,5,0)</f>
        <v>353.00570500000015</v>
      </c>
      <c r="P54" s="13">
        <f t="shared" si="33"/>
        <v>82.181108764690435</v>
      </c>
      <c r="Q54" s="20">
        <f t="shared" si="53"/>
        <v>757.95036730683603</v>
      </c>
      <c r="R54" s="59">
        <f t="shared" si="0"/>
        <v>1051.2837006401694</v>
      </c>
      <c r="S54" s="59">
        <f ca="1">AVERAGE(OFFSET($R$3,0,0,'Données projet'!$E$9+1,1))-AVERAGE(OFFSET($H$3,0,0,'Données projet'!$E$9+1,1))</f>
        <v>350.01600895263641</v>
      </c>
      <c r="T54" s="59">
        <f t="shared" si="34"/>
        <v>464.08921044376882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96.112796030107106</v>
      </c>
      <c r="AA54" s="21">
        <f>EXP(-LN(2)/25)*AA53+(1-EXP(-LN(2)/25))/(LN(2)/25)*Calculateur!V54*Calculateur!X54*VLOOKUP('Données projet'!$B$9,Paramètres!$A$1:$I$89,3,0)*0.475*44/12</f>
        <v>28.251315623884818</v>
      </c>
      <c r="AB54" s="21">
        <f>EXP(-LN(2)/2)*AB53+(1-EXP(-LN(2)/2))/(LN(2)/2)*V54*Y54*VLOOKUP('Données projet'!$B$9,Paramètres!$A$1:$I$89,3,0)*0.475*44/12</f>
        <v>5.109402574604027E-4</v>
      </c>
      <c r="AC54" s="22">
        <f t="shared" si="3"/>
        <v>124.36462259424938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277.99999999999994</v>
      </c>
      <c r="AJ54" s="13">
        <f>AI54*VLOOKUP('Données projet'!$B$10,Paramètres!$A$1:$I$89,3,0)*VLOOKUP('Données projet'!$B$10,Paramètres!$A$1:$I$89,5,0)</f>
        <v>151.78799999999998</v>
      </c>
      <c r="AK54" s="13">
        <f t="shared" si="35"/>
        <v>38.984634390835623</v>
      </c>
      <c r="AL54" s="20">
        <f t="shared" si="4"/>
        <v>332.26233823070532</v>
      </c>
      <c r="AM54" s="59">
        <f t="shared" si="5"/>
        <v>625.59567156403864</v>
      </c>
      <c r="AN54" s="59">
        <f ca="1">AVERAGE(OFFSET($AM$3,0,0,'Données projet'!$E$10+1,1))-AVERAGE(OFFSET($H$3,0,0,'Données projet'!$E$10+1,1))</f>
        <v>159.92263609041913</v>
      </c>
      <c r="AO54" s="59">
        <f t="shared" si="36"/>
        <v>271.78119133009307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24.217017612874898</v>
      </c>
      <c r="AV54" s="21">
        <f>EXP(-LN(2)/25)*AV53+(1-EXP(-LN(2)/25))/(LN(2)/25)*Calculateur!AQ54*Calculateur!AS54*VLOOKUP('Données projet'!$B$10,Paramètres!$A$1:$I$89,3,0)*0.475*44/12</f>
        <v>53.65294977818909</v>
      </c>
      <c r="AW54" s="21">
        <f>EXP(-LN(2)/2)*AW53+(1-EXP(-LN(2)/2))/(LN(2)/2)*AQ54*AT54*VLOOKUP('Données projet'!$B$10,Paramètres!$A$1:$I$89,3,0)*0.475*44/12</f>
        <v>1.7509049124102306E-5</v>
      </c>
      <c r="AX54" s="21">
        <f t="shared" si="6"/>
        <v>77.869984900113124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6.6</v>
      </c>
      <c r="BD54" s="12">
        <f>IF('Données projet'!$A$88&gt;35,BD53+BC54-BL53,IF(A54&lt;'Données projet'!$A$88,$BA$205^A54,IF(A54='Données projet'!$A$88,'Données projet'!$B$88,BD53+BC54-BL53)))</f>
        <v>191.60000000000005</v>
      </c>
      <c r="BE54" s="13">
        <f>BD54*VLOOKUP('Données projet'!$B$11,Paramètres!$A$1:$I$89,3,0)*VLOOKUP('Données projet'!$B$11,Paramètres!$A$1:$I$89,5,0)</f>
        <v>167.38176000000007</v>
      </c>
      <c r="BF54" s="13">
        <f t="shared" si="37"/>
        <v>42.503096259839239</v>
      </c>
      <c r="BG54" s="20">
        <f t="shared" si="7"/>
        <v>365.5494579858867</v>
      </c>
      <c r="BH54" s="59">
        <f t="shared" si="8"/>
        <v>658.88279131922002</v>
      </c>
      <c r="BI54" s="59">
        <f ca="1">AVERAGE(OFFSET($BH$3,0,0,'Données projet'!$E$11+1,1))-AVERAGE(OFFSET($H$3,0,0,'Données projet'!$E$11+1,1))</f>
        <v>268.27008134105046</v>
      </c>
      <c r="BJ54" s="59">
        <f t="shared" si="38"/>
        <v>252.36274686619709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36.543011720499294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36.543011720499294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25.705000000000002</v>
      </c>
      <c r="N55" s="13">
        <f>IF('Données projet'!$A$36&gt;35,N54+M55-V54,IF(A55&lt;'Données projet'!$A$36,$K$205^A55,IF(A55='Données projet'!$A$36,'Données projet'!$B$36,N54+M55-V54)))</f>
        <v>657.20000000000027</v>
      </c>
      <c r="O55" s="13">
        <f>N55*VLOOKUP('Données projet'!$B$9,Paramètres!$A$1:$I$89,3,0)*VLOOKUP('Données projet'!$B$9,Paramètres!$A$1:$I$89,5,0)</f>
        <v>367.37480000000016</v>
      </c>
      <c r="P55" s="13">
        <f t="shared" si="33"/>
        <v>85.13001260681672</v>
      </c>
      <c r="Q55" s="20">
        <f t="shared" si="53"/>
        <v>788.11254862353928</v>
      </c>
      <c r="R55" s="59">
        <f t="shared" si="0"/>
        <v>1081.4458819568727</v>
      </c>
      <c r="S55" s="59">
        <f ca="1">AVERAGE(OFFSET($R$3,0,0,'Données projet'!$E$9+1,1))-AVERAGE(OFFSET($H$3,0,0,'Données projet'!$E$9+1,1))</f>
        <v>350.01600895263641</v>
      </c>
      <c r="T55" s="59">
        <f t="shared" si="34"/>
        <v>464.08921044376882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94.228082722973738</v>
      </c>
      <c r="AA55" s="21">
        <f>EXP(-LN(2)/25)*AA54+(1-EXP(-LN(2)/25))/(LN(2)/25)*Calculateur!V55*Calculateur!X55*VLOOKUP('Données projet'!$B$9,Paramètres!$A$1:$I$89,3,0)*0.475*44/12</f>
        <v>27.478781912477569</v>
      </c>
      <c r="AB55" s="21">
        <f>EXP(-LN(2)/2)*AB54+(1-EXP(-LN(2)/2))/(LN(2)/2)*V55*Y55*VLOOKUP('Données projet'!$B$9,Paramètres!$A$1:$I$89,3,0)*0.475*44/12</f>
        <v>3.6128932083145124E-4</v>
      </c>
      <c r="AC55" s="22">
        <f t="shared" si="3"/>
        <v>121.70722592477215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277.99999999999994</v>
      </c>
      <c r="AJ55" s="13">
        <f>AI55*VLOOKUP('Données projet'!$B$10,Paramètres!$A$1:$I$89,3,0)*VLOOKUP('Données projet'!$B$10,Paramètres!$A$1:$I$89,5,0)</f>
        <v>151.78799999999998</v>
      </c>
      <c r="AK55" s="13">
        <f t="shared" si="35"/>
        <v>38.984634390835623</v>
      </c>
      <c r="AL55" s="20">
        <f t="shared" si="4"/>
        <v>332.26233823070532</v>
      </c>
      <c r="AM55" s="59">
        <f t="shared" si="5"/>
        <v>625.59567156403864</v>
      </c>
      <c r="AN55" s="59">
        <f ca="1">AVERAGE(OFFSET($AM$3,0,0,'Données projet'!$E$10+1,1))-AVERAGE(OFFSET($H$3,0,0,'Données projet'!$E$10+1,1))</f>
        <v>159.92263609041913</v>
      </c>
      <c r="AO55" s="59">
        <f t="shared" si="36"/>
        <v>271.78119133009307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23.742136668408659</v>
      </c>
      <c r="AV55" s="21">
        <f>EXP(-LN(2)/25)*AV54+(1-EXP(-LN(2)/25))/(LN(2)/25)*Calculateur!AQ55*Calculateur!AS55*VLOOKUP('Données projet'!$B$10,Paramètres!$A$1:$I$89,3,0)*0.475*44/12</f>
        <v>52.185807045018507</v>
      </c>
      <c r="AW55" s="21">
        <f>EXP(-LN(2)/2)*AW54+(1-EXP(-LN(2)/2))/(LN(2)/2)*AQ55*AT55*VLOOKUP('Données projet'!$B$10,Paramètres!$A$1:$I$89,3,0)*0.475*44/12</f>
        <v>1.2380767367781121E-5</v>
      </c>
      <c r="AX55" s="21">
        <f t="shared" si="6"/>
        <v>75.927956094194542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6.6</v>
      </c>
      <c r="BD55" s="12">
        <f>IF('Données projet'!$A$88&gt;35,BD54+BC55-BL54,IF(A55&lt;'Données projet'!$A$88,$BA$205^A55,IF(A55='Données projet'!$A$88,'Données projet'!$B$88,BD54+BC55-BL54)))</f>
        <v>198.20000000000005</v>
      </c>
      <c r="BE55" s="13">
        <f>BD55*VLOOKUP('Données projet'!$B$11,Paramètres!$A$1:$I$89,3,0)*VLOOKUP('Données projet'!$B$11,Paramètres!$A$1:$I$89,5,0)</f>
        <v>173.14752000000007</v>
      </c>
      <c r="BF55" s="13">
        <f t="shared" si="37"/>
        <v>43.794208927254068</v>
      </c>
      <c r="BG55" s="20">
        <f t="shared" si="7"/>
        <v>377.84017788163425</v>
      </c>
      <c r="BH55" s="59">
        <f t="shared" si="8"/>
        <v>671.17351121496756</v>
      </c>
      <c r="BI55" s="59">
        <f ca="1">AVERAGE(OFFSET($BH$3,0,0,'Données projet'!$E$11+1,1))-AVERAGE(OFFSET($H$3,0,0,'Données projet'!$E$11+1,1))</f>
        <v>268.27008134105046</v>
      </c>
      <c r="BJ55" s="59">
        <f t="shared" si="38"/>
        <v>252.36274686619709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35.826425549696594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35.826425549696594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25.705000000000002</v>
      </c>
      <c r="N56" s="13">
        <f>IF('Données projet'!$A$36&gt;35,N55+M56-V55,IF(A56&lt;'Données projet'!$A$36,$K$205^A56,IF(A56='Données projet'!$A$36,'Données projet'!$B$36,N55+M56-V55)))</f>
        <v>682.90500000000031</v>
      </c>
      <c r="O56" s="13">
        <f>N56*VLOOKUP('Données projet'!$B$9,Paramètres!$A$1:$I$89,3,0)*VLOOKUP('Données projet'!$B$9,Paramètres!$A$1:$I$89,5,0)</f>
        <v>381.74389500000018</v>
      </c>
      <c r="P56" s="13">
        <f t="shared" si="33"/>
        <v>88.065517757867923</v>
      </c>
      <c r="Q56" s="20">
        <f t="shared" si="53"/>
        <v>818.25139388662035</v>
      </c>
      <c r="R56" s="59">
        <f t="shared" si="0"/>
        <v>1111.5847272199537</v>
      </c>
      <c r="S56" s="59">
        <f ca="1">AVERAGE(OFFSET($R$3,0,0,'Données projet'!$E$9+1,1))-AVERAGE(OFFSET($H$3,0,0,'Données projet'!$E$9+1,1))</f>
        <v>350.01600895263641</v>
      </c>
      <c r="T56" s="59">
        <f t="shared" si="34"/>
        <v>464.08921044376882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92.380327494231651</v>
      </c>
      <c r="AA56" s="21">
        <f>EXP(-LN(2)/25)*AA55+(1-EXP(-LN(2)/25))/(LN(2)/25)*Calculateur!V56*Calculateur!X56*VLOOKUP('Données projet'!$B$9,Paramètres!$A$1:$I$89,3,0)*0.475*44/12</f>
        <v>26.727373176034533</v>
      </c>
      <c r="AB56" s="21">
        <f>EXP(-LN(2)/2)*AB55+(1-EXP(-LN(2)/2))/(LN(2)/2)*V56*Y56*VLOOKUP('Données projet'!$B$9,Paramètres!$A$1:$I$89,3,0)*0.475*44/12</f>
        <v>2.5547012873020135E-4</v>
      </c>
      <c r="AC56" s="22">
        <f t="shared" si="3"/>
        <v>119.10795614039492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277.99999999999994</v>
      </c>
      <c r="AJ56" s="13">
        <f>AI56*VLOOKUP('Données projet'!$B$10,Paramètres!$A$1:$I$89,3,0)*VLOOKUP('Données projet'!$B$10,Paramètres!$A$1:$I$89,5,0)</f>
        <v>151.78799999999998</v>
      </c>
      <c r="AK56" s="13">
        <f t="shared" si="35"/>
        <v>38.984634390835623</v>
      </c>
      <c r="AL56" s="20">
        <f t="shared" si="4"/>
        <v>332.26233823070532</v>
      </c>
      <c r="AM56" s="59">
        <f t="shared" si="5"/>
        <v>625.59567156403864</v>
      </c>
      <c r="AN56" s="59">
        <f ca="1">AVERAGE(OFFSET($AM$3,0,0,'Données projet'!$E$10+1,1))-AVERAGE(OFFSET($H$3,0,0,'Données projet'!$E$10+1,1))</f>
        <v>159.92263609041913</v>
      </c>
      <c r="AO56" s="59">
        <f t="shared" si="36"/>
        <v>271.78119133009307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23.276567849614626</v>
      </c>
      <c r="AV56" s="21">
        <f>EXP(-LN(2)/25)*AV55+(1-EXP(-LN(2)/25))/(LN(2)/25)*Calculateur!AQ56*Calculateur!AS56*VLOOKUP('Données projet'!$B$10,Paramètres!$A$1:$I$89,3,0)*0.475*44/12</f>
        <v>50.758783407040156</v>
      </c>
      <c r="AW56" s="21">
        <f>EXP(-LN(2)/2)*AW55+(1-EXP(-LN(2)/2))/(LN(2)/2)*AQ56*AT56*VLOOKUP('Données projet'!$B$10,Paramètres!$A$1:$I$89,3,0)*0.475*44/12</f>
        <v>8.7545245620511529E-6</v>
      </c>
      <c r="AX56" s="21">
        <f t="shared" si="6"/>
        <v>74.035360011179336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6.6</v>
      </c>
      <c r="BD56" s="12">
        <f>IF('Données projet'!$A$88&gt;35,BD55+BC56-BL55,IF(A56&lt;'Données projet'!$A$88,$BA$205^A56,IF(A56='Données projet'!$A$88,'Données projet'!$B$88,BD55+BC56-BL55)))</f>
        <v>204.80000000000004</v>
      </c>
      <c r="BE56" s="13">
        <f>BD56*VLOOKUP('Données projet'!$B$11,Paramètres!$A$1:$I$89,3,0)*VLOOKUP('Données projet'!$B$11,Paramètres!$A$1:$I$89,5,0)</f>
        <v>178.91328000000004</v>
      </c>
      <c r="BF56" s="13">
        <f t="shared" si="37"/>
        <v>45.080325843494848</v>
      </c>
      <c r="BG56" s="20">
        <f t="shared" si="7"/>
        <v>390.12219684408689</v>
      </c>
      <c r="BH56" s="59">
        <f t="shared" si="8"/>
        <v>683.4555301774202</v>
      </c>
      <c r="BI56" s="59">
        <f ca="1">AVERAGE(OFFSET($BH$3,0,0,'Données projet'!$E$11+1,1))-AVERAGE(OFFSET($H$3,0,0,'Données projet'!$E$11+1,1))</f>
        <v>268.27008134105046</v>
      </c>
      <c r="BJ56" s="59">
        <f t="shared" si="38"/>
        <v>252.36274686619709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35.123891196628925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35.123891196628925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708.61</v>
      </c>
      <c r="L57" s="12">
        <f>VLOOKUP(A57,'Données projet'!$A$35:$I$55,9,0)</f>
        <v>25.705000000000002</v>
      </c>
      <c r="M57" s="12">
        <f t="array" ref="M57">INDEX(L:L,MIN(IF(ISNUMBER(L57:L253),ROW(L57:L253),"")))</f>
        <v>25.705000000000002</v>
      </c>
      <c r="N57" s="13">
        <f>IF('Données projet'!$A$36&gt;35,N56+M57-V56,IF(A57&lt;'Données projet'!$A$36,$K$205^A57,IF(A57='Données projet'!$A$36,'Données projet'!$B$36,N56+M57-V56)))</f>
        <v>708.61000000000035</v>
      </c>
      <c r="O57" s="13">
        <f>N57*VLOOKUP('Données projet'!$B$9,Paramètres!$A$1:$I$89,3,0)*VLOOKUP('Données projet'!$B$9,Paramètres!$A$1:$I$89,5,0)</f>
        <v>396.1129900000002</v>
      </c>
      <c r="P57" s="13">
        <f t="shared" si="33"/>
        <v>90.988186296707582</v>
      </c>
      <c r="Q57" s="20">
        <f t="shared" si="53"/>
        <v>848.36788205009941</v>
      </c>
      <c r="R57" s="59">
        <f t="shared" si="0"/>
        <v>1141.7012153834328</v>
      </c>
      <c r="S57" s="59">
        <f ca="1">AVERAGE(OFFSET($R$3,0,0,'Données projet'!$E$9+1,1))-AVERAGE(OFFSET($H$3,0,0,'Données projet'!$E$9+1,1))</f>
        <v>350.01600895263641</v>
      </c>
      <c r="T57" s="59">
        <f t="shared" si="34"/>
        <v>464.08921044376882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707.75</v>
      </c>
      <c r="W57" s="16">
        <f>IF(ISNA(VLOOKUP(A57,'Données projet'!$A$35:$I$55,5,0)),0%,VLOOKUP(A57,'Données projet'!$A$35:$I$55,5,0)*VLOOKUP('Données projet'!$B$9,Paramètres!$A$1:$I$89,7,0))</f>
        <v>0.55000000000000004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379.22622977006932</v>
      </c>
      <c r="AA57" s="21">
        <f>EXP(-LN(2)/25)*AA56+(1-EXP(-LN(2)/25))/(LN(2)/25)*Calculateur!V57*Calculateur!X57*VLOOKUP('Données projet'!$B$9,Paramètres!$A$1:$I$89,3,0)*0.475*44/12</f>
        <v>25.996511751004398</v>
      </c>
      <c r="AB57" s="21">
        <f>EXP(-LN(2)/2)*AB56+(1-EXP(-LN(2)/2))/(LN(2)/2)*V57*Y57*VLOOKUP('Données projet'!$B$9,Paramètres!$A$1:$I$89,3,0)*0.475*44/12</f>
        <v>1.8064466041572562E-4</v>
      </c>
      <c r="AC57" s="22">
        <f t="shared" si="3"/>
        <v>405.22292216573413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277.99999999999994</v>
      </c>
      <c r="AJ57" s="13">
        <f>AI57*VLOOKUP('Données projet'!$B$10,Paramètres!$A$1:$I$89,3,0)*VLOOKUP('Données projet'!$B$10,Paramètres!$A$1:$I$89,5,0)</f>
        <v>151.78799999999998</v>
      </c>
      <c r="AK57" s="13">
        <f t="shared" si="35"/>
        <v>38.984634390835623</v>
      </c>
      <c r="AL57" s="20">
        <f t="shared" si="4"/>
        <v>332.26233823070532</v>
      </c>
      <c r="AM57" s="59">
        <f t="shared" si="5"/>
        <v>625.59567156403864</v>
      </c>
      <c r="AN57" s="59">
        <f ca="1">AVERAGE(OFFSET($AM$3,0,0,'Données projet'!$E$10+1,1))-AVERAGE(OFFSET($H$3,0,0,'Données projet'!$E$10+1,1))</f>
        <v>159.92263609041913</v>
      </c>
      <c r="AO57" s="59">
        <f t="shared" si="36"/>
        <v>271.78119133009307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22.820128551388205</v>
      </c>
      <c r="AV57" s="21">
        <f>EXP(-LN(2)/25)*AV56+(1-EXP(-LN(2)/25))/(LN(2)/25)*Calculateur!AQ57*Calculateur!AS57*VLOOKUP('Données projet'!$B$10,Paramètres!$A$1:$I$89,3,0)*0.475*44/12</f>
        <v>49.370781805486232</v>
      </c>
      <c r="AW57" s="21">
        <f>EXP(-LN(2)/2)*AW56+(1-EXP(-LN(2)/2))/(LN(2)/2)*AQ57*AT57*VLOOKUP('Données projet'!$B$10,Paramètres!$A$1:$I$89,3,0)*0.475*44/12</f>
        <v>6.1903836838905605E-6</v>
      </c>
      <c r="AX57" s="21">
        <f t="shared" si="6"/>
        <v>72.190916547258126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6.6</v>
      </c>
      <c r="BD57" s="12">
        <f>IF('Données projet'!$A$88&gt;35,BD56+BC57-BL56,IF(A57&lt;'Données projet'!$A$88,$BA$205^A57,IF(A57='Données projet'!$A$88,'Données projet'!$B$88,BD56+BC57-BL56)))</f>
        <v>211.40000000000003</v>
      </c>
      <c r="BE57" s="13">
        <f>BD57*VLOOKUP('Données projet'!$B$11,Paramètres!$A$1:$I$89,3,0)*VLOOKUP('Données projet'!$B$11,Paramètres!$A$1:$I$89,5,0)</f>
        <v>184.67904000000004</v>
      </c>
      <c r="BF57" s="13">
        <f t="shared" si="37"/>
        <v>46.361626470742223</v>
      </c>
      <c r="BG57" s="20">
        <f t="shared" si="7"/>
        <v>402.39582743654279</v>
      </c>
      <c r="BH57" s="59">
        <f t="shared" si="8"/>
        <v>695.7291607698761</v>
      </c>
      <c r="BI57" s="59">
        <f ca="1">AVERAGE(OFFSET($BH$3,0,0,'Données projet'!$E$11+1,1))-AVERAGE(OFFSET($H$3,0,0,'Données projet'!$E$11+1,1))</f>
        <v>268.27008134105046</v>
      </c>
      <c r="BJ57" s="59">
        <f t="shared" si="38"/>
        <v>252.36274686619709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34.435133113721271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34.435133113721271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0.8600000000003547</v>
      </c>
      <c r="O58" s="13">
        <f>N58*VLOOKUP('Données projet'!$B$9,Paramètres!$A$1:$I$89,3,0)*VLOOKUP('Données projet'!$B$9,Paramètres!$A$1:$I$89,5,0)</f>
        <v>0.48074000000019829</v>
      </c>
      <c r="P58" s="13">
        <f t="shared" si="33"/>
        <v>0.24126147010950588</v>
      </c>
      <c r="Q58" s="20">
        <f t="shared" si="53"/>
        <v>1.2574858937744013</v>
      </c>
      <c r="R58" s="59">
        <f t="shared" si="0"/>
        <v>294.59081922710772</v>
      </c>
      <c r="S58" s="59">
        <f ca="1">AVERAGE(OFFSET($R$3,0,0,'Données projet'!$E$9+1,1))-AVERAGE(OFFSET($H$3,0,0,'Données projet'!$E$9+1,1))</f>
        <v>350.01600895263641</v>
      </c>
      <c r="T58" s="59">
        <f t="shared" si="34"/>
        <v>464.08921044376882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371.78983470943894</v>
      </c>
      <c r="AA58" s="21">
        <f>EXP(-LN(2)/25)*AA57+(1-EXP(-LN(2)/25))/(LN(2)/25)*Calculateur!V58*Calculateur!X58*VLOOKUP('Données projet'!$B$9,Paramètres!$A$1:$I$89,3,0)*0.475*44/12</f>
        <v>25.285635770076045</v>
      </c>
      <c r="AB58" s="21">
        <f>EXP(-LN(2)/2)*AB57+(1-EXP(-LN(2)/2))/(LN(2)/2)*V58*Y58*VLOOKUP('Données projet'!$B$9,Paramètres!$A$1:$I$89,3,0)*0.475*44/12</f>
        <v>1.2773506436510067E-4</v>
      </c>
      <c r="AC58" s="22">
        <f t="shared" si="3"/>
        <v>397.07559821457937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277.99999999999994</v>
      </c>
      <c r="AJ58" s="13">
        <f>AI58*VLOOKUP('Données projet'!$B$10,Paramètres!$A$1:$I$89,3,0)*VLOOKUP('Données projet'!$B$10,Paramètres!$A$1:$I$89,5,0)</f>
        <v>151.78799999999998</v>
      </c>
      <c r="AK58" s="13">
        <f t="shared" si="35"/>
        <v>38.984634390835623</v>
      </c>
      <c r="AL58" s="20">
        <f t="shared" si="4"/>
        <v>332.26233823070532</v>
      </c>
      <c r="AM58" s="59">
        <f t="shared" si="5"/>
        <v>625.59567156403864</v>
      </c>
      <c r="AN58" s="59">
        <f ca="1">AVERAGE(OFFSET($AM$3,0,0,'Données projet'!$E$10+1,1))-AVERAGE(OFFSET($H$3,0,0,'Données projet'!$E$10+1,1))</f>
        <v>159.92263609041913</v>
      </c>
      <c r="AO58" s="59">
        <f t="shared" si="36"/>
        <v>271.78119133009307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22.372639749399521</v>
      </c>
      <c r="AV58" s="21">
        <f>EXP(-LN(2)/25)*AV57+(1-EXP(-LN(2)/25))/(LN(2)/25)*Calculateur!AQ58*Calculateur!AS58*VLOOKUP('Données projet'!$B$10,Paramètres!$A$1:$I$89,3,0)*0.475*44/12</f>
        <v>48.020735180718631</v>
      </c>
      <c r="AW58" s="21">
        <f>EXP(-LN(2)/2)*AW57+(1-EXP(-LN(2)/2))/(LN(2)/2)*AQ58*AT58*VLOOKUP('Données projet'!$B$10,Paramètres!$A$1:$I$89,3,0)*0.475*44/12</f>
        <v>4.3772622810255764E-6</v>
      </c>
      <c r="AX58" s="21">
        <f t="shared" si="6"/>
        <v>70.393379307380442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218</v>
      </c>
      <c r="BB58" s="12">
        <f>VLOOKUP(A58,'Données projet'!$A$87:$I$107,9,0)</f>
        <v>6.6</v>
      </c>
      <c r="BC58" s="12">
        <f t="array" ref="BC58">INDEX(BB:BB,MIN(IF(ISNUMBER(BB58:BB254),ROW(BB58:BB254),"")))</f>
        <v>6.6</v>
      </c>
      <c r="BD58" s="12">
        <f>IF('Données projet'!$A$88&gt;35,BD57+BC58-BL57,IF(A58&lt;'Données projet'!$A$88,$BA$205^A58,IF(A58='Données projet'!$A$88,'Données projet'!$B$88,BD57+BC58-BL57)))</f>
        <v>218.00000000000003</v>
      </c>
      <c r="BE58" s="13">
        <f>BD58*VLOOKUP('Données projet'!$B$11,Paramètres!$A$1:$I$89,3,0)*VLOOKUP('Données projet'!$B$11,Paramètres!$A$1:$I$89,5,0)</f>
        <v>190.44480000000004</v>
      </c>
      <c r="BF58" s="13">
        <f t="shared" si="37"/>
        <v>47.638278428909231</v>
      </c>
      <c r="BG58" s="20">
        <f t="shared" si="7"/>
        <v>414.66136159701699</v>
      </c>
      <c r="BH58" s="59">
        <f t="shared" si="8"/>
        <v>707.99469493035031</v>
      </c>
      <c r="BI58" s="59">
        <f ca="1">AVERAGE(OFFSET($BH$3,0,0,'Données projet'!$E$11+1,1))-AVERAGE(OFFSET($H$3,0,0,'Données projet'!$E$11+1,1))</f>
        <v>268.27008134105046</v>
      </c>
      <c r="BJ58" s="59">
        <f t="shared" si="38"/>
        <v>252.36274686619709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23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43.311039110726739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43.311039110726739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0.8600000000003547</v>
      </c>
      <c r="O59" s="13">
        <f>N59*VLOOKUP('Données projet'!$B$9,Paramètres!$A$1:$I$89,3,0)*VLOOKUP('Données projet'!$B$9,Paramètres!$A$1:$I$89,5,0)</f>
        <v>0.48074000000019829</v>
      </c>
      <c r="P59" s="13">
        <f t="shared" si="33"/>
        <v>0.24126147010950588</v>
      </c>
      <c r="Q59" s="20">
        <f t="shared" si="53"/>
        <v>1.2574858937744013</v>
      </c>
      <c r="R59" s="59">
        <f t="shared" si="0"/>
        <v>294.59081922710772</v>
      </c>
      <c r="S59" s="59">
        <f ca="1">AVERAGE(OFFSET($R$3,0,0,'Données projet'!$E$9+1,1))-AVERAGE(OFFSET($H$3,0,0,'Données projet'!$E$9+1,1))</f>
        <v>350.01600895263641</v>
      </c>
      <c r="T59" s="59">
        <f t="shared" si="34"/>
        <v>464.08921044376882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364.49926282019442</v>
      </c>
      <c r="AA59" s="21">
        <f>EXP(-LN(2)/25)*AA58+(1-EXP(-LN(2)/25))/(LN(2)/25)*Calculateur!V59*Calculateur!X59*VLOOKUP('Données projet'!$B$9,Paramètres!$A$1:$I$89,3,0)*0.475*44/12</f>
        <v>24.594198730229522</v>
      </c>
      <c r="AB59" s="21">
        <f>EXP(-LN(2)/2)*AB58+(1-EXP(-LN(2)/2))/(LN(2)/2)*V59*Y59*VLOOKUP('Données projet'!$B$9,Paramètres!$A$1:$I$89,3,0)*0.475*44/12</f>
        <v>9.032233020786281E-5</v>
      </c>
      <c r="AC59" s="22">
        <f t="shared" si="3"/>
        <v>389.09355187275418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277.99999999999994</v>
      </c>
      <c r="AJ59" s="13">
        <f>AI59*VLOOKUP('Données projet'!$B$10,Paramètres!$A$1:$I$89,3,0)*VLOOKUP('Données projet'!$B$10,Paramètres!$A$1:$I$89,5,0)</f>
        <v>151.78799999999998</v>
      </c>
      <c r="AK59" s="13">
        <f t="shared" si="35"/>
        <v>38.984634390835623</v>
      </c>
      <c r="AL59" s="20">
        <f t="shared" si="4"/>
        <v>332.26233823070532</v>
      </c>
      <c r="AM59" s="59">
        <f t="shared" si="5"/>
        <v>625.59567156403864</v>
      </c>
      <c r="AN59" s="59">
        <f ca="1">AVERAGE(OFFSET($AM$3,0,0,'Données projet'!$E$10+1,1))-AVERAGE(OFFSET($H$3,0,0,'Données projet'!$E$10+1,1))</f>
        <v>159.92263609041913</v>
      </c>
      <c r="AO59" s="59">
        <f t="shared" si="36"/>
        <v>271.78119133009307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21.933925929876619</v>
      </c>
      <c r="AV59" s="21">
        <f>EXP(-LN(2)/25)*AV58+(1-EXP(-LN(2)/25))/(LN(2)/25)*Calculateur!AQ59*Calculateur!AS59*VLOOKUP('Données projet'!$B$10,Paramètres!$A$1:$I$89,3,0)*0.475*44/12</f>
        <v>46.707605651901169</v>
      </c>
      <c r="AW59" s="21">
        <f>EXP(-LN(2)/2)*AW58+(1-EXP(-LN(2)/2))/(LN(2)/2)*AQ59*AT59*VLOOKUP('Données projet'!$B$10,Paramètres!$A$1:$I$89,3,0)*0.475*44/12</f>
        <v>3.0951918419452803E-6</v>
      </c>
      <c r="AX59" s="21">
        <f t="shared" si="6"/>
        <v>68.641534676969627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</v>
      </c>
      <c r="BD59" s="12">
        <f>IF('Données projet'!$A$88&gt;35,BD58+BC59-BL58,IF(A59&lt;'Données projet'!$A$88,$BA$205^A59,IF(A59='Données projet'!$A$88,'Données projet'!$B$88,BD58+BC59-BL58)))</f>
        <v>201.00000000000003</v>
      </c>
      <c r="BE59" s="13">
        <f>BD59*VLOOKUP('Données projet'!$B$11,Paramètres!$A$1:$I$89,3,0)*VLOOKUP('Données projet'!$B$11,Paramètres!$A$1:$I$89,5,0)</f>
        <v>175.59360000000007</v>
      </c>
      <c r="BF59" s="13">
        <f t="shared" si="37"/>
        <v>44.340433728638573</v>
      </c>
      <c r="BG59" s="20">
        <f t="shared" si="7"/>
        <v>383.05177541071225</v>
      </c>
      <c r="BH59" s="59">
        <f t="shared" si="8"/>
        <v>676.38510874404551</v>
      </c>
      <c r="BI59" s="59">
        <f ca="1">AVERAGE(OFFSET($BH$3,0,0,'Données projet'!$E$11+1,1))-AVERAGE(OFFSET($H$3,0,0,'Données projet'!$E$11+1,1))</f>
        <v>268.27008134105046</v>
      </c>
      <c r="BJ59" s="59">
        <f t="shared" si="38"/>
        <v>252.36274686619709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42.461736050890771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42.461736050890771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0.8600000000003547</v>
      </c>
      <c r="O60" s="13">
        <f>N60*VLOOKUP('Données projet'!$B$9,Paramètres!$A$1:$I$89,3,0)*VLOOKUP('Données projet'!$B$9,Paramètres!$A$1:$I$89,5,0)</f>
        <v>0.48074000000019829</v>
      </c>
      <c r="P60" s="13">
        <f t="shared" si="33"/>
        <v>0.24126147010950588</v>
      </c>
      <c r="Q60" s="20">
        <f t="shared" si="53"/>
        <v>1.2574858937744013</v>
      </c>
      <c r="R60" s="59">
        <f t="shared" si="0"/>
        <v>294.59081922710772</v>
      </c>
      <c r="S60" s="59">
        <f ca="1">AVERAGE(OFFSET($R$3,0,0,'Données projet'!$E$9+1,1))-AVERAGE(OFFSET($H$3,0,0,'Données projet'!$E$9+1,1))</f>
        <v>350.01600895263641</v>
      </c>
      <c r="T60" s="59">
        <f t="shared" si="34"/>
        <v>464.08921044376882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357.35165459888822</v>
      </c>
      <c r="AA60" s="21">
        <f>EXP(-LN(2)/25)*AA59+(1-EXP(-LN(2)/25))/(LN(2)/25)*Calculateur!V60*Calculateur!X60*VLOOKUP('Données projet'!$B$9,Paramètres!$A$1:$I$89,3,0)*0.475*44/12</f>
        <v>23.921669072598696</v>
      </c>
      <c r="AB60" s="21">
        <f>EXP(-LN(2)/2)*AB59+(1-EXP(-LN(2)/2))/(LN(2)/2)*V60*Y60*VLOOKUP('Données projet'!$B$9,Paramètres!$A$1:$I$89,3,0)*0.475*44/12</f>
        <v>6.3867532182550337E-5</v>
      </c>
      <c r="AC60" s="22">
        <f t="shared" si="3"/>
        <v>381.2733875390191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277.99999999999994</v>
      </c>
      <c r="AJ60" s="13">
        <f>AI60*VLOOKUP('Données projet'!$B$10,Paramètres!$A$1:$I$89,3,0)*VLOOKUP('Données projet'!$B$10,Paramètres!$A$1:$I$89,5,0)</f>
        <v>151.78799999999998</v>
      </c>
      <c r="AK60" s="13">
        <f t="shared" si="35"/>
        <v>38.984634390835623</v>
      </c>
      <c r="AL60" s="20">
        <f t="shared" si="4"/>
        <v>332.26233823070532</v>
      </c>
      <c r="AM60" s="59">
        <f t="shared" si="5"/>
        <v>625.59567156403864</v>
      </c>
      <c r="AN60" s="59">
        <f ca="1">AVERAGE(OFFSET($AM$3,0,0,'Données projet'!$E$10+1,1))-AVERAGE(OFFSET($H$3,0,0,'Données projet'!$E$10+1,1))</f>
        <v>159.92263609041913</v>
      </c>
      <c r="AO60" s="59">
        <f t="shared" si="36"/>
        <v>271.78119133009307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21.503815020765551</v>
      </c>
      <c r="AV60" s="21">
        <f>EXP(-LN(2)/25)*AV59+(1-EXP(-LN(2)/25))/(LN(2)/25)*Calculateur!AQ60*Calculateur!AS60*VLOOKUP('Données projet'!$B$10,Paramètres!$A$1:$I$89,3,0)*0.475*44/12</f>
        <v>45.430383719103702</v>
      </c>
      <c r="AW60" s="21">
        <f>EXP(-LN(2)/2)*AW59+(1-EXP(-LN(2)/2))/(LN(2)/2)*AQ60*AT60*VLOOKUP('Données projet'!$B$10,Paramètres!$A$1:$I$89,3,0)*0.475*44/12</f>
        <v>2.1886311405127882E-6</v>
      </c>
      <c r="AX60" s="21">
        <f t="shared" si="6"/>
        <v>66.934200928500402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</v>
      </c>
      <c r="BD60" s="12">
        <f>IF('Données projet'!$A$88&gt;35,BD59+BC60-BL59,IF(A60&lt;'Données projet'!$A$88,$BA$205^A60,IF(A60='Données projet'!$A$88,'Données projet'!$B$88,BD59+BC60-BL59)))</f>
        <v>207.00000000000003</v>
      </c>
      <c r="BE60" s="13">
        <f>BD60*VLOOKUP('Données projet'!$B$11,Paramètres!$A$1:$I$89,3,0)*VLOOKUP('Données projet'!$B$11,Paramètres!$A$1:$I$89,5,0)</f>
        <v>180.83520000000004</v>
      </c>
      <c r="BF60" s="13">
        <f t="shared" si="37"/>
        <v>45.507952685945142</v>
      </c>
      <c r="BG60" s="20">
        <f t="shared" si="7"/>
        <v>394.21432426135453</v>
      </c>
      <c r="BH60" s="59">
        <f t="shared" si="8"/>
        <v>687.54765759468785</v>
      </c>
      <c r="BI60" s="59">
        <f ca="1">AVERAGE(OFFSET($BH$3,0,0,'Données projet'!$E$11+1,1))-AVERAGE(OFFSET($H$3,0,0,'Données projet'!$E$11+1,1))</f>
        <v>268.27008134105046</v>
      </c>
      <c r="BJ60" s="59">
        <f t="shared" si="38"/>
        <v>252.36274686619709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41.629087306034471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41.629087306034471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0.8600000000003547</v>
      </c>
      <c r="O61" s="13">
        <f>N61*VLOOKUP('Données projet'!$B$9,Paramètres!$A$1:$I$89,3,0)*VLOOKUP('Données projet'!$B$9,Paramètres!$A$1:$I$89,5,0)</f>
        <v>0.48074000000019829</v>
      </c>
      <c r="P61" s="13">
        <f t="shared" si="33"/>
        <v>0.24126147010950588</v>
      </c>
      <c r="Q61" s="20">
        <f t="shared" si="53"/>
        <v>1.2574858937744013</v>
      </c>
      <c r="R61" s="59">
        <f t="shared" si="0"/>
        <v>294.59081922710772</v>
      </c>
      <c r="S61" s="59">
        <f ca="1">AVERAGE(OFFSET($R$3,0,0,'Données projet'!$E$9+1,1))-AVERAGE(OFFSET($H$3,0,0,'Données projet'!$E$9+1,1))</f>
        <v>350.01600895263641</v>
      </c>
      <c r="T61" s="59">
        <f t="shared" si="34"/>
        <v>464.08921044376882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350.34420661519124</v>
      </c>
      <c r="AA61" s="21">
        <f>EXP(-LN(2)/25)*AA60+(1-EXP(-LN(2)/25))/(LN(2)/25)*Calculateur!V61*Calculateur!X61*VLOOKUP('Données projet'!$B$9,Paramètres!$A$1:$I$89,3,0)*0.475*44/12</f>
        <v>23.267529773822581</v>
      </c>
      <c r="AB61" s="21">
        <f>EXP(-LN(2)/2)*AB60+(1-EXP(-LN(2)/2))/(LN(2)/2)*V61*Y61*VLOOKUP('Données projet'!$B$9,Paramètres!$A$1:$I$89,3,0)*0.475*44/12</f>
        <v>4.5161165103931405E-5</v>
      </c>
      <c r="AC61" s="22">
        <f t="shared" si="3"/>
        <v>373.61178155017888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277.99999999999994</v>
      </c>
      <c r="AJ61" s="13">
        <f>AI61*VLOOKUP('Données projet'!$B$10,Paramètres!$A$1:$I$89,3,0)*VLOOKUP('Données projet'!$B$10,Paramètres!$A$1:$I$89,5,0)</f>
        <v>151.78799999999998</v>
      </c>
      <c r="AK61" s="13">
        <f t="shared" si="35"/>
        <v>38.984634390835623</v>
      </c>
      <c r="AL61" s="20">
        <f t="shared" si="4"/>
        <v>332.26233823070532</v>
      </c>
      <c r="AM61" s="59">
        <f t="shared" si="5"/>
        <v>625.59567156403864</v>
      </c>
      <c r="AN61" s="59">
        <f ca="1">AVERAGE(OFFSET($AM$3,0,0,'Données projet'!$E$10+1,1))-AVERAGE(OFFSET($H$3,0,0,'Données projet'!$E$10+1,1))</f>
        <v>159.92263609041913</v>
      </c>
      <c r="AO61" s="59">
        <f t="shared" si="36"/>
        <v>271.78119133009307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21.0821383242404</v>
      </c>
      <c r="AV61" s="21">
        <f>EXP(-LN(2)/25)*AV60+(1-EXP(-LN(2)/25))/(LN(2)/25)*Calculateur!AQ61*Calculateur!AS61*VLOOKUP('Données projet'!$B$10,Paramètres!$A$1:$I$89,3,0)*0.475*44/12</f>
        <v>44.188087487224763</v>
      </c>
      <c r="AW61" s="21">
        <f>EXP(-LN(2)/2)*AW60+(1-EXP(-LN(2)/2))/(LN(2)/2)*AQ61*AT61*VLOOKUP('Données projet'!$B$10,Paramètres!$A$1:$I$89,3,0)*0.475*44/12</f>
        <v>1.5475959209726401E-6</v>
      </c>
      <c r="AX61" s="21">
        <f t="shared" si="6"/>
        <v>65.270227359061082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</v>
      </c>
      <c r="BD61" s="12">
        <f>IF('Données projet'!$A$88&gt;35,BD60+BC61-BL60,IF(A61&lt;'Données projet'!$A$88,$BA$205^A61,IF(A61='Données projet'!$A$88,'Données projet'!$B$88,BD60+BC61-BL60)))</f>
        <v>213.00000000000003</v>
      </c>
      <c r="BE61" s="13">
        <f>BD61*VLOOKUP('Données projet'!$B$11,Paramètres!$A$1:$I$89,3,0)*VLOOKUP('Données projet'!$B$11,Paramètres!$A$1:$I$89,5,0)</f>
        <v>186.07680000000005</v>
      </c>
      <c r="BF61" s="13">
        <f t="shared" si="37"/>
        <v>46.671538591528673</v>
      </c>
      <c r="BG61" s="20">
        <f t="shared" si="7"/>
        <v>405.37002304691242</v>
      </c>
      <c r="BH61" s="59">
        <f t="shared" si="8"/>
        <v>698.70335638024574</v>
      </c>
      <c r="BI61" s="59">
        <f ca="1">AVERAGE(OFFSET($BH$3,0,0,'Données projet'!$E$11+1,1))-AVERAGE(OFFSET($H$3,0,0,'Données projet'!$E$11+1,1))</f>
        <v>268.27008134105046</v>
      </c>
      <c r="BJ61" s="59">
        <f t="shared" si="38"/>
        <v>252.36274686619709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40.812766295199218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40.812766295199218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0.8600000000003547</v>
      </c>
      <c r="O62" s="13">
        <f>N62*VLOOKUP('Données projet'!$B$9,Paramètres!$A$1:$I$89,3,0)*VLOOKUP('Données projet'!$B$9,Paramètres!$A$1:$I$89,5,0)</f>
        <v>0.48074000000019829</v>
      </c>
      <c r="P62" s="13">
        <f t="shared" si="33"/>
        <v>0.24126147010950588</v>
      </c>
      <c r="Q62" s="20">
        <f t="shared" si="53"/>
        <v>1.2574858937744013</v>
      </c>
      <c r="R62" s="59">
        <f t="shared" si="0"/>
        <v>294.59081922710772</v>
      </c>
      <c r="S62" s="59">
        <f ca="1">AVERAGE(OFFSET($R$3,0,0,'Données projet'!$E$9+1,1))-AVERAGE(OFFSET($H$3,0,0,'Données projet'!$E$9+1,1))</f>
        <v>350.01600895263641</v>
      </c>
      <c r="T62" s="59">
        <f t="shared" si="34"/>
        <v>464.08921044376882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343.47417041233336</v>
      </c>
      <c r="AA62" s="21">
        <f>EXP(-LN(2)/25)*AA61+(1-EXP(-LN(2)/25))/(LN(2)/25)*Calculateur!V62*Calculateur!X62*VLOOKUP('Données projet'!$B$9,Paramètres!$A$1:$I$89,3,0)*0.475*44/12</f>
        <v>22.631277948571189</v>
      </c>
      <c r="AB62" s="21">
        <f>EXP(-LN(2)/2)*AB61+(1-EXP(-LN(2)/2))/(LN(2)/2)*V62*Y62*VLOOKUP('Données projet'!$B$9,Paramètres!$A$1:$I$89,3,0)*0.475*44/12</f>
        <v>3.1933766091275169E-5</v>
      </c>
      <c r="AC62" s="22">
        <f t="shared" si="3"/>
        <v>366.10548029467066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277.99999999999994</v>
      </c>
      <c r="AJ62" s="13">
        <f>AI62*VLOOKUP('Données projet'!$B$10,Paramètres!$A$1:$I$89,3,0)*VLOOKUP('Données projet'!$B$10,Paramètres!$A$1:$I$89,5,0)</f>
        <v>151.78799999999998</v>
      </c>
      <c r="AK62" s="13">
        <f t="shared" si="35"/>
        <v>38.984634390835623</v>
      </c>
      <c r="AL62" s="20">
        <f t="shared" si="4"/>
        <v>332.26233823070532</v>
      </c>
      <c r="AM62" s="59">
        <f t="shared" si="5"/>
        <v>625.59567156403864</v>
      </c>
      <c r="AN62" s="59">
        <f ca="1">AVERAGE(OFFSET($AM$3,0,0,'Données projet'!$E$10+1,1))-AVERAGE(OFFSET($H$3,0,0,'Données projet'!$E$10+1,1))</f>
        <v>159.92263609041913</v>
      </c>
      <c r="AO62" s="59">
        <f t="shared" si="36"/>
        <v>271.78119133009307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20.668730450536721</v>
      </c>
      <c r="AV62" s="21">
        <f>EXP(-LN(2)/25)*AV61+(1-EXP(-LN(2)/25))/(LN(2)/25)*Calculateur!AQ62*Calculateur!AS62*VLOOKUP('Données projet'!$B$10,Paramètres!$A$1:$I$89,3,0)*0.475*44/12</f>
        <v>42.979761911136073</v>
      </c>
      <c r="AW62" s="21">
        <f>EXP(-LN(2)/2)*AW61+(1-EXP(-LN(2)/2))/(LN(2)/2)*AQ62*AT62*VLOOKUP('Données projet'!$B$10,Paramètres!$A$1:$I$89,3,0)*0.475*44/12</f>
        <v>1.0943155702563941E-6</v>
      </c>
      <c r="AX62" s="21">
        <f t="shared" si="6"/>
        <v>63.648493455988365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</v>
      </c>
      <c r="BD62" s="12">
        <f>IF('Données projet'!$A$88&gt;35,BD61+BC62-BL61,IF(A62&lt;'Données projet'!$A$88,$BA$205^A62,IF(A62='Données projet'!$A$88,'Données projet'!$B$88,BD61+BC62-BL61)))</f>
        <v>219.00000000000003</v>
      </c>
      <c r="BE62" s="13">
        <f>BD62*VLOOKUP('Données projet'!$B$11,Paramètres!$A$1:$I$89,3,0)*VLOOKUP('Données projet'!$B$11,Paramètres!$A$1:$I$89,5,0)</f>
        <v>191.31840000000005</v>
      </c>
      <c r="BF62" s="13">
        <f t="shared" si="37"/>
        <v>47.831314962098396</v>
      </c>
      <c r="BG62" s="20">
        <f t="shared" si="7"/>
        <v>416.51908689232141</v>
      </c>
      <c r="BH62" s="59">
        <f t="shared" si="8"/>
        <v>709.85242022565467</v>
      </c>
      <c r="BI62" s="59">
        <f ca="1">AVERAGE(OFFSET($BH$3,0,0,'Données projet'!$E$11+1,1))-AVERAGE(OFFSET($H$3,0,0,'Données projet'!$E$11+1,1))</f>
        <v>268.27008134105046</v>
      </c>
      <c r="BJ62" s="59">
        <f t="shared" si="38"/>
        <v>252.36274686619709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40.012452841479792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40.012452841479792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0.8600000000003547</v>
      </c>
      <c r="O63" s="13">
        <f>N63*VLOOKUP('Données projet'!$B$9,Paramètres!$A$1:$I$89,3,0)*VLOOKUP('Données projet'!$B$9,Paramètres!$A$1:$I$89,5,0)</f>
        <v>0.48074000000019829</v>
      </c>
      <c r="P63" s="13">
        <f t="shared" si="33"/>
        <v>0.24126147010950588</v>
      </c>
      <c r="Q63" s="20">
        <f t="shared" si="53"/>
        <v>1.2574858937744013</v>
      </c>
      <c r="R63" s="59">
        <f t="shared" si="0"/>
        <v>294.59081922710772</v>
      </c>
      <c r="S63" s="59">
        <f ca="1">AVERAGE(OFFSET($R$3,0,0,'Données projet'!$E$9+1,1))-AVERAGE(OFFSET($H$3,0,0,'Données projet'!$E$9+1,1))</f>
        <v>350.01600895263641</v>
      </c>
      <c r="T63" s="59">
        <f t="shared" si="34"/>
        <v>464.08921044376882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336.73885142910518</v>
      </c>
      <c r="AA63" s="21">
        <f>EXP(-LN(2)/25)*AA62+(1-EXP(-LN(2)/25))/(LN(2)/25)*Calculateur!V63*Calculateur!X63*VLOOKUP('Données projet'!$B$9,Paramètres!$A$1:$I$89,3,0)*0.475*44/12</f>
        <v>22.012424462940327</v>
      </c>
      <c r="AB63" s="21">
        <f>EXP(-LN(2)/2)*AB62+(1-EXP(-LN(2)/2))/(LN(2)/2)*V63*Y63*VLOOKUP('Données projet'!$B$9,Paramètres!$A$1:$I$89,3,0)*0.475*44/12</f>
        <v>2.2580582551965702E-5</v>
      </c>
      <c r="AC63" s="22">
        <f t="shared" si="3"/>
        <v>358.75129847262804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277.99999999999994</v>
      </c>
      <c r="AJ63" s="13">
        <f>AI63*VLOOKUP('Données projet'!$B$10,Paramètres!$A$1:$I$89,3,0)*VLOOKUP('Données projet'!$B$10,Paramètres!$A$1:$I$89,5,0)</f>
        <v>151.78799999999998</v>
      </c>
      <c r="AK63" s="13">
        <f t="shared" si="35"/>
        <v>38.984634390835623</v>
      </c>
      <c r="AL63" s="20">
        <f t="shared" si="4"/>
        <v>332.26233823070532</v>
      </c>
      <c r="AM63" s="59">
        <f t="shared" si="5"/>
        <v>625.59567156403864</v>
      </c>
      <c r="AN63" s="59">
        <f ca="1">AVERAGE(OFFSET($AM$3,0,0,'Données projet'!$E$10+1,1))-AVERAGE(OFFSET($H$3,0,0,'Données projet'!$E$10+1,1))</f>
        <v>159.92263609041913</v>
      </c>
      <c r="AO63" s="59">
        <f t="shared" si="36"/>
        <v>271.78119133009307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20.263429253082464</v>
      </c>
      <c r="AV63" s="21">
        <f>EXP(-LN(2)/25)*AV62+(1-EXP(-LN(2)/25))/(LN(2)/25)*Calculateur!AQ63*Calculateur!AS63*VLOOKUP('Données projet'!$B$10,Paramètres!$A$1:$I$89,3,0)*0.475*44/12</f>
        <v>41.804478061468608</v>
      </c>
      <c r="AW63" s="21">
        <f>EXP(-LN(2)/2)*AW62+(1-EXP(-LN(2)/2))/(LN(2)/2)*AQ63*AT63*VLOOKUP('Données projet'!$B$10,Paramètres!$A$1:$I$89,3,0)*0.475*44/12</f>
        <v>7.7379796048632007E-7</v>
      </c>
      <c r="AX63" s="21">
        <f t="shared" si="6"/>
        <v>62.067908088349029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225</v>
      </c>
      <c r="BB63" s="12">
        <f>VLOOKUP(A63,'Données projet'!$A$87:$I$107,9,0)</f>
        <v>6</v>
      </c>
      <c r="BC63" s="12">
        <f t="array" ref="BC63">INDEX(BB:BB,MIN(IF(ISNUMBER(BB63:BB259),ROW(BB63:BB259),"")))</f>
        <v>6</v>
      </c>
      <c r="BD63" s="12">
        <f>IF('Données projet'!$A$88&gt;35,BD62+BC63-BL62,IF(A63&lt;'Données projet'!$A$88,$BA$205^A63,IF(A63='Données projet'!$A$88,'Données projet'!$B$88,BD62+BC63-BL62)))</f>
        <v>225.00000000000003</v>
      </c>
      <c r="BE63" s="13">
        <f>BD63*VLOOKUP('Données projet'!$B$11,Paramètres!$A$1:$I$89,3,0)*VLOOKUP('Données projet'!$B$11,Paramètres!$A$1:$I$89,5,0)</f>
        <v>196.56000000000006</v>
      </c>
      <c r="BF63" s="13">
        <f t="shared" si="37"/>
        <v>48.987398161128134</v>
      </c>
      <c r="BG63" s="20">
        <f t="shared" si="7"/>
        <v>427.66171846396492</v>
      </c>
      <c r="BH63" s="59">
        <f t="shared" si="8"/>
        <v>720.99505179729817</v>
      </c>
      <c r="BI63" s="59">
        <f ca="1">AVERAGE(OFFSET($BH$3,0,0,'Données projet'!$E$11+1,1))-AVERAGE(OFFSET($H$3,0,0,'Données projet'!$E$11+1,1))</f>
        <v>268.27008134105046</v>
      </c>
      <c r="BJ63" s="59">
        <f t="shared" si="38"/>
        <v>252.36274686619709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21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47.948455526191459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47.948455526191459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0.8600000000003547</v>
      </c>
      <c r="O64" s="13">
        <f>N64*VLOOKUP('Données projet'!$B$9,Paramètres!$A$1:$I$89,3,0)*VLOOKUP('Données projet'!$B$9,Paramètres!$A$1:$I$89,5,0)</f>
        <v>0.48074000000019829</v>
      </c>
      <c r="P64" s="13">
        <f t="shared" si="33"/>
        <v>0.24126147010950588</v>
      </c>
      <c r="Q64" s="20">
        <f t="shared" si="53"/>
        <v>1.2574858937744013</v>
      </c>
      <c r="R64" s="59">
        <f t="shared" si="0"/>
        <v>294.59081922710772</v>
      </c>
      <c r="S64" s="59">
        <f ca="1">AVERAGE(OFFSET($R$3,0,0,'Données projet'!$E$9+1,1))-AVERAGE(OFFSET($H$3,0,0,'Données projet'!$E$9+1,1))</f>
        <v>350.01600895263641</v>
      </c>
      <c r="T64" s="59">
        <f t="shared" si="34"/>
        <v>464.08921044376882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330.13560794299917</v>
      </c>
      <c r="AA64" s="21">
        <f>EXP(-LN(2)/25)*AA63+(1-EXP(-LN(2)/25))/(LN(2)/25)*Calculateur!V64*Calculateur!X64*VLOOKUP('Données projet'!$B$9,Paramètres!$A$1:$I$89,3,0)*0.475*44/12</f>
        <v>21.410493558418132</v>
      </c>
      <c r="AB64" s="21">
        <f>EXP(-LN(2)/2)*AB63+(1-EXP(-LN(2)/2))/(LN(2)/2)*V64*Y64*VLOOKUP('Données projet'!$B$9,Paramètres!$A$1:$I$89,3,0)*0.475*44/12</f>
        <v>1.5966883045637584E-5</v>
      </c>
      <c r="AC64" s="22">
        <f t="shared" si="3"/>
        <v>351.54611746830034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277.99999999999994</v>
      </c>
      <c r="AJ64" s="13">
        <f>AI64*VLOOKUP('Données projet'!$B$10,Paramètres!$A$1:$I$89,3,0)*VLOOKUP('Données projet'!$B$10,Paramètres!$A$1:$I$89,5,0)</f>
        <v>151.78799999999998</v>
      </c>
      <c r="AK64" s="13">
        <f t="shared" si="35"/>
        <v>38.984634390835623</v>
      </c>
      <c r="AL64" s="20">
        <f t="shared" si="4"/>
        <v>332.26233823070532</v>
      </c>
      <c r="AM64" s="59">
        <f t="shared" si="5"/>
        <v>625.59567156403864</v>
      </c>
      <c r="AN64" s="59">
        <f ca="1">AVERAGE(OFFSET($AM$3,0,0,'Données projet'!$E$10+1,1))-AVERAGE(OFFSET($H$3,0,0,'Données projet'!$E$10+1,1))</f>
        <v>159.92263609041913</v>
      </c>
      <c r="AO64" s="59">
        <f t="shared" si="36"/>
        <v>271.78119133009307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19.866075764900966</v>
      </c>
      <c r="AV64" s="21">
        <f>EXP(-LN(2)/25)*AV63+(1-EXP(-LN(2)/25))/(LN(2)/25)*Calculateur!AQ64*Calculateur!AS64*VLOOKUP('Données projet'!$B$10,Paramètres!$A$1:$I$89,3,0)*0.475*44/12</f>
        <v>40.661332410475794</v>
      </c>
      <c r="AW64" s="21">
        <f>EXP(-LN(2)/2)*AW63+(1-EXP(-LN(2)/2))/(LN(2)/2)*AQ64*AT64*VLOOKUP('Données projet'!$B$10,Paramètres!$A$1:$I$89,3,0)*0.475*44/12</f>
        <v>5.4715778512819706E-7</v>
      </c>
      <c r="AX64" s="21">
        <f t="shared" si="6"/>
        <v>60.527408722534545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5.6</v>
      </c>
      <c r="BD64" s="12">
        <f>IF('Données projet'!$A$88&gt;35,BD63+BC64-BL63,IF(A64&lt;'Données projet'!$A$88,$BA$205^A64,IF(A64='Données projet'!$A$88,'Données projet'!$B$88,BD63+BC64-BL63)))</f>
        <v>209.60000000000002</v>
      </c>
      <c r="BE64" s="13">
        <f>BD64*VLOOKUP('Données projet'!$B$11,Paramètres!$A$1:$I$89,3,0)*VLOOKUP('Données projet'!$B$11,Paramètres!$A$1:$I$89,5,0)</f>
        <v>183.10656000000003</v>
      </c>
      <c r="BF64" s="13">
        <f t="shared" si="37"/>
        <v>46.012648718992089</v>
      </c>
      <c r="BG64" s="20">
        <f t="shared" si="7"/>
        <v>399.04928851891128</v>
      </c>
      <c r="BH64" s="59">
        <f t="shared" si="8"/>
        <v>692.3826218522446</v>
      </c>
      <c r="BI64" s="59">
        <f ca="1">AVERAGE(OFFSET($BH$3,0,0,'Données projet'!$E$11+1,1))-AVERAGE(OFFSET($H$3,0,0,'Données projet'!$E$11+1,1))</f>
        <v>268.27008134105046</v>
      </c>
      <c r="BJ64" s="59">
        <f t="shared" si="38"/>
        <v>252.36274686619709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47.008215558992944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47.008215558992944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0.8600000000003547</v>
      </c>
      <c r="O65" s="13">
        <f>N65*VLOOKUP('Données projet'!$B$9,Paramètres!$A$1:$I$89,3,0)*VLOOKUP('Données projet'!$B$9,Paramètres!$A$1:$I$89,5,0)</f>
        <v>0.48074000000019829</v>
      </c>
      <c r="P65" s="13">
        <f t="shared" si="33"/>
        <v>0.24126147010950588</v>
      </c>
      <c r="Q65" s="20">
        <f t="shared" si="53"/>
        <v>1.2574858937744013</v>
      </c>
      <c r="R65" s="59">
        <f t="shared" si="0"/>
        <v>294.59081922710772</v>
      </c>
      <c r="S65" s="59">
        <f ca="1">AVERAGE(OFFSET($R$3,0,0,'Données projet'!$E$9+1,1))-AVERAGE(OFFSET($H$3,0,0,'Données projet'!$E$9+1,1))</f>
        <v>350.01600895263641</v>
      </c>
      <c r="T65" s="59">
        <f t="shared" si="34"/>
        <v>464.08921044376882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323.66185003407486</v>
      </c>
      <c r="AA65" s="21">
        <f>EXP(-LN(2)/25)*AA64+(1-EXP(-LN(2)/25))/(LN(2)/25)*Calculateur!V65*Calculateur!X65*VLOOKUP('Données projet'!$B$9,Paramètres!$A$1:$I$89,3,0)*0.475*44/12</f>
        <v>20.825022486134266</v>
      </c>
      <c r="AB65" s="21">
        <f>EXP(-LN(2)/2)*AB64+(1-EXP(-LN(2)/2))/(LN(2)/2)*V65*Y65*VLOOKUP('Données projet'!$B$9,Paramètres!$A$1:$I$89,3,0)*0.475*44/12</f>
        <v>1.1290291275982851E-5</v>
      </c>
      <c r="AC65" s="22">
        <f t="shared" si="3"/>
        <v>344.48688381050044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277.99999999999994</v>
      </c>
      <c r="AJ65" s="13">
        <f>AI65*VLOOKUP('Données projet'!$B$10,Paramètres!$A$1:$I$89,3,0)*VLOOKUP('Données projet'!$B$10,Paramètres!$A$1:$I$89,5,0)</f>
        <v>151.78799999999998</v>
      </c>
      <c r="AK65" s="13">
        <f t="shared" si="35"/>
        <v>38.984634390835623</v>
      </c>
      <c r="AL65" s="20">
        <f t="shared" si="4"/>
        <v>332.26233823070532</v>
      </c>
      <c r="AM65" s="59">
        <f t="shared" si="5"/>
        <v>625.59567156403864</v>
      </c>
      <c r="AN65" s="59">
        <f ca="1">AVERAGE(OFFSET($AM$3,0,0,'Données projet'!$E$10+1,1))-AVERAGE(OFFSET($H$3,0,0,'Données projet'!$E$10+1,1))</f>
        <v>159.92263609041913</v>
      </c>
      <c r="AO65" s="59">
        <f t="shared" si="36"/>
        <v>271.78119133009307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19.476514136261009</v>
      </c>
      <c r="AV65" s="21">
        <f>EXP(-LN(2)/25)*AV64+(1-EXP(-LN(2)/25))/(LN(2)/25)*Calculateur!AQ65*Calculateur!AS65*VLOOKUP('Données projet'!$B$10,Paramètres!$A$1:$I$89,3,0)*0.475*44/12</f>
        <v>39.549446137424795</v>
      </c>
      <c r="AW65" s="21">
        <f>EXP(-LN(2)/2)*AW64+(1-EXP(-LN(2)/2))/(LN(2)/2)*AQ65*AT65*VLOOKUP('Données projet'!$B$10,Paramètres!$A$1:$I$89,3,0)*0.475*44/12</f>
        <v>3.8689898024316003E-7</v>
      </c>
      <c r="AX65" s="21">
        <f t="shared" si="6"/>
        <v>59.025960660584786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5.6</v>
      </c>
      <c r="BD65" s="12">
        <f>IF('Données projet'!$A$88&gt;35,BD64+BC65-BL64,IF(A65&lt;'Données projet'!$A$88,$BA$205^A65,IF(A65='Données projet'!$A$88,'Données projet'!$B$88,BD64+BC65-BL64)))</f>
        <v>215.20000000000002</v>
      </c>
      <c r="BE65" s="13">
        <f>BD65*VLOOKUP('Données projet'!$B$11,Paramètres!$A$1:$I$89,3,0)*VLOOKUP('Données projet'!$B$11,Paramètres!$A$1:$I$89,5,0)</f>
        <v>187.99872000000002</v>
      </c>
      <c r="BF65" s="13">
        <f t="shared" si="37"/>
        <v>47.097225953569499</v>
      </c>
      <c r="BG65" s="20">
        <f t="shared" si="7"/>
        <v>409.45877253580028</v>
      </c>
      <c r="BH65" s="59">
        <f t="shared" si="8"/>
        <v>702.79210586913359</v>
      </c>
      <c r="BI65" s="59">
        <f ca="1">AVERAGE(OFFSET($BH$3,0,0,'Données projet'!$E$11+1,1))-AVERAGE(OFFSET($H$3,0,0,'Données projet'!$E$11+1,1))</f>
        <v>268.27008134105046</v>
      </c>
      <c r="BJ65" s="59">
        <f t="shared" si="38"/>
        <v>252.36274686619709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46.086413124061444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46.086413124061444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0.8600000000003547</v>
      </c>
      <c r="O66" s="13">
        <f>N66*VLOOKUP('Données projet'!$B$9,Paramètres!$A$1:$I$89,3,0)*VLOOKUP('Données projet'!$B$9,Paramètres!$A$1:$I$89,5,0)</f>
        <v>0.48074000000019829</v>
      </c>
      <c r="P66" s="13">
        <f t="shared" si="33"/>
        <v>0.24126147010950588</v>
      </c>
      <c r="Q66" s="20">
        <f t="shared" si="53"/>
        <v>1.2574858937744013</v>
      </c>
      <c r="R66" s="59">
        <f t="shared" si="0"/>
        <v>294.59081922710772</v>
      </c>
      <c r="S66" s="59">
        <f ca="1">AVERAGE(OFFSET($R$3,0,0,'Données projet'!$E$9+1,1))-AVERAGE(OFFSET($H$3,0,0,'Données projet'!$E$9+1,1))</f>
        <v>350.01600895263641</v>
      </c>
      <c r="T66" s="59">
        <f t="shared" si="34"/>
        <v>464.08921044376882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317.31503856914213</v>
      </c>
      <c r="AA66" s="21">
        <f>EXP(-LN(2)/25)*AA65+(1-EXP(-LN(2)/25))/(LN(2)/25)*Calculateur!V66*Calculateur!X66*VLOOKUP('Données projet'!$B$9,Paramètres!$A$1:$I$89,3,0)*0.475*44/12</f>
        <v>20.255561151110587</v>
      </c>
      <c r="AB66" s="21">
        <f>EXP(-LN(2)/2)*AB65+(1-EXP(-LN(2)/2))/(LN(2)/2)*V66*Y66*VLOOKUP('Données projet'!$B$9,Paramètres!$A$1:$I$89,3,0)*0.475*44/12</f>
        <v>7.9834415228187922E-6</v>
      </c>
      <c r="AC66" s="22">
        <f t="shared" si="3"/>
        <v>337.57060770369429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277.99999999999994</v>
      </c>
      <c r="AJ66" s="13">
        <f>AI66*VLOOKUP('Données projet'!$B$10,Paramètres!$A$1:$I$89,3,0)*VLOOKUP('Données projet'!$B$10,Paramètres!$A$1:$I$89,5,0)</f>
        <v>151.78799999999998</v>
      </c>
      <c r="AK66" s="13">
        <f t="shared" si="35"/>
        <v>38.984634390835623</v>
      </c>
      <c r="AL66" s="20">
        <f t="shared" si="4"/>
        <v>332.26233823070532</v>
      </c>
      <c r="AM66" s="59">
        <f t="shared" si="5"/>
        <v>625.59567156403864</v>
      </c>
      <c r="AN66" s="59">
        <f ca="1">AVERAGE(OFFSET($AM$3,0,0,'Données projet'!$E$10+1,1))-AVERAGE(OFFSET($H$3,0,0,'Données projet'!$E$10+1,1))</f>
        <v>159.92263609041913</v>
      </c>
      <c r="AO66" s="59">
        <f t="shared" si="36"/>
        <v>271.78119133009307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19.09459157354955</v>
      </c>
      <c r="AV66" s="21">
        <f>EXP(-LN(2)/25)*AV65+(1-EXP(-LN(2)/25))/(LN(2)/25)*Calculateur!AQ66*Calculateur!AS66*VLOOKUP('Données projet'!$B$10,Paramètres!$A$1:$I$89,3,0)*0.475*44/12</f>
        <v>38.467964452981931</v>
      </c>
      <c r="AW66" s="21">
        <f>EXP(-LN(2)/2)*AW65+(1-EXP(-LN(2)/2))/(LN(2)/2)*AQ66*AT66*VLOOKUP('Données projet'!$B$10,Paramètres!$A$1:$I$89,3,0)*0.475*44/12</f>
        <v>2.7357889256409853E-7</v>
      </c>
      <c r="AX66" s="21">
        <f t="shared" si="6"/>
        <v>57.562556300110373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5.6</v>
      </c>
      <c r="BD66" s="12">
        <f>IF('Données projet'!$A$88&gt;35,BD65+BC66-BL65,IF(A66&lt;'Données projet'!$A$88,$BA$205^A66,IF(A66='Données projet'!$A$88,'Données projet'!$B$88,BD65+BC66-BL65)))</f>
        <v>220.8</v>
      </c>
      <c r="BE66" s="13">
        <f>BD66*VLOOKUP('Données projet'!$B$11,Paramètres!$A$1:$I$89,3,0)*VLOOKUP('Données projet'!$B$11,Paramètres!$A$1:$I$89,5,0)</f>
        <v>192.89088000000004</v>
      </c>
      <c r="BF66" s="13">
        <f t="shared" si="37"/>
        <v>48.178522586846704</v>
      </c>
      <c r="BG66" s="20">
        <f t="shared" si="7"/>
        <v>419.86254283875809</v>
      </c>
      <c r="BH66" s="59">
        <f t="shared" si="8"/>
        <v>713.1958761720914</v>
      </c>
      <c r="BI66" s="59">
        <f ca="1">AVERAGE(OFFSET($BH$3,0,0,'Données projet'!$E$11+1,1))-AVERAGE(OFFSET($H$3,0,0,'Données projet'!$E$11+1,1))</f>
        <v>268.27008134105046</v>
      </c>
      <c r="BJ66" s="59">
        <f t="shared" si="38"/>
        <v>252.36274686619709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45.182686672634979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45.182686672634979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0.8600000000003547</v>
      </c>
      <c r="O67" s="13">
        <f>N67*VLOOKUP('Données projet'!$B$9,Paramètres!$A$1:$I$89,3,0)*VLOOKUP('Données projet'!$B$9,Paramètres!$A$1:$I$89,5,0)</f>
        <v>0.48074000000019829</v>
      </c>
      <c r="P67" s="13">
        <f t="shared" si="33"/>
        <v>0.24126147010950588</v>
      </c>
      <c r="Q67" s="20">
        <f t="shared" ref="Q67:Q98" si="54">(O67+P67)*0.475*44/12</f>
        <v>1.2574858937744013</v>
      </c>
      <c r="R67" s="59">
        <f t="shared" ref="R67:R130" si="55">Q67+(I67+J67)*44/12</f>
        <v>294.59081922710772</v>
      </c>
      <c r="S67" s="59">
        <f ca="1">AVERAGE(OFFSET($R$3,0,0,'Données projet'!$E$9+1,1))-AVERAGE(OFFSET($H$3,0,0,'Données projet'!$E$9+1,1))</f>
        <v>350.01600895263641</v>
      </c>
      <c r="T67" s="59">
        <f t="shared" si="34"/>
        <v>464.08921044376882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311.09268420586397</v>
      </c>
      <c r="AA67" s="21">
        <f>EXP(-LN(2)/25)*AA66+(1-EXP(-LN(2)/25))/(LN(2)/25)*Calculateur!V67*Calculateur!X67*VLOOKUP('Données projet'!$B$9,Paramètres!$A$1:$I$89,3,0)*0.475*44/12</f>
        <v>19.701671766239802</v>
      </c>
      <c r="AB67" s="21">
        <f>EXP(-LN(2)/2)*AB66+(1-EXP(-LN(2)/2))/(LN(2)/2)*V67*Y67*VLOOKUP('Données projet'!$B$9,Paramètres!$A$1:$I$89,3,0)*0.475*44/12</f>
        <v>5.6451456379914256E-6</v>
      </c>
      <c r="AC67" s="22">
        <f t="shared" si="3"/>
        <v>330.79436161724942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277.99999999999994</v>
      </c>
      <c r="AJ67" s="13">
        <f>AI67*VLOOKUP('Données projet'!$B$10,Paramètres!$A$1:$I$89,3,0)*VLOOKUP('Données projet'!$B$10,Paramètres!$A$1:$I$89,5,0)</f>
        <v>151.78799999999998</v>
      </c>
      <c r="AK67" s="13">
        <f t="shared" si="35"/>
        <v>38.984634390835623</v>
      </c>
      <c r="AL67" s="20">
        <f t="shared" si="4"/>
        <v>332.26233823070532</v>
      </c>
      <c r="AM67" s="59">
        <f t="shared" si="5"/>
        <v>625.59567156403864</v>
      </c>
      <c r="AN67" s="59">
        <f ca="1">AVERAGE(OFFSET($AM$3,0,0,'Données projet'!$E$10+1,1))-AVERAGE(OFFSET($H$3,0,0,'Données projet'!$E$10+1,1))</f>
        <v>159.92263609041913</v>
      </c>
      <c r="AO67" s="59">
        <f t="shared" si="36"/>
        <v>271.78119133009307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18.720158279343103</v>
      </c>
      <c r="AV67" s="21">
        <f>EXP(-LN(2)/25)*AV66+(1-EXP(-LN(2)/25))/(LN(2)/25)*Calculateur!AQ67*Calculateur!AS67*VLOOKUP('Données projet'!$B$10,Paramètres!$A$1:$I$89,3,0)*0.475*44/12</f>
        <v>37.416055942072809</v>
      </c>
      <c r="AW67" s="21">
        <f>EXP(-LN(2)/2)*AW66+(1-EXP(-LN(2)/2))/(LN(2)/2)*AQ67*AT67*VLOOKUP('Données projet'!$B$10,Paramètres!$A$1:$I$89,3,0)*0.475*44/12</f>
        <v>1.9344949012158002E-7</v>
      </c>
      <c r="AX67" s="21">
        <f t="shared" si="6"/>
        <v>56.1362144148654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5.6</v>
      </c>
      <c r="BD67" s="12">
        <f>IF('Données projet'!$A$88&gt;35,BD66+BC67-BL66,IF(A67&lt;'Données projet'!$A$88,$BA$205^A67,IF(A67='Données projet'!$A$88,'Données projet'!$B$88,BD66+BC67-BL66)))</f>
        <v>226.4</v>
      </c>
      <c r="BE67" s="13">
        <f>BD67*VLOOKUP('Données projet'!$B$11,Paramètres!$A$1:$I$89,3,0)*VLOOKUP('Données projet'!$B$11,Paramètres!$A$1:$I$89,5,0)</f>
        <v>197.78304000000003</v>
      </c>
      <c r="BF67" s="13">
        <f t="shared" si="37"/>
        <v>49.256631390532817</v>
      </c>
      <c r="BG67" s="20">
        <f t="shared" si="7"/>
        <v>430.26076100517804</v>
      </c>
      <c r="BH67" s="59">
        <f t="shared" si="8"/>
        <v>723.59409433851135</v>
      </c>
      <c r="BI67" s="59">
        <f ca="1">AVERAGE(OFFSET($BH$3,0,0,'Données projet'!$E$11+1,1))-AVERAGE(OFFSET($H$3,0,0,'Données projet'!$E$11+1,1))</f>
        <v>268.27008134105046</v>
      </c>
      <c r="BJ67" s="59">
        <f t="shared" si="38"/>
        <v>252.36274686619709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44.29668174570228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44.29668174570228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0.8600000000003547</v>
      </c>
      <c r="O68" s="13">
        <f>N68*VLOOKUP('Données projet'!$B$9,Paramètres!$A$1:$I$89,3,0)*VLOOKUP('Données projet'!$B$9,Paramètres!$A$1:$I$89,5,0)</f>
        <v>0.48074000000019829</v>
      </c>
      <c r="P68" s="13">
        <f t="shared" si="33"/>
        <v>0.24126147010950588</v>
      </c>
      <c r="Q68" s="20">
        <f t="shared" si="54"/>
        <v>1.2574858937744013</v>
      </c>
      <c r="R68" s="59">
        <f t="shared" si="55"/>
        <v>294.59081922710772</v>
      </c>
      <c r="S68" s="59">
        <f ca="1">AVERAGE(OFFSET($R$3,0,0,'Données projet'!$E$9+1,1))-AVERAGE(OFFSET($H$3,0,0,'Données projet'!$E$9+1,1))</f>
        <v>350.01600895263641</v>
      </c>
      <c r="T68" s="59">
        <f t="shared" si="34"/>
        <v>464.08921044376882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304.99234641638833</v>
      </c>
      <c r="AA68" s="21">
        <f>EXP(-LN(2)/25)*AA67+(1-EXP(-LN(2)/25))/(LN(2)/25)*Calculateur!V68*Calculateur!X68*VLOOKUP('Données projet'!$B$9,Paramètres!$A$1:$I$89,3,0)*0.475*44/12</f>
        <v>19.162928515726083</v>
      </c>
      <c r="AB68" s="21">
        <f>EXP(-LN(2)/2)*AB67+(1-EXP(-LN(2)/2))/(LN(2)/2)*V68*Y68*VLOOKUP('Données projet'!$B$9,Paramètres!$A$1:$I$89,3,0)*0.475*44/12</f>
        <v>3.9917207614093961E-6</v>
      </c>
      <c r="AC68" s="22">
        <f t="shared" ref="AC68:AC131" si="57">SUM(Z68:AB68)</f>
        <v>324.15527892383517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277.99999999999994</v>
      </c>
      <c r="AJ68" s="13">
        <f>AI68*VLOOKUP('Données projet'!$B$10,Paramètres!$A$1:$I$89,3,0)*VLOOKUP('Données projet'!$B$10,Paramètres!$A$1:$I$89,5,0)</f>
        <v>151.78799999999998</v>
      </c>
      <c r="AK68" s="13">
        <f t="shared" si="35"/>
        <v>38.984634390835623</v>
      </c>
      <c r="AL68" s="20">
        <f t="shared" ref="AL68:AL131" si="58">(AJ68+AK68)*0.475*44/12</f>
        <v>332.26233823070532</v>
      </c>
      <c r="AM68" s="59">
        <f t="shared" ref="AM68:AM131" si="59">AL68+(AD68+AE68)*44/12</f>
        <v>625.59567156403864</v>
      </c>
      <c r="AN68" s="59">
        <f ca="1">AVERAGE(OFFSET($AM$3,0,0,'Données projet'!$E$10+1,1))-AVERAGE(OFFSET($H$3,0,0,'Données projet'!$E$10+1,1))</f>
        <v>159.92263609041913</v>
      </c>
      <c r="AO68" s="59">
        <f t="shared" si="36"/>
        <v>271.78119133009307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18.353067393654285</v>
      </c>
      <c r="AV68" s="21">
        <f>EXP(-LN(2)/25)*AV67+(1-EXP(-LN(2)/25))/(LN(2)/25)*Calculateur!AQ68*Calculateur!AS68*VLOOKUP('Données projet'!$B$10,Paramètres!$A$1:$I$89,3,0)*0.475*44/12</f>
        <v>36.39291192471196</v>
      </c>
      <c r="AW68" s="21">
        <f>EXP(-LN(2)/2)*AW67+(1-EXP(-LN(2)/2))/(LN(2)/2)*AQ68*AT68*VLOOKUP('Données projet'!$B$10,Paramètres!$A$1:$I$89,3,0)*0.475*44/12</f>
        <v>1.3678944628204926E-7</v>
      </c>
      <c r="AX68" s="21">
        <f t="shared" ref="AX68:AX131" si="60">SUM(AU68:AW68)</f>
        <v>54.745979455155691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232</v>
      </c>
      <c r="BB68" s="12">
        <f>VLOOKUP(A68,'Données projet'!$A$87:$I$107,9,0)</f>
        <v>5.6</v>
      </c>
      <c r="BC68" s="12">
        <f t="array" ref="BC68">INDEX(BB:BB,MIN(IF(ISNUMBER(BB68:BB264),ROW(BB68:BB264),"")))</f>
        <v>5.6</v>
      </c>
      <c r="BD68" s="12">
        <f>IF('Données projet'!$A$88&gt;35,BD67+BC68-BL67,IF(A68&lt;'Données projet'!$A$88,$BA$205^A68,IF(A68='Données projet'!$A$88,'Données projet'!$B$88,BD67+BC68-BL67)))</f>
        <v>232</v>
      </c>
      <c r="BE68" s="13">
        <f>BD68*VLOOKUP('Données projet'!$B$11,Paramètres!$A$1:$I$89,3,0)*VLOOKUP('Données projet'!$B$11,Paramètres!$A$1:$I$89,5,0)</f>
        <v>202.67520000000002</v>
      </c>
      <c r="BF68" s="13">
        <f t="shared" si="37"/>
        <v>50.331640285313689</v>
      </c>
      <c r="BG68" s="20">
        <f t="shared" ref="BG68:BG131" si="61">(BE68+BF68)*0.475*44/12</f>
        <v>440.653580163588</v>
      </c>
      <c r="BH68" s="59">
        <f t="shared" ref="BH68:BH131" si="62">BG68+(AY68+AZ68)*44/12</f>
        <v>733.98691349692126</v>
      </c>
      <c r="BI68" s="59">
        <f ca="1">AVERAGE(OFFSET($BH$3,0,0,'Données projet'!$E$11+1,1))-AVERAGE(OFFSET($H$3,0,0,'Données projet'!$E$11+1,1))</f>
        <v>268.27008134105046</v>
      </c>
      <c r="BJ68" s="59">
        <f t="shared" si="38"/>
        <v>252.36274686619709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20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51.733405577592961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51.733405577592961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0.8600000000003547</v>
      </c>
      <c r="O69" s="13">
        <f>N69*VLOOKUP('Données projet'!$B$9,Paramètres!$A$1:$I$89,3,0)*VLOOKUP('Données projet'!$B$9,Paramètres!$A$1:$I$89,5,0)</f>
        <v>0.48074000000019829</v>
      </c>
      <c r="P69" s="13">
        <f t="shared" ref="P69:P132" si="87">EXP(-1.0587+0.8836*LN(O69)+0.284)</f>
        <v>0.24126147010950588</v>
      </c>
      <c r="Q69" s="20">
        <f t="shared" si="54"/>
        <v>1.2574858937744013</v>
      </c>
      <c r="R69" s="59">
        <f t="shared" si="55"/>
        <v>294.59081922710772</v>
      </c>
      <c r="S69" s="59">
        <f ca="1">AVERAGE(OFFSET($R$3,0,0,'Données projet'!$E$9+1,1))-AVERAGE(OFFSET($H$3,0,0,'Données projet'!$E$9+1,1))</f>
        <v>350.01600895263641</v>
      </c>
      <c r="T69" s="59">
        <f t="shared" ref="T69:T132" si="88">$T$3</f>
        <v>464.08921044376882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299.01163253012561</v>
      </c>
      <c r="AA69" s="21">
        <f>EXP(-LN(2)/25)*AA68+(1-EXP(-LN(2)/25))/(LN(2)/25)*Calculateur!V69*Calculateur!X69*VLOOKUP('Données projet'!$B$9,Paramètres!$A$1:$I$89,3,0)*0.475*44/12</f>
        <v>18.638917227728939</v>
      </c>
      <c r="AB69" s="21">
        <f>EXP(-LN(2)/2)*AB68+(1-EXP(-LN(2)/2))/(LN(2)/2)*V69*Y69*VLOOKUP('Données projet'!$B$9,Paramètres!$A$1:$I$89,3,0)*0.475*44/12</f>
        <v>2.8225728189957128E-6</v>
      </c>
      <c r="AC69" s="22">
        <f t="shared" si="57"/>
        <v>317.65055258042736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277.99999999999994</v>
      </c>
      <c r="AJ69" s="13">
        <f>AI69*VLOOKUP('Données projet'!$B$10,Paramètres!$A$1:$I$89,3,0)*VLOOKUP('Données projet'!$B$10,Paramètres!$A$1:$I$89,5,0)</f>
        <v>151.78799999999998</v>
      </c>
      <c r="AK69" s="13">
        <f t="shared" ref="AK69:AK132" si="89">EXP(-1.0587+0.8836*LN(AJ69)+0.284)</f>
        <v>38.984634390835623</v>
      </c>
      <c r="AL69" s="20">
        <f t="shared" si="58"/>
        <v>332.26233823070532</v>
      </c>
      <c r="AM69" s="59">
        <f t="shared" si="59"/>
        <v>625.59567156403864</v>
      </c>
      <c r="AN69" s="59">
        <f ca="1">AVERAGE(OFFSET($AM$3,0,0,'Données projet'!$E$10+1,1))-AVERAGE(OFFSET($H$3,0,0,'Données projet'!$E$10+1,1))</f>
        <v>159.92263609041913</v>
      </c>
      <c r="AO69" s="59">
        <f t="shared" ref="AO69:AO132" si="90">$AO$3</f>
        <v>271.78119133009307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17.993174936330494</v>
      </c>
      <c r="AV69" s="21">
        <f>EXP(-LN(2)/25)*AV68+(1-EXP(-LN(2)/25))/(LN(2)/25)*Calculateur!AQ69*Calculateur!AS69*VLOOKUP('Données projet'!$B$10,Paramètres!$A$1:$I$89,3,0)*0.475*44/12</f>
        <v>35.397745834310648</v>
      </c>
      <c r="AW69" s="21">
        <f>EXP(-LN(2)/2)*AW68+(1-EXP(-LN(2)/2))/(LN(2)/2)*AQ69*AT69*VLOOKUP('Données projet'!$B$10,Paramètres!$A$1:$I$89,3,0)*0.475*44/12</f>
        <v>9.6724745060790008E-8</v>
      </c>
      <c r="AX69" s="21">
        <f t="shared" si="60"/>
        <v>53.390920867365892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</v>
      </c>
      <c r="BD69" s="12">
        <f>IF('Données projet'!$A$88&gt;35,BD68+BC69-BL68,IF(A69&lt;'Données projet'!$A$88,$BA$205^A69,IF(A69='Données projet'!$A$88,'Données projet'!$B$88,BD68+BC69-BL68)))</f>
        <v>217</v>
      </c>
      <c r="BE69" s="13">
        <f>BD69*VLOOKUP('Données projet'!$B$11,Paramètres!$A$1:$I$89,3,0)*VLOOKUP('Données projet'!$B$11,Paramètres!$A$1:$I$89,5,0)</f>
        <v>189.57120000000003</v>
      </c>
      <c r="BF69" s="13">
        <f t="shared" ref="BF69:BF132" si="91">EXP(-1.0587+0.8836*LN(BE69)+0.284)</f>
        <v>47.44513879693244</v>
      </c>
      <c r="BG69" s="20">
        <f t="shared" si="61"/>
        <v>412.8034567379907</v>
      </c>
      <c r="BH69" s="59">
        <f t="shared" si="62"/>
        <v>706.13679007132396</v>
      </c>
      <c r="BI69" s="59">
        <f ca="1">AVERAGE(OFFSET($BH$3,0,0,'Données projet'!$E$11+1,1))-AVERAGE(OFFSET($H$3,0,0,'Données projet'!$E$11+1,1))</f>
        <v>268.27008134105046</v>
      </c>
      <c r="BJ69" s="59">
        <f t="shared" ref="BJ69:BJ132" si="92">$BJ$3</f>
        <v>252.36274686619709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50.718945048478041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50.718945048478041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0.8600000000003547</v>
      </c>
      <c r="O70" s="13">
        <f>N70*VLOOKUP('Données projet'!$B$9,Paramètres!$A$1:$I$89,3,0)*VLOOKUP('Données projet'!$B$9,Paramètres!$A$1:$I$89,5,0)</f>
        <v>0.48074000000019829</v>
      </c>
      <c r="P70" s="13">
        <f t="shared" si="87"/>
        <v>0.24126147010950588</v>
      </c>
      <c r="Q70" s="20">
        <f t="shared" si="54"/>
        <v>1.2574858937744013</v>
      </c>
      <c r="R70" s="59">
        <f t="shared" si="55"/>
        <v>294.59081922710772</v>
      </c>
      <c r="S70" s="59">
        <f ca="1">AVERAGE(OFFSET($R$3,0,0,'Données projet'!$E$9+1,1))-AVERAGE(OFFSET($H$3,0,0,'Données projet'!$E$9+1,1))</f>
        <v>350.01600895263641</v>
      </c>
      <c r="T70" s="59">
        <f t="shared" si="88"/>
        <v>464.08921044376882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293.14819679529722</v>
      </c>
      <c r="AA70" s="21">
        <f>EXP(-LN(2)/25)*AA69+(1-EXP(-LN(2)/25))/(LN(2)/25)*Calculateur!V70*Calculateur!X70*VLOOKUP('Données projet'!$B$9,Paramètres!$A$1:$I$89,3,0)*0.475*44/12</f>
        <v>18.129235055958635</v>
      </c>
      <c r="AB70" s="21">
        <f>EXP(-LN(2)/2)*AB69+(1-EXP(-LN(2)/2))/(LN(2)/2)*V70*Y70*VLOOKUP('Données projet'!$B$9,Paramètres!$A$1:$I$89,3,0)*0.475*44/12</f>
        <v>1.995860380704698E-6</v>
      </c>
      <c r="AC70" s="22">
        <f t="shared" si="57"/>
        <v>311.27743384711624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277.99999999999994</v>
      </c>
      <c r="AJ70" s="13">
        <f>AI70*VLOOKUP('Données projet'!$B$10,Paramètres!$A$1:$I$89,3,0)*VLOOKUP('Données projet'!$B$10,Paramètres!$A$1:$I$89,5,0)</f>
        <v>151.78799999999998</v>
      </c>
      <c r="AK70" s="13">
        <f t="shared" si="89"/>
        <v>38.984634390835623</v>
      </c>
      <c r="AL70" s="20">
        <f t="shared" si="58"/>
        <v>332.26233823070532</v>
      </c>
      <c r="AM70" s="59">
        <f t="shared" si="59"/>
        <v>625.59567156403864</v>
      </c>
      <c r="AN70" s="59">
        <f ca="1">AVERAGE(OFFSET($AM$3,0,0,'Données projet'!$E$10+1,1))-AVERAGE(OFFSET($H$3,0,0,'Données projet'!$E$10+1,1))</f>
        <v>159.92263609041913</v>
      </c>
      <c r="AO70" s="59">
        <f t="shared" si="90"/>
        <v>271.78119133009307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17.640339750582097</v>
      </c>
      <c r="AV70" s="21">
        <f>EXP(-LN(2)/25)*AV69+(1-EXP(-LN(2)/25))/(LN(2)/25)*Calculateur!AQ70*Calculateur!AS70*VLOOKUP('Données projet'!$B$10,Paramètres!$A$1:$I$89,3,0)*0.475*44/12</f>
        <v>34.429792612984869</v>
      </c>
      <c r="AW70" s="21">
        <f>EXP(-LN(2)/2)*AW69+(1-EXP(-LN(2)/2))/(LN(2)/2)*AQ70*AT70*VLOOKUP('Données projet'!$B$10,Paramètres!$A$1:$I$89,3,0)*0.475*44/12</f>
        <v>6.8394723141024632E-8</v>
      </c>
      <c r="AX70" s="21">
        <f t="shared" si="60"/>
        <v>52.070132431961696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</v>
      </c>
      <c r="BD70" s="12">
        <f>IF('Données projet'!$A$88&gt;35,BD69+BC70-BL69,IF(A70&lt;'Données projet'!$A$88,$BA$205^A70,IF(A70='Données projet'!$A$88,'Données projet'!$B$88,BD69+BC70-BL69)))</f>
        <v>222</v>
      </c>
      <c r="BE70" s="13">
        <f>BD70*VLOOKUP('Données projet'!$B$11,Paramètres!$A$1:$I$89,3,0)*VLOOKUP('Données projet'!$B$11,Paramètres!$A$1:$I$89,5,0)</f>
        <v>193.93920000000003</v>
      </c>
      <c r="BF70" s="13">
        <f t="shared" si="91"/>
        <v>48.409811198069384</v>
      </c>
      <c r="BG70" s="20">
        <f t="shared" si="61"/>
        <v>422.09119450330417</v>
      </c>
      <c r="BH70" s="59">
        <f t="shared" si="62"/>
        <v>715.42452783663748</v>
      </c>
      <c r="BI70" s="59">
        <f ca="1">AVERAGE(OFFSET($BH$3,0,0,'Données projet'!$E$11+1,1))-AVERAGE(OFFSET($H$3,0,0,'Données projet'!$E$11+1,1))</f>
        <v>268.27008134105046</v>
      </c>
      <c r="BJ70" s="59">
        <f t="shared" si="92"/>
        <v>252.36274686619709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49.724377471579238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49.724377471579238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0.8600000000003547</v>
      </c>
      <c r="O71" s="13">
        <f>N71*VLOOKUP('Données projet'!$B$9,Paramètres!$A$1:$I$89,3,0)*VLOOKUP('Données projet'!$B$9,Paramètres!$A$1:$I$89,5,0)</f>
        <v>0.48074000000019829</v>
      </c>
      <c r="P71" s="13">
        <f t="shared" si="87"/>
        <v>0.24126147010950588</v>
      </c>
      <c r="Q71" s="20">
        <f t="shared" si="54"/>
        <v>1.2574858937744013</v>
      </c>
      <c r="R71" s="59">
        <f t="shared" si="55"/>
        <v>294.59081922710772</v>
      </c>
      <c r="S71" s="59">
        <f ca="1">AVERAGE(OFFSET($R$3,0,0,'Données projet'!$E$9+1,1))-AVERAGE(OFFSET($H$3,0,0,'Données projet'!$E$9+1,1))</f>
        <v>350.01600895263641</v>
      </c>
      <c r="T71" s="59">
        <f t="shared" si="88"/>
        <v>464.08921044376882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287.39973945888619</v>
      </c>
      <c r="AA71" s="21">
        <f>EXP(-LN(2)/25)*AA70+(1-EXP(-LN(2)/25))/(LN(2)/25)*Calculateur!V71*Calculateur!X71*VLOOKUP('Données projet'!$B$9,Paramètres!$A$1:$I$89,3,0)*0.475*44/12</f>
        <v>17.633490169978408</v>
      </c>
      <c r="AB71" s="21">
        <f>EXP(-LN(2)/2)*AB70+(1-EXP(-LN(2)/2))/(LN(2)/2)*V71*Y71*VLOOKUP('Données projet'!$B$9,Paramètres!$A$1:$I$89,3,0)*0.475*44/12</f>
        <v>1.4112864094978564E-6</v>
      </c>
      <c r="AC71" s="22">
        <f t="shared" si="57"/>
        <v>305.03323104015101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277.99999999999994</v>
      </c>
      <c r="AJ71" s="13">
        <f>AI71*VLOOKUP('Données projet'!$B$10,Paramètres!$A$1:$I$89,3,0)*VLOOKUP('Données projet'!$B$10,Paramètres!$A$1:$I$89,5,0)</f>
        <v>151.78799999999998</v>
      </c>
      <c r="AK71" s="13">
        <f t="shared" si="89"/>
        <v>38.984634390835623</v>
      </c>
      <c r="AL71" s="20">
        <f t="shared" si="58"/>
        <v>332.26233823070532</v>
      </c>
      <c r="AM71" s="59">
        <f t="shared" si="59"/>
        <v>625.59567156403864</v>
      </c>
      <c r="AN71" s="59">
        <f ca="1">AVERAGE(OFFSET($AM$3,0,0,'Données projet'!$E$10+1,1))-AVERAGE(OFFSET($H$3,0,0,'Données projet'!$E$10+1,1))</f>
        <v>159.92263609041913</v>
      </c>
      <c r="AO71" s="59">
        <f t="shared" si="90"/>
        <v>271.78119133009307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17.294423447618012</v>
      </c>
      <c r="AV71" s="21">
        <f>EXP(-LN(2)/25)*AV70+(1-EXP(-LN(2)/25))/(LN(2)/25)*Calculateur!AQ71*Calculateur!AS71*VLOOKUP('Données projet'!$B$10,Paramètres!$A$1:$I$89,3,0)*0.475*44/12</f>
        <v>33.488308123398696</v>
      </c>
      <c r="AW71" s="21">
        <f>EXP(-LN(2)/2)*AW70+(1-EXP(-LN(2)/2))/(LN(2)/2)*AQ71*AT71*VLOOKUP('Données projet'!$B$10,Paramètres!$A$1:$I$89,3,0)*0.475*44/12</f>
        <v>4.8362372530395004E-8</v>
      </c>
      <c r="AX71" s="21">
        <f t="shared" si="60"/>
        <v>50.782731619379085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</v>
      </c>
      <c r="BD71" s="12">
        <f>IF('Données projet'!$A$88&gt;35,BD70+BC71-BL70,IF(A71&lt;'Données projet'!$A$88,$BA$205^A71,IF(A71='Données projet'!$A$88,'Données projet'!$B$88,BD70+BC71-BL70)))</f>
        <v>227</v>
      </c>
      <c r="BE71" s="13">
        <f>BD71*VLOOKUP('Données projet'!$B$11,Paramètres!$A$1:$I$89,3,0)*VLOOKUP('Données projet'!$B$11,Paramètres!$A$1:$I$89,5,0)</f>
        <v>198.30720000000002</v>
      </c>
      <c r="BF71" s="13">
        <f t="shared" si="91"/>
        <v>49.371957679623371</v>
      </c>
      <c r="BG71" s="20">
        <f t="shared" si="61"/>
        <v>431.37453295867743</v>
      </c>
      <c r="BH71" s="59">
        <f t="shared" si="62"/>
        <v>724.70786629201075</v>
      </c>
      <c r="BI71" s="59">
        <f ca="1">AVERAGE(OFFSET($BH$3,0,0,'Données projet'!$E$11+1,1))-AVERAGE(OFFSET($H$3,0,0,'Données projet'!$E$11+1,1))</f>
        <v>268.27008134105046</v>
      </c>
      <c r="BJ71" s="59">
        <f t="shared" si="92"/>
        <v>252.36274686619709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48.749312758237096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48.749312758237096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0.8600000000003547</v>
      </c>
      <c r="O72" s="13">
        <f>N72*VLOOKUP('Données projet'!$B$9,Paramètres!$A$1:$I$89,3,0)*VLOOKUP('Données projet'!$B$9,Paramètres!$A$1:$I$89,5,0)</f>
        <v>0.48074000000019829</v>
      </c>
      <c r="P72" s="13">
        <f t="shared" si="87"/>
        <v>0.24126147010950588</v>
      </c>
      <c r="Q72" s="20">
        <f t="shared" si="54"/>
        <v>1.2574858937744013</v>
      </c>
      <c r="R72" s="59">
        <f t="shared" si="55"/>
        <v>294.59081922710772</v>
      </c>
      <c r="S72" s="59">
        <f ca="1">AVERAGE(OFFSET($R$3,0,0,'Données projet'!$E$9+1,1))-AVERAGE(OFFSET($H$3,0,0,'Données projet'!$E$9+1,1))</f>
        <v>350.01600895263641</v>
      </c>
      <c r="T72" s="59">
        <f t="shared" si="88"/>
        <v>464.08921044376882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281.76400586462938</v>
      </c>
      <c r="AA72" s="21">
        <f>EXP(-LN(2)/25)*AA71+(1-EXP(-LN(2)/25))/(LN(2)/25)*Calculateur!V72*Calculateur!X72*VLOOKUP('Données projet'!$B$9,Paramètres!$A$1:$I$89,3,0)*0.475*44/12</f>
        <v>17.151301453975403</v>
      </c>
      <c r="AB72" s="21">
        <f>EXP(-LN(2)/2)*AB71+(1-EXP(-LN(2)/2))/(LN(2)/2)*V72*Y72*VLOOKUP('Données projet'!$B$9,Paramètres!$A$1:$I$89,3,0)*0.475*44/12</f>
        <v>9.9793019035234902E-7</v>
      </c>
      <c r="AC72" s="22">
        <f t="shared" si="57"/>
        <v>298.915308316535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277.99999999999994</v>
      </c>
      <c r="AJ72" s="13">
        <f>AI72*VLOOKUP('Données projet'!$B$10,Paramètres!$A$1:$I$89,3,0)*VLOOKUP('Données projet'!$B$10,Paramètres!$A$1:$I$89,5,0)</f>
        <v>151.78799999999998</v>
      </c>
      <c r="AK72" s="13">
        <f t="shared" si="89"/>
        <v>38.984634390835623</v>
      </c>
      <c r="AL72" s="20">
        <f t="shared" si="58"/>
        <v>332.26233823070532</v>
      </c>
      <c r="AM72" s="59">
        <f t="shared" si="59"/>
        <v>625.59567156403864</v>
      </c>
      <c r="AN72" s="59">
        <f ca="1">AVERAGE(OFFSET($AM$3,0,0,'Données projet'!$E$10+1,1))-AVERAGE(OFFSET($H$3,0,0,'Données projet'!$E$10+1,1))</f>
        <v>159.92263609041913</v>
      </c>
      <c r="AO72" s="59">
        <f t="shared" si="90"/>
        <v>271.78119133009307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16.955290352366941</v>
      </c>
      <c r="AV72" s="21">
        <f>EXP(-LN(2)/25)*AV71+(1-EXP(-LN(2)/25))/(LN(2)/25)*Calculateur!AQ72*Calculateur!AS72*VLOOKUP('Données projet'!$B$10,Paramètres!$A$1:$I$89,3,0)*0.475*44/12</f>
        <v>32.57256857669077</v>
      </c>
      <c r="AW72" s="21">
        <f>EXP(-LN(2)/2)*AW71+(1-EXP(-LN(2)/2))/(LN(2)/2)*AQ72*AT72*VLOOKUP('Données projet'!$B$10,Paramètres!$A$1:$I$89,3,0)*0.475*44/12</f>
        <v>3.4197361570512316E-8</v>
      </c>
      <c r="AX72" s="21">
        <f t="shared" si="60"/>
        <v>49.527858963255078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</v>
      </c>
      <c r="BD72" s="12">
        <f>IF('Données projet'!$A$88&gt;35,BD71+BC72-BL71,IF(A72&lt;'Données projet'!$A$88,$BA$205^A72,IF(A72='Données projet'!$A$88,'Données projet'!$B$88,BD71+BC72-BL71)))</f>
        <v>232</v>
      </c>
      <c r="BE72" s="13">
        <f>BD72*VLOOKUP('Données projet'!$B$11,Paramètres!$A$1:$I$89,3,0)*VLOOKUP('Données projet'!$B$11,Paramètres!$A$1:$I$89,5,0)</f>
        <v>202.67520000000002</v>
      </c>
      <c r="BF72" s="13">
        <f t="shared" si="91"/>
        <v>50.331640285313689</v>
      </c>
      <c r="BG72" s="20">
        <f t="shared" si="61"/>
        <v>440.653580163588</v>
      </c>
      <c r="BH72" s="59">
        <f t="shared" si="62"/>
        <v>733.98691349692126</v>
      </c>
      <c r="BI72" s="59">
        <f ca="1">AVERAGE(OFFSET($BH$3,0,0,'Données projet'!$E$11+1,1))-AVERAGE(OFFSET($H$3,0,0,'Données projet'!$E$11+1,1))</f>
        <v>268.27008134105046</v>
      </c>
      <c r="BJ72" s="59">
        <f t="shared" si="92"/>
        <v>252.36274686619709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47.793368469192849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47.793368469192849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0.8600000000003547</v>
      </c>
      <c r="O73" s="13">
        <f>N73*VLOOKUP('Données projet'!$B$9,Paramètres!$A$1:$I$89,3,0)*VLOOKUP('Données projet'!$B$9,Paramètres!$A$1:$I$89,5,0)</f>
        <v>0.48074000000019829</v>
      </c>
      <c r="P73" s="13">
        <f t="shared" si="87"/>
        <v>0.24126147010950588</v>
      </c>
      <c r="Q73" s="20">
        <f t="shared" si="54"/>
        <v>1.2574858937744013</v>
      </c>
      <c r="R73" s="59">
        <f t="shared" si="55"/>
        <v>294.59081922710772</v>
      </c>
      <c r="S73" s="59">
        <f ca="1">AVERAGE(OFFSET($R$3,0,0,'Données projet'!$E$9+1,1))-AVERAGE(OFFSET($H$3,0,0,'Données projet'!$E$9+1,1))</f>
        <v>350.01600895263641</v>
      </c>
      <c r="T73" s="59">
        <f t="shared" si="88"/>
        <v>464.08921044376882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276.23878556869789</v>
      </c>
      <c r="AA73" s="21">
        <f>EXP(-LN(2)/25)*AA72+(1-EXP(-LN(2)/25))/(LN(2)/25)*Calculateur!V73*Calculateur!X73*VLOOKUP('Données projet'!$B$9,Paramètres!$A$1:$I$89,3,0)*0.475*44/12</f>
        <v>16.682298213768703</v>
      </c>
      <c r="AB73" s="21">
        <f>EXP(-LN(2)/2)*AB72+(1-EXP(-LN(2)/2))/(LN(2)/2)*V73*Y73*VLOOKUP('Données projet'!$B$9,Paramètres!$A$1:$I$89,3,0)*0.475*44/12</f>
        <v>7.056432047489282E-7</v>
      </c>
      <c r="AC73" s="22">
        <f t="shared" si="57"/>
        <v>292.92108448810984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277.99999999999994</v>
      </c>
      <c r="AJ73" s="13">
        <f>AI73*VLOOKUP('Données projet'!$B$10,Paramètres!$A$1:$I$89,3,0)*VLOOKUP('Données projet'!$B$10,Paramètres!$A$1:$I$89,5,0)</f>
        <v>151.78799999999998</v>
      </c>
      <c r="AK73" s="13">
        <f t="shared" si="89"/>
        <v>38.984634390835623</v>
      </c>
      <c r="AL73" s="20">
        <f t="shared" si="58"/>
        <v>332.26233823070532</v>
      </c>
      <c r="AM73" s="59">
        <f t="shared" si="59"/>
        <v>625.59567156403864</v>
      </c>
      <c r="AN73" s="59">
        <f ca="1">AVERAGE(OFFSET($AM$3,0,0,'Données projet'!$E$10+1,1))-AVERAGE(OFFSET($H$3,0,0,'Données projet'!$E$10+1,1))</f>
        <v>159.92263609041913</v>
      </c>
      <c r="AO73" s="59">
        <f t="shared" si="90"/>
        <v>271.78119133009307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16.622807450262982</v>
      </c>
      <c r="AV73" s="21">
        <f>EXP(-LN(2)/25)*AV72+(1-EXP(-LN(2)/25))/(LN(2)/25)*Calculateur!AQ73*Calculateur!AS73*VLOOKUP('Données projet'!$B$10,Paramètres!$A$1:$I$89,3,0)*0.475*44/12</f>
        <v>31.681869976044226</v>
      </c>
      <c r="AW73" s="21">
        <f>EXP(-LN(2)/2)*AW72+(1-EXP(-LN(2)/2))/(LN(2)/2)*AQ73*AT73*VLOOKUP('Données projet'!$B$10,Paramètres!$A$1:$I$89,3,0)*0.475*44/12</f>
        <v>2.4181186265197502E-8</v>
      </c>
      <c r="AX73" s="21">
        <f t="shared" si="60"/>
        <v>48.304677450488391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237</v>
      </c>
      <c r="BB73" s="12">
        <f>VLOOKUP(A73,'Données projet'!$A$87:$I$107,9,0)</f>
        <v>5</v>
      </c>
      <c r="BC73" s="12">
        <f t="array" ref="BC73">INDEX(BB:BB,MIN(IF(ISNUMBER(BB73:BB269),ROW(BB73:BB269),"")))</f>
        <v>5</v>
      </c>
      <c r="BD73" s="12">
        <f>IF('Données projet'!$A$88&gt;35,BD72+BC73-BL72,IF(A73&lt;'Données projet'!$A$88,$BA$205^A73,IF(A73='Données projet'!$A$88,'Données projet'!$B$88,BD72+BC73-BL72)))</f>
        <v>237</v>
      </c>
      <c r="BE73" s="13">
        <f>BD73*VLOOKUP('Données projet'!$B$11,Paramètres!$A$1:$I$89,3,0)*VLOOKUP('Données projet'!$B$11,Paramètres!$A$1:$I$89,5,0)</f>
        <v>207.04320000000001</v>
      </c>
      <c r="BF73" s="13">
        <f t="shared" si="91"/>
        <v>51.288918231806321</v>
      </c>
      <c r="BG73" s="20">
        <f t="shared" si="61"/>
        <v>449.92843925372944</v>
      </c>
      <c r="BH73" s="59">
        <f t="shared" si="62"/>
        <v>743.26177258706275</v>
      </c>
      <c r="BI73" s="59">
        <f ca="1">AVERAGE(OFFSET($BH$3,0,0,'Données projet'!$E$11+1,1))-AVERAGE(OFFSET($H$3,0,0,'Données projet'!$E$11+1,1))</f>
        <v>268.27008134105046</v>
      </c>
      <c r="BJ73" s="59">
        <f t="shared" si="92"/>
        <v>252.36274686619709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18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54.330988932942603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54.330988932942603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0.8600000000003547</v>
      </c>
      <c r="O74" s="13">
        <f>N74*VLOOKUP('Données projet'!$B$9,Paramètres!$A$1:$I$89,3,0)*VLOOKUP('Données projet'!$B$9,Paramètres!$A$1:$I$89,5,0)</f>
        <v>0.48074000000019829</v>
      </c>
      <c r="P74" s="13">
        <f t="shared" si="87"/>
        <v>0.24126147010950588</v>
      </c>
      <c r="Q74" s="20">
        <f t="shared" si="54"/>
        <v>1.2574858937744013</v>
      </c>
      <c r="R74" s="59">
        <f t="shared" si="55"/>
        <v>294.59081922710772</v>
      </c>
      <c r="S74" s="59">
        <f ca="1">AVERAGE(OFFSET($R$3,0,0,'Données projet'!$E$9+1,1))-AVERAGE(OFFSET($H$3,0,0,'Données projet'!$E$9+1,1))</f>
        <v>350.01600895263641</v>
      </c>
      <c r="T74" s="59">
        <f t="shared" si="88"/>
        <v>464.08921044376882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270.821911472718</v>
      </c>
      <c r="AA74" s="21">
        <f>EXP(-LN(2)/25)*AA73+(1-EXP(-LN(2)/25))/(LN(2)/25)*Calculateur!V74*Calculateur!X74*VLOOKUP('Données projet'!$B$9,Paramètres!$A$1:$I$89,3,0)*0.475*44/12</f>
        <v>16.226119891829264</v>
      </c>
      <c r="AB74" s="21">
        <f>EXP(-LN(2)/2)*AB73+(1-EXP(-LN(2)/2))/(LN(2)/2)*V74*Y74*VLOOKUP('Données projet'!$B$9,Paramètres!$A$1:$I$89,3,0)*0.475*44/12</f>
        <v>4.9896509517617451E-7</v>
      </c>
      <c r="AC74" s="22">
        <f t="shared" si="57"/>
        <v>287.04803186351239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277.99999999999994</v>
      </c>
      <c r="AJ74" s="13">
        <f>AI74*VLOOKUP('Données projet'!$B$10,Paramètres!$A$1:$I$89,3,0)*VLOOKUP('Données projet'!$B$10,Paramètres!$A$1:$I$89,5,0)</f>
        <v>151.78799999999998</v>
      </c>
      <c r="AK74" s="13">
        <f t="shared" si="89"/>
        <v>38.984634390835623</v>
      </c>
      <c r="AL74" s="20">
        <f t="shared" si="58"/>
        <v>332.26233823070532</v>
      </c>
      <c r="AM74" s="59">
        <f t="shared" si="59"/>
        <v>625.59567156403864</v>
      </c>
      <c r="AN74" s="59">
        <f ca="1">AVERAGE(OFFSET($AM$3,0,0,'Données projet'!$E$10+1,1))-AVERAGE(OFFSET($H$3,0,0,'Données projet'!$E$10+1,1))</f>
        <v>159.92263609041913</v>
      </c>
      <c r="AO74" s="59">
        <f t="shared" si="90"/>
        <v>271.78119133009307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16.296844335074734</v>
      </c>
      <c r="AV74" s="21">
        <f>EXP(-LN(2)/25)*AV73+(1-EXP(-LN(2)/25))/(LN(2)/25)*Calculateur!AQ74*Calculateur!AS74*VLOOKUP('Données projet'!$B$10,Paramètres!$A$1:$I$89,3,0)*0.475*44/12</f>
        <v>30.815527575472164</v>
      </c>
      <c r="AW74" s="21">
        <f>EXP(-LN(2)/2)*AW73+(1-EXP(-LN(2)/2))/(LN(2)/2)*AQ74*AT74*VLOOKUP('Données projet'!$B$10,Paramètres!$A$1:$I$89,3,0)*0.475*44/12</f>
        <v>1.7098680785256158E-8</v>
      </c>
      <c r="AX74" s="21">
        <f t="shared" si="60"/>
        <v>47.112371927645576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4.4000000000000004</v>
      </c>
      <c r="BD74" s="12">
        <f>IF('Données projet'!$A$88&gt;35,BD73+BC74-BL73,IF(A74&lt;'Données projet'!$A$88,$BA$205^A74,IF(A74='Données projet'!$A$88,'Données projet'!$B$88,BD73+BC74-BL73)))</f>
        <v>223.4</v>
      </c>
      <c r="BE74" s="13">
        <f>BD74*VLOOKUP('Données projet'!$B$11,Paramètres!$A$1:$I$89,3,0)*VLOOKUP('Données projet'!$B$11,Paramètres!$A$1:$I$89,5,0)</f>
        <v>195.16224000000003</v>
      </c>
      <c r="BF74" s="13">
        <f t="shared" si="91"/>
        <v>48.67946410296608</v>
      </c>
      <c r="BG74" s="20">
        <f t="shared" si="61"/>
        <v>424.69096797933258</v>
      </c>
      <c r="BH74" s="59">
        <f t="shared" si="62"/>
        <v>718.0243013126659</v>
      </c>
      <c r="BI74" s="59">
        <f ca="1">AVERAGE(OFFSET($BH$3,0,0,'Données projet'!$E$11+1,1))-AVERAGE(OFFSET($H$3,0,0,'Données projet'!$E$11+1,1))</f>
        <v>268.27008134105046</v>
      </c>
      <c r="BJ74" s="59">
        <f t="shared" si="92"/>
        <v>252.36274686619709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53.265591378598678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53.265591378598678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0.8600000000003547</v>
      </c>
      <c r="O75" s="13">
        <f>N75*VLOOKUP('Données projet'!$B$9,Paramètres!$A$1:$I$89,3,0)*VLOOKUP('Données projet'!$B$9,Paramètres!$A$1:$I$89,5,0)</f>
        <v>0.48074000000019829</v>
      </c>
      <c r="P75" s="13">
        <f t="shared" si="87"/>
        <v>0.24126147010950588</v>
      </c>
      <c r="Q75" s="20">
        <f t="shared" si="54"/>
        <v>1.2574858937744013</v>
      </c>
      <c r="R75" s="59">
        <f t="shared" si="55"/>
        <v>294.59081922710772</v>
      </c>
      <c r="S75" s="59">
        <f ca="1">AVERAGE(OFFSET($R$3,0,0,'Données projet'!$E$9+1,1))-AVERAGE(OFFSET($H$3,0,0,'Données projet'!$E$9+1,1))</f>
        <v>350.01600895263641</v>
      </c>
      <c r="T75" s="59">
        <f t="shared" si="88"/>
        <v>464.08921044376882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265.5112589737933</v>
      </c>
      <c r="AA75" s="21">
        <f>EXP(-LN(2)/25)*AA74+(1-EXP(-LN(2)/25))/(LN(2)/25)*Calculateur!V75*Calculateur!X75*VLOOKUP('Données projet'!$B$9,Paramètres!$A$1:$I$89,3,0)*0.475*44/12</f>
        <v>15.782415790092632</v>
      </c>
      <c r="AB75" s="21">
        <f>EXP(-LN(2)/2)*AB74+(1-EXP(-LN(2)/2))/(LN(2)/2)*V75*Y75*VLOOKUP('Données projet'!$B$9,Paramètres!$A$1:$I$89,3,0)*0.475*44/12</f>
        <v>3.528216023744641E-7</v>
      </c>
      <c r="AC75" s="22">
        <f t="shared" si="57"/>
        <v>281.2936751167075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277.99999999999994</v>
      </c>
      <c r="AJ75" s="13">
        <f>AI75*VLOOKUP('Données projet'!$B$10,Paramètres!$A$1:$I$89,3,0)*VLOOKUP('Données projet'!$B$10,Paramètres!$A$1:$I$89,5,0)</f>
        <v>151.78799999999998</v>
      </c>
      <c r="AK75" s="13">
        <f t="shared" si="89"/>
        <v>38.984634390835623</v>
      </c>
      <c r="AL75" s="20">
        <f t="shared" si="58"/>
        <v>332.26233823070532</v>
      </c>
      <c r="AM75" s="59">
        <f t="shared" si="59"/>
        <v>625.59567156403864</v>
      </c>
      <c r="AN75" s="59">
        <f ca="1">AVERAGE(OFFSET($AM$3,0,0,'Données projet'!$E$10+1,1))-AVERAGE(OFFSET($H$3,0,0,'Données projet'!$E$10+1,1))</f>
        <v>159.92263609041913</v>
      </c>
      <c r="AO75" s="59">
        <f t="shared" si="90"/>
        <v>271.78119133009307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15.977273157757461</v>
      </c>
      <c r="AV75" s="21">
        <f>EXP(-LN(2)/25)*AV74+(1-EXP(-LN(2)/25))/(LN(2)/25)*Calculateur!AQ75*Calculateur!AS75*VLOOKUP('Données projet'!$B$10,Paramètres!$A$1:$I$89,3,0)*0.475*44/12</f>
        <v>29.972875353402713</v>
      </c>
      <c r="AW75" s="21">
        <f>EXP(-LN(2)/2)*AW74+(1-EXP(-LN(2)/2))/(LN(2)/2)*AQ75*AT75*VLOOKUP('Données projet'!$B$10,Paramètres!$A$1:$I$89,3,0)*0.475*44/12</f>
        <v>1.2090593132598751E-8</v>
      </c>
      <c r="AX75" s="21">
        <f t="shared" si="60"/>
        <v>45.950148523250768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4.4000000000000004</v>
      </c>
      <c r="BD75" s="12">
        <f>IF('Données projet'!$A$88&gt;35,BD74+BC75-BL74,IF(A75&lt;'Données projet'!$A$88,$BA$205^A75,IF(A75='Données projet'!$A$88,'Données projet'!$B$88,BD74+BC75-BL74)))</f>
        <v>227.8</v>
      </c>
      <c r="BE75" s="13">
        <f>BD75*VLOOKUP('Données projet'!$B$11,Paramètres!$A$1:$I$89,3,0)*VLOOKUP('Données projet'!$B$11,Paramètres!$A$1:$I$89,5,0)</f>
        <v>199.00608000000003</v>
      </c>
      <c r="BF75" s="13">
        <f t="shared" si="91"/>
        <v>49.525670897515027</v>
      </c>
      <c r="BG75" s="20">
        <f t="shared" si="61"/>
        <v>432.85946614650538</v>
      </c>
      <c r="BH75" s="59">
        <f t="shared" si="62"/>
        <v>726.19279947983864</v>
      </c>
      <c r="BI75" s="59">
        <f ca="1">AVERAGE(OFFSET($BH$3,0,0,'Données projet'!$E$11+1,1))-AVERAGE(OFFSET($H$3,0,0,'Données projet'!$E$11+1,1))</f>
        <v>268.27008134105046</v>
      </c>
      <c r="BJ75" s="59">
        <f t="shared" si="92"/>
        <v>252.36274686619709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52.221085620467093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52.221085620467093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0.8600000000003547</v>
      </c>
      <c r="O76" s="13">
        <f>N76*VLOOKUP('Données projet'!$B$9,Paramètres!$A$1:$I$89,3,0)*VLOOKUP('Données projet'!$B$9,Paramètres!$A$1:$I$89,5,0)</f>
        <v>0.48074000000019829</v>
      </c>
      <c r="P76" s="13">
        <f t="shared" si="87"/>
        <v>0.24126147010950588</v>
      </c>
      <c r="Q76" s="20">
        <f t="shared" si="54"/>
        <v>1.2574858937744013</v>
      </c>
      <c r="R76" s="59">
        <f t="shared" si="55"/>
        <v>294.59081922710772</v>
      </c>
      <c r="S76" s="59">
        <f ca="1">AVERAGE(OFFSET($R$3,0,0,'Données projet'!$E$9+1,1))-AVERAGE(OFFSET($H$3,0,0,'Données projet'!$E$9+1,1))</f>
        <v>350.01600895263641</v>
      </c>
      <c r="T76" s="59">
        <f t="shared" si="88"/>
        <v>464.08921044376882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260.30474513119435</v>
      </c>
      <c r="AA76" s="21">
        <f>EXP(-LN(2)/25)*AA75+(1-EXP(-LN(2)/25))/(LN(2)/25)*Calculateur!V76*Calculateur!X76*VLOOKUP('Données projet'!$B$9,Paramètres!$A$1:$I$89,3,0)*0.475*44/12</f>
        <v>15.350844800351373</v>
      </c>
      <c r="AB76" s="21">
        <f>EXP(-LN(2)/2)*AB75+(1-EXP(-LN(2)/2))/(LN(2)/2)*V76*Y76*VLOOKUP('Données projet'!$B$9,Paramètres!$A$1:$I$89,3,0)*0.475*44/12</f>
        <v>2.4948254758808726E-7</v>
      </c>
      <c r="AC76" s="22">
        <f t="shared" si="57"/>
        <v>275.65559018102823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277.99999999999994</v>
      </c>
      <c r="AJ76" s="13">
        <f>AI76*VLOOKUP('Données projet'!$B$10,Paramètres!$A$1:$I$89,3,0)*VLOOKUP('Données projet'!$B$10,Paramètres!$A$1:$I$89,5,0)</f>
        <v>151.78799999999998</v>
      </c>
      <c r="AK76" s="13">
        <f t="shared" si="89"/>
        <v>38.984634390835623</v>
      </c>
      <c r="AL76" s="20">
        <f t="shared" si="58"/>
        <v>332.26233823070532</v>
      </c>
      <c r="AM76" s="59">
        <f t="shared" si="59"/>
        <v>625.59567156403864</v>
      </c>
      <c r="AN76" s="59">
        <f ca="1">AVERAGE(OFFSET($AM$3,0,0,'Données projet'!$E$10+1,1))-AVERAGE(OFFSET($H$3,0,0,'Données projet'!$E$10+1,1))</f>
        <v>159.92263609041913</v>
      </c>
      <c r="AO76" s="59">
        <f t="shared" si="90"/>
        <v>271.78119133009307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15.663968576308207</v>
      </c>
      <c r="AV76" s="21">
        <f>EXP(-LN(2)/25)*AV75+(1-EXP(-LN(2)/25))/(LN(2)/25)*Calculateur!AQ76*Calculateur!AS76*VLOOKUP('Données projet'!$B$10,Paramètres!$A$1:$I$89,3,0)*0.475*44/12</f>
        <v>29.153265500658904</v>
      </c>
      <c r="AW76" s="21">
        <f>EXP(-LN(2)/2)*AW75+(1-EXP(-LN(2)/2))/(LN(2)/2)*AQ76*AT76*VLOOKUP('Données projet'!$B$10,Paramètres!$A$1:$I$89,3,0)*0.475*44/12</f>
        <v>8.549340392628079E-9</v>
      </c>
      <c r="AX76" s="21">
        <f t="shared" si="60"/>
        <v>44.817234085516453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4.4000000000000004</v>
      </c>
      <c r="BD76" s="12">
        <f>IF('Données projet'!$A$88&gt;35,BD75+BC76-BL75,IF(A76&lt;'Données projet'!$A$88,$BA$205^A76,IF(A76='Données projet'!$A$88,'Données projet'!$B$88,BD75+BC76-BL75)))</f>
        <v>232.20000000000002</v>
      </c>
      <c r="BE76" s="13">
        <f>BD76*VLOOKUP('Données projet'!$B$11,Paramètres!$A$1:$I$89,3,0)*VLOOKUP('Données projet'!$B$11,Paramètres!$A$1:$I$89,5,0)</f>
        <v>202.84992000000003</v>
      </c>
      <c r="BF76" s="13">
        <f t="shared" si="91"/>
        <v>50.369977187686075</v>
      </c>
      <c r="BG76" s="20">
        <f t="shared" si="61"/>
        <v>441.02465426855332</v>
      </c>
      <c r="BH76" s="59">
        <f t="shared" si="62"/>
        <v>734.35798760188663</v>
      </c>
      <c r="BI76" s="59">
        <f ca="1">AVERAGE(OFFSET($BH$3,0,0,'Données projet'!$E$11+1,1))-AVERAGE(OFFSET($H$3,0,0,'Données projet'!$E$11+1,1))</f>
        <v>268.27008134105046</v>
      </c>
      <c r="BJ76" s="59">
        <f t="shared" si="92"/>
        <v>252.36274686619709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51.197061983166869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51.197061983166869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0.8600000000003547</v>
      </c>
      <c r="O77" s="13">
        <f>N77*VLOOKUP('Données projet'!$B$9,Paramètres!$A$1:$I$89,3,0)*VLOOKUP('Données projet'!$B$9,Paramètres!$A$1:$I$89,5,0)</f>
        <v>0.48074000000019829</v>
      </c>
      <c r="P77" s="13">
        <f t="shared" si="87"/>
        <v>0.24126147010950588</v>
      </c>
      <c r="Q77" s="20">
        <f t="shared" si="54"/>
        <v>1.2574858937744013</v>
      </c>
      <c r="R77" s="59">
        <f t="shared" si="55"/>
        <v>294.59081922710772</v>
      </c>
      <c r="S77" s="59">
        <f ca="1">AVERAGE(OFFSET($R$3,0,0,'Données projet'!$E$9+1,1))-AVERAGE(OFFSET($H$3,0,0,'Données projet'!$E$9+1,1))</f>
        <v>350.01600895263641</v>
      </c>
      <c r="T77" s="59">
        <f t="shared" si="88"/>
        <v>464.08921044376882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255.20032784938891</v>
      </c>
      <c r="AA77" s="21">
        <f>EXP(-LN(2)/25)*AA76+(1-EXP(-LN(2)/25))/(LN(2)/25)*Calculateur!V77*Calculateur!X77*VLOOKUP('Données projet'!$B$9,Paramètres!$A$1:$I$89,3,0)*0.475*44/12</f>
        <v>14.931075142019921</v>
      </c>
      <c r="AB77" s="21">
        <f>EXP(-LN(2)/2)*AB76+(1-EXP(-LN(2)/2))/(LN(2)/2)*V77*Y77*VLOOKUP('Données projet'!$B$9,Paramètres!$A$1:$I$89,3,0)*0.475*44/12</f>
        <v>1.7641080118723205E-7</v>
      </c>
      <c r="AC77" s="22">
        <f t="shared" si="57"/>
        <v>270.13140316781966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277.99999999999994</v>
      </c>
      <c r="AJ77" s="13">
        <f>AI77*VLOOKUP('Données projet'!$B$10,Paramètres!$A$1:$I$89,3,0)*VLOOKUP('Données projet'!$B$10,Paramètres!$A$1:$I$89,5,0)</f>
        <v>151.78799999999998</v>
      </c>
      <c r="AK77" s="13">
        <f t="shared" si="89"/>
        <v>38.984634390835623</v>
      </c>
      <c r="AL77" s="20">
        <f t="shared" si="58"/>
        <v>332.26233823070532</v>
      </c>
      <c r="AM77" s="59">
        <f t="shared" si="59"/>
        <v>625.59567156403864</v>
      </c>
      <c r="AN77" s="59">
        <f ca="1">AVERAGE(OFFSET($AM$3,0,0,'Données projet'!$E$10+1,1))-AVERAGE(OFFSET($H$3,0,0,'Données projet'!$E$10+1,1))</f>
        <v>159.92263609041913</v>
      </c>
      <c r="AO77" s="59">
        <f t="shared" si="90"/>
        <v>271.78119133009307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15.356807706604247</v>
      </c>
      <c r="AV77" s="21">
        <f>EXP(-LN(2)/25)*AV76+(1-EXP(-LN(2)/25))/(LN(2)/25)*Calculateur!AQ77*Calculateur!AS77*VLOOKUP('Données projet'!$B$10,Paramètres!$A$1:$I$89,3,0)*0.475*44/12</f>
        <v>28.356067922439784</v>
      </c>
      <c r="AW77" s="21">
        <f>EXP(-LN(2)/2)*AW76+(1-EXP(-LN(2)/2))/(LN(2)/2)*AQ77*AT77*VLOOKUP('Données projet'!$B$10,Paramètres!$A$1:$I$89,3,0)*0.475*44/12</f>
        <v>6.0452965662993755E-9</v>
      </c>
      <c r="AX77" s="21">
        <f t="shared" si="60"/>
        <v>43.712875635089333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4.4000000000000004</v>
      </c>
      <c r="BD77" s="12">
        <f>IF('Données projet'!$A$88&gt;35,BD76+BC77-BL76,IF(A77&lt;'Données projet'!$A$88,$BA$205^A77,IF(A77='Données projet'!$A$88,'Données projet'!$B$88,BD76+BC77-BL76)))</f>
        <v>236.60000000000002</v>
      </c>
      <c r="BE77" s="13">
        <f>BD77*VLOOKUP('Données projet'!$B$11,Paramètres!$A$1:$I$89,3,0)*VLOOKUP('Données projet'!$B$11,Paramètres!$A$1:$I$89,5,0)</f>
        <v>206.69376000000005</v>
      </c>
      <c r="BF77" s="13">
        <f t="shared" si="91"/>
        <v>51.212423138937325</v>
      </c>
      <c r="BG77" s="20">
        <f t="shared" si="61"/>
        <v>449.18660230031583</v>
      </c>
      <c r="BH77" s="59">
        <f t="shared" si="62"/>
        <v>742.51993563364908</v>
      </c>
      <c r="BI77" s="59">
        <f ca="1">AVERAGE(OFFSET($BH$3,0,0,'Données projet'!$E$11+1,1))-AVERAGE(OFFSET($H$3,0,0,'Données projet'!$E$11+1,1))</f>
        <v>268.27008134105046</v>
      </c>
      <c r="BJ77" s="59">
        <f t="shared" si="92"/>
        <v>252.36274686619709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50.193118824801353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50.193118824801353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0.8600000000003547</v>
      </c>
      <c r="O78" s="13">
        <f>N78*VLOOKUP('Données projet'!$B$9,Paramètres!$A$1:$I$89,3,0)*VLOOKUP('Données projet'!$B$9,Paramètres!$A$1:$I$89,5,0)</f>
        <v>0.48074000000019829</v>
      </c>
      <c r="P78" s="13">
        <f t="shared" si="87"/>
        <v>0.24126147010950588</v>
      </c>
      <c r="Q78" s="20">
        <f t="shared" si="54"/>
        <v>1.2574858937744013</v>
      </c>
      <c r="R78" s="59">
        <f t="shared" si="55"/>
        <v>294.59081922710772</v>
      </c>
      <c r="S78" s="59">
        <f ca="1">AVERAGE(OFFSET($R$3,0,0,'Données projet'!$E$9+1,1))-AVERAGE(OFFSET($H$3,0,0,'Données projet'!$E$9+1,1))</f>
        <v>350.01600895263641</v>
      </c>
      <c r="T78" s="59">
        <f t="shared" si="88"/>
        <v>464.08921044376882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250.19600507709254</v>
      </c>
      <c r="AA78" s="21">
        <f>EXP(-LN(2)/25)*AA77+(1-EXP(-LN(2)/25))/(LN(2)/25)*Calculateur!V78*Calculateur!X78*VLOOKUP('Données projet'!$B$9,Paramètres!$A$1:$I$89,3,0)*0.475*44/12</f>
        <v>14.522784107070271</v>
      </c>
      <c r="AB78" s="21">
        <f>EXP(-LN(2)/2)*AB77+(1-EXP(-LN(2)/2))/(LN(2)/2)*V78*Y78*VLOOKUP('Données projet'!$B$9,Paramètres!$A$1:$I$89,3,0)*0.475*44/12</f>
        <v>1.2474127379404363E-7</v>
      </c>
      <c r="AC78" s="22">
        <f t="shared" si="57"/>
        <v>264.71878930890409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277.99999999999994</v>
      </c>
      <c r="AJ78" s="13">
        <f>AI78*VLOOKUP('Données projet'!$B$10,Paramètres!$A$1:$I$89,3,0)*VLOOKUP('Données projet'!$B$10,Paramètres!$A$1:$I$89,5,0)</f>
        <v>151.78799999999998</v>
      </c>
      <c r="AK78" s="13">
        <f t="shared" si="89"/>
        <v>38.984634390835623</v>
      </c>
      <c r="AL78" s="20">
        <f t="shared" si="58"/>
        <v>332.26233823070532</v>
      </c>
      <c r="AM78" s="59">
        <f t="shared" si="59"/>
        <v>625.59567156403864</v>
      </c>
      <c r="AN78" s="59">
        <f ca="1">AVERAGE(OFFSET($AM$3,0,0,'Données projet'!$E$10+1,1))-AVERAGE(OFFSET($H$3,0,0,'Données projet'!$E$10+1,1))</f>
        <v>159.92263609041913</v>
      </c>
      <c r="AO78" s="59">
        <f t="shared" si="90"/>
        <v>271.78119133009307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15.055670074205551</v>
      </c>
      <c r="AV78" s="21">
        <f>EXP(-LN(2)/25)*AV77+(1-EXP(-LN(2)/25))/(LN(2)/25)*Calculateur!AQ78*Calculateur!AS78*VLOOKUP('Données projet'!$B$10,Paramètres!$A$1:$I$89,3,0)*0.475*44/12</f>
        <v>27.580669753919864</v>
      </c>
      <c r="AW78" s="21">
        <f>EXP(-LN(2)/2)*AW77+(1-EXP(-LN(2)/2))/(LN(2)/2)*AQ78*AT78*VLOOKUP('Données projet'!$B$10,Paramètres!$A$1:$I$89,3,0)*0.475*44/12</f>
        <v>4.2746701963140395E-9</v>
      </c>
      <c r="AX78" s="21">
        <f t="shared" si="60"/>
        <v>42.636339832400083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241</v>
      </c>
      <c r="BB78" s="12">
        <f>VLOOKUP(A78,'Données projet'!$A$87:$I$107,9,0)</f>
        <v>4.4000000000000004</v>
      </c>
      <c r="BC78" s="12">
        <f t="array" ref="BC78">INDEX(BB:BB,MIN(IF(ISNUMBER(BB78:BB274),ROW(BB78:BB274),"")))</f>
        <v>4.4000000000000004</v>
      </c>
      <c r="BD78" s="12">
        <f>IF('Données projet'!$A$88&gt;35,BD77+BC78-BL77,IF(A78&lt;'Données projet'!$A$88,$BA$205^A78,IF(A78='Données projet'!$A$88,'Données projet'!$B$88,BD77+BC78-BL77)))</f>
        <v>241.00000000000003</v>
      </c>
      <c r="BE78" s="13">
        <f>BD78*VLOOKUP('Données projet'!$B$11,Paramètres!$A$1:$I$89,3,0)*VLOOKUP('Données projet'!$B$11,Paramètres!$A$1:$I$89,5,0)</f>
        <v>210.53760000000005</v>
      </c>
      <c r="BF78" s="13">
        <f t="shared" si="91"/>
        <v>52.053047337322276</v>
      </c>
      <c r="BG78" s="20">
        <f t="shared" si="61"/>
        <v>457.34537744583628</v>
      </c>
      <c r="BH78" s="59">
        <f t="shared" si="62"/>
        <v>750.67871077916959</v>
      </c>
      <c r="BI78" s="59">
        <f ca="1">AVERAGE(OFFSET($BH$3,0,0,'Données projet'!$E$11+1,1))-AVERAGE(OFFSET($H$3,0,0,'Données projet'!$E$11+1,1))</f>
        <v>268.27008134105046</v>
      </c>
      <c r="BJ78" s="59">
        <f t="shared" si="92"/>
        <v>252.36274686619709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16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55.853146173519221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55.853146173519221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0.8600000000003547</v>
      </c>
      <c r="O79" s="13">
        <f>N79*VLOOKUP('Données projet'!$B$9,Paramètres!$A$1:$I$89,3,0)*VLOOKUP('Données projet'!$B$9,Paramètres!$A$1:$I$89,5,0)</f>
        <v>0.48074000000019829</v>
      </c>
      <c r="P79" s="13">
        <f t="shared" si="87"/>
        <v>0.24126147010950588</v>
      </c>
      <c r="Q79" s="20">
        <f t="shared" si="54"/>
        <v>1.2574858937744013</v>
      </c>
      <c r="R79" s="59">
        <f t="shared" si="55"/>
        <v>294.59081922710772</v>
      </c>
      <c r="S79" s="59">
        <f ca="1">AVERAGE(OFFSET($R$3,0,0,'Données projet'!$E$9+1,1))-AVERAGE(OFFSET($H$3,0,0,'Données projet'!$E$9+1,1))</f>
        <v>350.01600895263641</v>
      </c>
      <c r="T79" s="59">
        <f t="shared" si="88"/>
        <v>464.08921044376882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245.28981402202541</v>
      </c>
      <c r="AA79" s="21">
        <f>EXP(-LN(2)/25)*AA78+(1-EXP(-LN(2)/25))/(LN(2)/25)*Calculateur!V79*Calculateur!X79*VLOOKUP('Données projet'!$B$9,Paramètres!$A$1:$I$89,3,0)*0.475*44/12</f>
        <v>14.125657811942411</v>
      </c>
      <c r="AB79" s="21">
        <f>EXP(-LN(2)/2)*AB78+(1-EXP(-LN(2)/2))/(LN(2)/2)*V79*Y79*VLOOKUP('Données projet'!$B$9,Paramètres!$A$1:$I$89,3,0)*0.475*44/12</f>
        <v>8.8205400593616025E-8</v>
      </c>
      <c r="AC79" s="22">
        <f t="shared" si="57"/>
        <v>259.41547192217325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277.99999999999994</v>
      </c>
      <c r="AJ79" s="13">
        <f>AI79*VLOOKUP('Données projet'!$B$10,Paramètres!$A$1:$I$89,3,0)*VLOOKUP('Données projet'!$B$10,Paramètres!$A$1:$I$89,5,0)</f>
        <v>151.78799999999998</v>
      </c>
      <c r="AK79" s="13">
        <f t="shared" si="89"/>
        <v>38.984634390835623</v>
      </c>
      <c r="AL79" s="20">
        <f t="shared" si="58"/>
        <v>332.26233823070532</v>
      </c>
      <c r="AM79" s="59">
        <f t="shared" si="59"/>
        <v>625.59567156403864</v>
      </c>
      <c r="AN79" s="59">
        <f ca="1">AVERAGE(OFFSET($AM$3,0,0,'Données projet'!$E$10+1,1))-AVERAGE(OFFSET($H$3,0,0,'Données projet'!$E$10+1,1))</f>
        <v>159.92263609041913</v>
      </c>
      <c r="AO79" s="59">
        <f t="shared" si="90"/>
        <v>271.78119133009307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14.760437567102375</v>
      </c>
      <c r="AV79" s="21">
        <f>EXP(-LN(2)/25)*AV78+(1-EXP(-LN(2)/25))/(LN(2)/25)*Calculateur!AQ79*Calculateur!AS79*VLOOKUP('Données projet'!$B$10,Paramètres!$A$1:$I$89,3,0)*0.475*44/12</f>
        <v>26.826474889094538</v>
      </c>
      <c r="AW79" s="21">
        <f>EXP(-LN(2)/2)*AW78+(1-EXP(-LN(2)/2))/(LN(2)/2)*AQ79*AT79*VLOOKUP('Données projet'!$B$10,Paramètres!$A$1:$I$89,3,0)*0.475*44/12</f>
        <v>3.0226482831496878E-9</v>
      </c>
      <c r="AX79" s="21">
        <f t="shared" si="60"/>
        <v>41.586912459219562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</v>
      </c>
      <c r="BD79" s="12">
        <f>IF('Données projet'!$A$88&gt;35,BD78+BC79-BL78,IF(A79&lt;'Données projet'!$A$88,$BA$205^A79,IF(A79='Données projet'!$A$88,'Données projet'!$B$88,BD78+BC79-BL78)))</f>
        <v>229.00000000000003</v>
      </c>
      <c r="BE79" s="13">
        <f>BD79*VLOOKUP('Données projet'!$B$11,Paramètres!$A$1:$I$89,3,0)*VLOOKUP('Données projet'!$B$11,Paramètres!$A$1:$I$89,5,0)</f>
        <v>200.05440000000007</v>
      </c>
      <c r="BF79" s="13">
        <f t="shared" si="91"/>
        <v>49.756123009618236</v>
      </c>
      <c r="BG79" s="20">
        <f t="shared" si="61"/>
        <v>435.08666090841854</v>
      </c>
      <c r="BH79" s="59">
        <f t="shared" si="62"/>
        <v>728.41999424175185</v>
      </c>
      <c r="BI79" s="59">
        <f ca="1">AVERAGE(OFFSET($BH$3,0,0,'Données projet'!$E$11+1,1))-AVERAGE(OFFSET($H$3,0,0,'Données projet'!$E$11+1,1))</f>
        <v>268.27008134105046</v>
      </c>
      <c r="BJ79" s="59">
        <f t="shared" si="92"/>
        <v>252.36274686619709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54.757900044111835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54.757900044111835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0.8600000000003547</v>
      </c>
      <c r="O80" s="13">
        <f>N80*VLOOKUP('Données projet'!$B$9,Paramètres!$A$1:$I$89,3,0)*VLOOKUP('Données projet'!$B$9,Paramètres!$A$1:$I$89,5,0)</f>
        <v>0.48074000000019829</v>
      </c>
      <c r="P80" s="13">
        <f t="shared" si="87"/>
        <v>0.24126147010950588</v>
      </c>
      <c r="Q80" s="20">
        <f t="shared" si="54"/>
        <v>1.2574858937744013</v>
      </c>
      <c r="R80" s="59">
        <f t="shared" si="55"/>
        <v>294.59081922710772</v>
      </c>
      <c r="S80" s="59">
        <f ca="1">AVERAGE(OFFSET($R$3,0,0,'Données projet'!$E$9+1,1))-AVERAGE(OFFSET($H$3,0,0,'Données projet'!$E$9+1,1))</f>
        <v>350.01600895263641</v>
      </c>
      <c r="T80" s="59">
        <f t="shared" si="88"/>
        <v>464.08921044376882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240.47983038106707</v>
      </c>
      <c r="AA80" s="21">
        <f>EXP(-LN(2)/25)*AA79+(1-EXP(-LN(2)/25))/(LN(2)/25)*Calculateur!V80*Calculateur!X80*VLOOKUP('Données projet'!$B$9,Paramètres!$A$1:$I$89,3,0)*0.475*44/12</f>
        <v>13.739390956238786</v>
      </c>
      <c r="AB80" s="21">
        <f>EXP(-LN(2)/2)*AB79+(1-EXP(-LN(2)/2))/(LN(2)/2)*V80*Y80*VLOOKUP('Données projet'!$B$9,Paramètres!$A$1:$I$89,3,0)*0.475*44/12</f>
        <v>6.2370636897021814E-8</v>
      </c>
      <c r="AC80" s="22">
        <f t="shared" si="57"/>
        <v>254.21922139967651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277.99999999999994</v>
      </c>
      <c r="AJ80" s="13">
        <f>AI80*VLOOKUP('Données projet'!$B$10,Paramètres!$A$1:$I$89,3,0)*VLOOKUP('Données projet'!$B$10,Paramètres!$A$1:$I$89,5,0)</f>
        <v>151.78799999999998</v>
      </c>
      <c r="AK80" s="13">
        <f t="shared" si="89"/>
        <v>38.984634390835623</v>
      </c>
      <c r="AL80" s="20">
        <f t="shared" si="58"/>
        <v>332.26233823070532</v>
      </c>
      <c r="AM80" s="59">
        <f t="shared" si="59"/>
        <v>625.59567156403864</v>
      </c>
      <c r="AN80" s="59">
        <f ca="1">AVERAGE(OFFSET($AM$3,0,0,'Données projet'!$E$10+1,1))-AVERAGE(OFFSET($H$3,0,0,'Données projet'!$E$10+1,1))</f>
        <v>159.92263609041913</v>
      </c>
      <c r="AO80" s="59">
        <f t="shared" si="90"/>
        <v>271.78119133009307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14.470994389389443</v>
      </c>
      <c r="AV80" s="21">
        <f>EXP(-LN(2)/25)*AV79+(1-EXP(-LN(2)/25))/(LN(2)/25)*Calculateur!AQ80*Calculateur!AS80*VLOOKUP('Données projet'!$B$10,Paramètres!$A$1:$I$89,3,0)*0.475*44/12</f>
        <v>26.092903522509246</v>
      </c>
      <c r="AW80" s="21">
        <f>EXP(-LN(2)/2)*AW79+(1-EXP(-LN(2)/2))/(LN(2)/2)*AQ80*AT80*VLOOKUP('Données projet'!$B$10,Paramètres!$A$1:$I$89,3,0)*0.475*44/12</f>
        <v>2.1373350981570198E-9</v>
      </c>
      <c r="AX80" s="21">
        <f t="shared" si="60"/>
        <v>40.563897914036026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</v>
      </c>
      <c r="BD80" s="12">
        <f>IF('Données projet'!$A$88&gt;35,BD79+BC80-BL79,IF(A80&lt;'Données projet'!$A$88,$BA$205^A80,IF(A80='Données projet'!$A$88,'Données projet'!$B$88,BD79+BC80-BL79)))</f>
        <v>233.00000000000003</v>
      </c>
      <c r="BE80" s="13">
        <f>BD80*VLOOKUP('Données projet'!$B$11,Paramètres!$A$1:$I$89,3,0)*VLOOKUP('Données projet'!$B$11,Paramètres!$A$1:$I$89,5,0)</f>
        <v>203.54880000000003</v>
      </c>
      <c r="BF80" s="13">
        <f t="shared" si="91"/>
        <v>50.523286400023487</v>
      </c>
      <c r="BG80" s="20">
        <f t="shared" si="61"/>
        <v>442.50888381337427</v>
      </c>
      <c r="BH80" s="59">
        <f t="shared" si="62"/>
        <v>735.84221714670753</v>
      </c>
      <c r="BI80" s="59">
        <f ca="1">AVERAGE(OFFSET($BH$3,0,0,'Données projet'!$E$11+1,1))-AVERAGE(OFFSET($H$3,0,0,'Données projet'!$E$11+1,1))</f>
        <v>268.27008134105046</v>
      </c>
      <c r="BJ80" s="59">
        <f t="shared" si="92"/>
        <v>252.36274686619709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53.684131023267952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53.684131023267952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0.8600000000003547</v>
      </c>
      <c r="O81" s="13">
        <f>N81*VLOOKUP('Données projet'!$B$9,Paramètres!$A$1:$I$89,3,0)*VLOOKUP('Données projet'!$B$9,Paramètres!$A$1:$I$89,5,0)</f>
        <v>0.48074000000019829</v>
      </c>
      <c r="P81" s="13">
        <f t="shared" si="87"/>
        <v>0.24126147010950588</v>
      </c>
      <c r="Q81" s="20">
        <f t="shared" si="54"/>
        <v>1.2574858937744013</v>
      </c>
      <c r="R81" s="59">
        <f t="shared" si="55"/>
        <v>294.59081922710772</v>
      </c>
      <c r="S81" s="59">
        <f ca="1">AVERAGE(OFFSET($R$3,0,0,'Données projet'!$E$9+1,1))-AVERAGE(OFFSET($H$3,0,0,'Données projet'!$E$9+1,1))</f>
        <v>350.01600895263641</v>
      </c>
      <c r="T81" s="59">
        <f t="shared" si="88"/>
        <v>464.08921044376882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235.76416758550761</v>
      </c>
      <c r="AA81" s="21">
        <f>EXP(-LN(2)/25)*AA80+(1-EXP(-LN(2)/25))/(LN(2)/25)*Calculateur!V81*Calculateur!X81*VLOOKUP('Données projet'!$B$9,Paramètres!$A$1:$I$89,3,0)*0.475*44/12</f>
        <v>13.363686588017268</v>
      </c>
      <c r="AB81" s="21">
        <f>EXP(-LN(2)/2)*AB80+(1-EXP(-LN(2)/2))/(LN(2)/2)*V81*Y81*VLOOKUP('Données projet'!$B$9,Paramètres!$A$1:$I$89,3,0)*0.475*44/12</f>
        <v>4.4102700296808013E-8</v>
      </c>
      <c r="AC81" s="22">
        <f t="shared" si="57"/>
        <v>249.12785421762757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277.99999999999994</v>
      </c>
      <c r="AJ81" s="13">
        <f>AI81*VLOOKUP('Données projet'!$B$10,Paramètres!$A$1:$I$89,3,0)*VLOOKUP('Données projet'!$B$10,Paramètres!$A$1:$I$89,5,0)</f>
        <v>151.78799999999998</v>
      </c>
      <c r="AK81" s="13">
        <f t="shared" si="89"/>
        <v>38.984634390835623</v>
      </c>
      <c r="AL81" s="20">
        <f t="shared" si="58"/>
        <v>332.26233823070532</v>
      </c>
      <c r="AM81" s="59">
        <f t="shared" si="59"/>
        <v>625.59567156403864</v>
      </c>
      <c r="AN81" s="59">
        <f ca="1">AVERAGE(OFFSET($AM$3,0,0,'Données projet'!$E$10+1,1))-AVERAGE(OFFSET($H$3,0,0,'Données projet'!$E$10+1,1))</f>
        <v>159.92263609041913</v>
      </c>
      <c r="AO81" s="59">
        <f t="shared" si="90"/>
        <v>271.78119133009307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14.187227015848555</v>
      </c>
      <c r="AV81" s="21">
        <f>EXP(-LN(2)/25)*AV80+(1-EXP(-LN(2)/25))/(LN(2)/25)*Calculateur!AQ81*Calculateur!AS81*VLOOKUP('Données projet'!$B$10,Paramètres!$A$1:$I$89,3,0)*0.475*44/12</f>
        <v>25.379391703520071</v>
      </c>
      <c r="AW81" s="21">
        <f>EXP(-LN(2)/2)*AW80+(1-EXP(-LN(2)/2))/(LN(2)/2)*AQ81*AT81*VLOOKUP('Données projet'!$B$10,Paramètres!$A$1:$I$89,3,0)*0.475*44/12</f>
        <v>1.5113241415748439E-9</v>
      </c>
      <c r="AX81" s="21">
        <f t="shared" si="60"/>
        <v>39.566618720879951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</v>
      </c>
      <c r="BD81" s="12">
        <f>IF('Données projet'!$A$88&gt;35,BD80+BC81-BL80,IF(A81&lt;'Données projet'!$A$88,$BA$205^A81,IF(A81='Données projet'!$A$88,'Données projet'!$B$88,BD80+BC81-BL80)))</f>
        <v>237.00000000000003</v>
      </c>
      <c r="BE81" s="13">
        <f>BD81*VLOOKUP('Données projet'!$B$11,Paramètres!$A$1:$I$89,3,0)*VLOOKUP('Données projet'!$B$11,Paramètres!$A$1:$I$89,5,0)</f>
        <v>207.04320000000004</v>
      </c>
      <c r="BF81" s="13">
        <f t="shared" si="91"/>
        <v>51.288918231806321</v>
      </c>
      <c r="BG81" s="20">
        <f t="shared" si="61"/>
        <v>449.92843925372944</v>
      </c>
      <c r="BH81" s="59">
        <f t="shared" si="62"/>
        <v>743.26177258706275</v>
      </c>
      <c r="BI81" s="59">
        <f ca="1">AVERAGE(OFFSET($BH$3,0,0,'Données projet'!$E$11+1,1))-AVERAGE(OFFSET($H$3,0,0,'Données projet'!$E$11+1,1))</f>
        <v>268.27008134105046</v>
      </c>
      <c r="BJ81" s="59">
        <f t="shared" si="92"/>
        <v>252.36274686619709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52.631417957988383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52.631417957988383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0.8600000000003547</v>
      </c>
      <c r="O82" s="13">
        <f>N82*VLOOKUP('Données projet'!$B$9,Paramètres!$A$1:$I$89,3,0)*VLOOKUP('Données projet'!$B$9,Paramètres!$A$1:$I$89,5,0)</f>
        <v>0.48074000000019829</v>
      </c>
      <c r="P82" s="13">
        <f t="shared" si="87"/>
        <v>0.24126147010950588</v>
      </c>
      <c r="Q82" s="20">
        <f t="shared" si="54"/>
        <v>1.2574858937744013</v>
      </c>
      <c r="R82" s="59">
        <f t="shared" si="55"/>
        <v>294.59081922710772</v>
      </c>
      <c r="S82" s="59">
        <f ca="1">AVERAGE(OFFSET($R$3,0,0,'Données projet'!$E$9+1,1))-AVERAGE(OFFSET($H$3,0,0,'Données projet'!$E$9+1,1))</f>
        <v>350.01600895263641</v>
      </c>
      <c r="T82" s="59">
        <f t="shared" si="88"/>
        <v>464.08921044376882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231.14097606109877</v>
      </c>
      <c r="AA82" s="21">
        <f>EXP(-LN(2)/25)*AA81+(1-EXP(-LN(2)/25))/(LN(2)/25)*Calculateur!V82*Calculateur!X82*VLOOKUP('Données projet'!$B$9,Paramètres!$A$1:$I$89,3,0)*0.475*44/12</f>
        <v>12.998255875502201</v>
      </c>
      <c r="AB82" s="21">
        <f>EXP(-LN(2)/2)*AB81+(1-EXP(-LN(2)/2))/(LN(2)/2)*V82*Y82*VLOOKUP('Données projet'!$B$9,Paramètres!$A$1:$I$89,3,0)*0.475*44/12</f>
        <v>3.1185318448510907E-8</v>
      </c>
      <c r="AC82" s="22">
        <f t="shared" si="57"/>
        <v>244.13923196778629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277.99999999999994</v>
      </c>
      <c r="AJ82" s="13">
        <f>AI82*VLOOKUP('Données projet'!$B$10,Paramètres!$A$1:$I$89,3,0)*VLOOKUP('Données projet'!$B$10,Paramètres!$A$1:$I$89,5,0)</f>
        <v>151.78799999999998</v>
      </c>
      <c r="AK82" s="13">
        <f t="shared" si="89"/>
        <v>38.984634390835623</v>
      </c>
      <c r="AL82" s="20">
        <f t="shared" si="58"/>
        <v>332.26233823070532</v>
      </c>
      <c r="AM82" s="59">
        <f t="shared" si="59"/>
        <v>625.59567156403864</v>
      </c>
      <c r="AN82" s="59">
        <f ca="1">AVERAGE(OFFSET($AM$3,0,0,'Données projet'!$E$10+1,1))-AVERAGE(OFFSET($H$3,0,0,'Données projet'!$E$10+1,1))</f>
        <v>159.92263609041913</v>
      </c>
      <c r="AO82" s="59">
        <f t="shared" si="90"/>
        <v>271.78119133009307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13.909024147421796</v>
      </c>
      <c r="AV82" s="21">
        <f>EXP(-LN(2)/25)*AV81+(1-EXP(-LN(2)/25))/(LN(2)/25)*Calculateur!AQ82*Calculateur!AS82*VLOOKUP('Données projet'!$B$10,Paramètres!$A$1:$I$89,3,0)*0.475*44/12</f>
        <v>24.685390902743109</v>
      </c>
      <c r="AW82" s="21">
        <f>EXP(-LN(2)/2)*AW81+(1-EXP(-LN(2)/2))/(LN(2)/2)*AQ82*AT82*VLOOKUP('Données projet'!$B$10,Paramètres!$A$1:$I$89,3,0)*0.475*44/12</f>
        <v>1.0686675490785099E-9</v>
      </c>
      <c r="AX82" s="21">
        <f t="shared" si="60"/>
        <v>38.594415051233575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</v>
      </c>
      <c r="BD82" s="12">
        <f>IF('Données projet'!$A$88&gt;35,BD81+BC82-BL81,IF(A82&lt;'Données projet'!$A$88,$BA$205^A82,IF(A82='Données projet'!$A$88,'Données projet'!$B$88,BD81+BC82-BL81)))</f>
        <v>241.00000000000003</v>
      </c>
      <c r="BE82" s="13">
        <f>BD82*VLOOKUP('Données projet'!$B$11,Paramètres!$A$1:$I$89,3,0)*VLOOKUP('Données projet'!$B$11,Paramètres!$A$1:$I$89,5,0)</f>
        <v>210.53760000000005</v>
      </c>
      <c r="BF82" s="13">
        <f t="shared" si="91"/>
        <v>52.053047337322276</v>
      </c>
      <c r="BG82" s="20">
        <f t="shared" si="61"/>
        <v>457.34537744583628</v>
      </c>
      <c r="BH82" s="59">
        <f t="shared" si="62"/>
        <v>750.67871077916959</v>
      </c>
      <c r="BI82" s="59">
        <f ca="1">AVERAGE(OFFSET($BH$3,0,0,'Données projet'!$E$11+1,1))-AVERAGE(OFFSET($H$3,0,0,'Données projet'!$E$11+1,1))</f>
        <v>268.27008134105046</v>
      </c>
      <c r="BJ82" s="59">
        <f t="shared" si="92"/>
        <v>252.36274686619709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51.599347953827376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51.599347953827376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0.8600000000003547</v>
      </c>
      <c r="O83" s="13">
        <f>N83*VLOOKUP('Données projet'!$B$9,Paramètres!$A$1:$I$89,3,0)*VLOOKUP('Données projet'!$B$9,Paramètres!$A$1:$I$89,5,0)</f>
        <v>0.48074000000019829</v>
      </c>
      <c r="P83" s="13">
        <f t="shared" si="87"/>
        <v>0.24126147010950588</v>
      </c>
      <c r="Q83" s="20">
        <f t="shared" si="54"/>
        <v>1.2574858937744013</v>
      </c>
      <c r="R83" s="59">
        <f t="shared" si="55"/>
        <v>294.59081922710772</v>
      </c>
      <c r="S83" s="59">
        <f ca="1">AVERAGE(OFFSET($R$3,0,0,'Données projet'!$E$9+1,1))-AVERAGE(OFFSET($H$3,0,0,'Données projet'!$E$9+1,1))</f>
        <v>350.01600895263641</v>
      </c>
      <c r="T83" s="59">
        <f t="shared" si="88"/>
        <v>464.08921044376882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226.60844250261519</v>
      </c>
      <c r="AA83" s="21">
        <f>EXP(-LN(2)/25)*AA82+(1-EXP(-LN(2)/25))/(LN(2)/25)*Calculateur!V83*Calculateur!X83*VLOOKUP('Données projet'!$B$9,Paramètres!$A$1:$I$89,3,0)*0.475*44/12</f>
        <v>12.642817885038024</v>
      </c>
      <c r="AB83" s="21">
        <f>EXP(-LN(2)/2)*AB82+(1-EXP(-LN(2)/2))/(LN(2)/2)*V83*Y83*VLOOKUP('Données projet'!$B$9,Paramètres!$A$1:$I$89,3,0)*0.475*44/12</f>
        <v>2.2051350148404006E-8</v>
      </c>
      <c r="AC83" s="22">
        <f t="shared" si="57"/>
        <v>239.25126040970457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277.99999999999994</v>
      </c>
      <c r="AJ83" s="13">
        <f>AI83*VLOOKUP('Données projet'!$B$10,Paramètres!$A$1:$I$89,3,0)*VLOOKUP('Données projet'!$B$10,Paramètres!$A$1:$I$89,5,0)</f>
        <v>151.78799999999998</v>
      </c>
      <c r="AK83" s="13">
        <f t="shared" si="89"/>
        <v>38.984634390835623</v>
      </c>
      <c r="AL83" s="20">
        <f t="shared" si="58"/>
        <v>332.26233823070532</v>
      </c>
      <c r="AM83" s="59">
        <f t="shared" si="59"/>
        <v>625.59567156403864</v>
      </c>
      <c r="AN83" s="59">
        <f ca="1">AVERAGE(OFFSET($AM$3,0,0,'Données projet'!$E$10+1,1))-AVERAGE(OFFSET($H$3,0,0,'Données projet'!$E$10+1,1))</f>
        <v>159.92263609041913</v>
      </c>
      <c r="AO83" s="59">
        <f t="shared" si="90"/>
        <v>271.78119133009307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13.636276667557892</v>
      </c>
      <c r="AV83" s="21">
        <f>EXP(-LN(2)/25)*AV82+(1-EXP(-LN(2)/25))/(LN(2)/25)*Calculateur!AQ83*Calculateur!AS83*VLOOKUP('Données projet'!$B$10,Paramètres!$A$1:$I$89,3,0)*0.475*44/12</f>
        <v>24.010367590359309</v>
      </c>
      <c r="AW83" s="21">
        <f>EXP(-LN(2)/2)*AW82+(1-EXP(-LN(2)/2))/(LN(2)/2)*AQ83*AT83*VLOOKUP('Données projet'!$B$10,Paramètres!$A$1:$I$89,3,0)*0.475*44/12</f>
        <v>7.5566207078742194E-10</v>
      </c>
      <c r="AX83" s="21">
        <f t="shared" si="60"/>
        <v>37.646644258672865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245</v>
      </c>
      <c r="BB83" s="12">
        <f>VLOOKUP(A83,'Données projet'!$A$87:$I$107,9,0)</f>
        <v>4</v>
      </c>
      <c r="BC83" s="12">
        <f t="array" ref="BC83">INDEX(BB:BB,MIN(IF(ISNUMBER(BB83:BB279),ROW(BB83:BB279),"")))</f>
        <v>4</v>
      </c>
      <c r="BD83" s="12">
        <f>IF('Données projet'!$A$88&gt;35,BD82+BC83-BL82,IF(A83&lt;'Données projet'!$A$88,$BA$205^A83,IF(A83='Données projet'!$A$88,'Données projet'!$B$88,BD82+BC83-BL82)))</f>
        <v>245.00000000000003</v>
      </c>
      <c r="BE83" s="13">
        <f>BD83*VLOOKUP('Données projet'!$B$11,Paramètres!$A$1:$I$89,3,0)*VLOOKUP('Données projet'!$B$11,Paramètres!$A$1:$I$89,5,0)</f>
        <v>214.03200000000004</v>
      </c>
      <c r="BF83" s="13">
        <f t="shared" si="91"/>
        <v>52.815701536972242</v>
      </c>
      <c r="BG83" s="20">
        <f t="shared" si="61"/>
        <v>464.75974684356009</v>
      </c>
      <c r="BH83" s="59">
        <f t="shared" si="62"/>
        <v>758.09308017689341</v>
      </c>
      <c r="BI83" s="59">
        <f ca="1">AVERAGE(OFFSET($BH$3,0,0,'Données projet'!$E$11+1,1))-AVERAGE(OFFSET($H$3,0,0,'Données projet'!$E$11+1,1))</f>
        <v>268.27008134105046</v>
      </c>
      <c r="BJ83" s="59">
        <f t="shared" si="92"/>
        <v>252.36274686619709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15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56.816532269909324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56.816532269909324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0.8600000000003547</v>
      </c>
      <c r="O84" s="13">
        <f>N84*VLOOKUP('Données projet'!$B$9,Paramètres!$A$1:$I$89,3,0)*VLOOKUP('Données projet'!$B$9,Paramètres!$A$1:$I$89,5,0)</f>
        <v>0.48074000000019829</v>
      </c>
      <c r="P84" s="13">
        <f t="shared" si="87"/>
        <v>0.24126147010950588</v>
      </c>
      <c r="Q84" s="20">
        <f t="shared" si="54"/>
        <v>1.2574858937744013</v>
      </c>
      <c r="R84" s="59">
        <f t="shared" si="55"/>
        <v>294.59081922710772</v>
      </c>
      <c r="S84" s="59">
        <f ca="1">AVERAGE(OFFSET($R$3,0,0,'Données projet'!$E$9+1,1))-AVERAGE(OFFSET($H$3,0,0,'Données projet'!$E$9+1,1))</f>
        <v>350.01600895263641</v>
      </c>
      <c r="T84" s="59">
        <f t="shared" si="88"/>
        <v>464.08921044376882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222.164789162641</v>
      </c>
      <c r="AA84" s="21">
        <f>EXP(-LN(2)/25)*AA83+(1-EXP(-LN(2)/25))/(LN(2)/25)*Calculateur!V84*Calculateur!X84*VLOOKUP('Données projet'!$B$9,Paramètres!$A$1:$I$89,3,0)*0.475*44/12</f>
        <v>12.297099365114763</v>
      </c>
      <c r="AB84" s="21">
        <f>EXP(-LN(2)/2)*AB83+(1-EXP(-LN(2)/2))/(LN(2)/2)*V84*Y84*VLOOKUP('Données projet'!$B$9,Paramètres!$A$1:$I$89,3,0)*0.475*44/12</f>
        <v>1.5592659224255453E-8</v>
      </c>
      <c r="AC84" s="22">
        <f t="shared" si="57"/>
        <v>234.46188854334844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277.99999999999994</v>
      </c>
      <c r="AJ84" s="13">
        <f>AI84*VLOOKUP('Données projet'!$B$10,Paramètres!$A$1:$I$89,3,0)*VLOOKUP('Données projet'!$B$10,Paramètres!$A$1:$I$89,5,0)</f>
        <v>151.78799999999998</v>
      </c>
      <c r="AK84" s="13">
        <f t="shared" si="89"/>
        <v>38.984634390835623</v>
      </c>
      <c r="AL84" s="20">
        <f t="shared" si="58"/>
        <v>332.26233823070532</v>
      </c>
      <c r="AM84" s="59">
        <f t="shared" si="59"/>
        <v>625.59567156403864</v>
      </c>
      <c r="AN84" s="59">
        <f ca="1">AVERAGE(OFFSET($AM$3,0,0,'Données projet'!$E$10+1,1))-AVERAGE(OFFSET($H$3,0,0,'Données projet'!$E$10+1,1))</f>
        <v>159.92263609041913</v>
      </c>
      <c r="AO84" s="59">
        <f t="shared" si="90"/>
        <v>271.78119133009307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13.368877599414583</v>
      </c>
      <c r="AV84" s="21">
        <f>EXP(-LN(2)/25)*AV83+(1-EXP(-LN(2)/25))/(LN(2)/25)*Calculateur!AQ84*Calculateur!AS84*VLOOKUP('Données projet'!$B$10,Paramètres!$A$1:$I$89,3,0)*0.475*44/12</f>
        <v>23.353802825950577</v>
      </c>
      <c r="AW84" s="21">
        <f>EXP(-LN(2)/2)*AW83+(1-EXP(-LN(2)/2))/(LN(2)/2)*AQ84*AT84*VLOOKUP('Données projet'!$B$10,Paramètres!$A$1:$I$89,3,0)*0.475*44/12</f>
        <v>5.3433377453925494E-10</v>
      </c>
      <c r="AX84" s="21">
        <f t="shared" si="60"/>
        <v>36.722680425899497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3.6</v>
      </c>
      <c r="BD84" s="12">
        <f>IF('Données projet'!$A$88&gt;35,BD83+BC84-BL83,IF(A84&lt;'Données projet'!$A$88,$BA$205^A84,IF(A84='Données projet'!$A$88,'Données projet'!$B$88,BD83+BC84-BL83)))</f>
        <v>233.60000000000002</v>
      </c>
      <c r="BE84" s="13">
        <f>BD84*VLOOKUP('Données projet'!$B$11,Paramètres!$A$1:$I$89,3,0)*VLOOKUP('Données projet'!$B$11,Paramètres!$A$1:$I$89,5,0)</f>
        <v>204.07296000000005</v>
      </c>
      <c r="BF84" s="13">
        <f t="shared" si="91"/>
        <v>50.638228095278635</v>
      </c>
      <c r="BG84" s="20">
        <f t="shared" si="61"/>
        <v>443.62198593261041</v>
      </c>
      <c r="BH84" s="59">
        <f t="shared" si="62"/>
        <v>736.95531926594367</v>
      </c>
      <c r="BI84" s="59">
        <f ca="1">AVERAGE(OFFSET($BH$3,0,0,'Données projet'!$E$11+1,1))-AVERAGE(OFFSET($H$3,0,0,'Données projet'!$E$11+1,1))</f>
        <v>268.27008134105046</v>
      </c>
      <c r="BJ84" s="59">
        <f t="shared" si="92"/>
        <v>252.36274686619709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55.702394726759223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55.702394726759223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0.8600000000003547</v>
      </c>
      <c r="O85" s="13">
        <f>N85*VLOOKUP('Données projet'!$B$9,Paramètres!$A$1:$I$89,3,0)*VLOOKUP('Données projet'!$B$9,Paramètres!$A$1:$I$89,5,0)</f>
        <v>0.48074000000019829</v>
      </c>
      <c r="P85" s="13">
        <f t="shared" si="87"/>
        <v>0.24126147010950588</v>
      </c>
      <c r="Q85" s="20">
        <f t="shared" si="54"/>
        <v>1.2574858937744013</v>
      </c>
      <c r="R85" s="59">
        <f t="shared" si="55"/>
        <v>294.59081922710772</v>
      </c>
      <c r="S85" s="59">
        <f ca="1">AVERAGE(OFFSET($R$3,0,0,'Données projet'!$E$9+1,1))-AVERAGE(OFFSET($H$3,0,0,'Données projet'!$E$9+1,1))</f>
        <v>350.01600895263641</v>
      </c>
      <c r="T85" s="59">
        <f t="shared" si="88"/>
        <v>464.08921044376882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217.80827315430278</v>
      </c>
      <c r="AA85" s="21">
        <f>EXP(-LN(2)/25)*AA84+(1-EXP(-LN(2)/25))/(LN(2)/25)*Calculateur!V85*Calculateur!X85*VLOOKUP('Données projet'!$B$9,Paramètres!$A$1:$I$89,3,0)*0.475*44/12</f>
        <v>11.96083453629935</v>
      </c>
      <c r="AB85" s="21">
        <f>EXP(-LN(2)/2)*AB84+(1-EXP(-LN(2)/2))/(LN(2)/2)*V85*Y85*VLOOKUP('Données projet'!$B$9,Paramètres!$A$1:$I$89,3,0)*0.475*44/12</f>
        <v>1.1025675074202003E-8</v>
      </c>
      <c r="AC85" s="22">
        <f t="shared" si="57"/>
        <v>229.7691077016278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277.99999999999994</v>
      </c>
      <c r="AJ85" s="13">
        <f>AI85*VLOOKUP('Données projet'!$B$10,Paramètres!$A$1:$I$89,3,0)*VLOOKUP('Données projet'!$B$10,Paramètres!$A$1:$I$89,5,0)</f>
        <v>151.78799999999998</v>
      </c>
      <c r="AK85" s="13">
        <f t="shared" si="89"/>
        <v>38.984634390835623</v>
      </c>
      <c r="AL85" s="20">
        <f t="shared" si="58"/>
        <v>332.26233823070532</v>
      </c>
      <c r="AM85" s="59">
        <f t="shared" si="59"/>
        <v>625.59567156403864</v>
      </c>
      <c r="AN85" s="59">
        <f ca="1">AVERAGE(OFFSET($AM$3,0,0,'Données projet'!$E$10+1,1))-AVERAGE(OFFSET($H$3,0,0,'Données projet'!$E$10+1,1))</f>
        <v>159.92263609041913</v>
      </c>
      <c r="AO85" s="59">
        <f t="shared" si="90"/>
        <v>271.78119133009307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13.106722063900238</v>
      </c>
      <c r="AV85" s="21">
        <f>EXP(-LN(2)/25)*AV84+(1-EXP(-LN(2)/25))/(LN(2)/25)*Calculateur!AQ85*Calculateur!AS85*VLOOKUP('Données projet'!$B$10,Paramètres!$A$1:$I$89,3,0)*0.475*44/12</f>
        <v>22.715191859551844</v>
      </c>
      <c r="AW85" s="21">
        <f>EXP(-LN(2)/2)*AW84+(1-EXP(-LN(2)/2))/(LN(2)/2)*AQ85*AT85*VLOOKUP('Données projet'!$B$10,Paramètres!$A$1:$I$89,3,0)*0.475*44/12</f>
        <v>3.7783103539371097E-10</v>
      </c>
      <c r="AX85" s="21">
        <f t="shared" si="60"/>
        <v>35.821913923829911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3.6</v>
      </c>
      <c r="BD85" s="12">
        <f>IF('Données projet'!$A$88&gt;35,BD84+BC85-BL84,IF(A85&lt;'Données projet'!$A$88,$BA$205^A85,IF(A85='Données projet'!$A$88,'Données projet'!$B$88,BD84+BC85-BL84)))</f>
        <v>237.20000000000002</v>
      </c>
      <c r="BE85" s="13">
        <f>BD85*VLOOKUP('Données projet'!$B$11,Paramètres!$A$1:$I$89,3,0)*VLOOKUP('Données projet'!$B$11,Paramètres!$A$1:$I$89,5,0)</f>
        <v>207.21792000000005</v>
      </c>
      <c r="BF85" s="13">
        <f t="shared" si="91"/>
        <v>51.327160141561521</v>
      </c>
      <c r="BG85" s="20">
        <f t="shared" si="61"/>
        <v>450.29934791321972</v>
      </c>
      <c r="BH85" s="59">
        <f t="shared" si="62"/>
        <v>743.63268124655303</v>
      </c>
      <c r="BI85" s="59">
        <f ca="1">AVERAGE(OFFSET($BH$3,0,0,'Données projet'!$E$11+1,1))-AVERAGE(OFFSET($H$3,0,0,'Données projet'!$E$11+1,1))</f>
        <v>268.27008134105046</v>
      </c>
      <c r="BJ85" s="59">
        <f t="shared" si="92"/>
        <v>252.36274686619709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54.610104741273496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54.610104741273496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0.8600000000003547</v>
      </c>
      <c r="O86" s="13">
        <f>N86*VLOOKUP('Données projet'!$B$9,Paramètres!$A$1:$I$89,3,0)*VLOOKUP('Données projet'!$B$9,Paramètres!$A$1:$I$89,5,0)</f>
        <v>0.48074000000019829</v>
      </c>
      <c r="P86" s="13">
        <f t="shared" si="87"/>
        <v>0.24126147010950588</v>
      </c>
      <c r="Q86" s="20">
        <f t="shared" si="54"/>
        <v>1.2574858937744013</v>
      </c>
      <c r="R86" s="59">
        <f t="shared" si="55"/>
        <v>294.59081922710772</v>
      </c>
      <c r="S86" s="59">
        <f ca="1">AVERAGE(OFFSET($R$3,0,0,'Données projet'!$E$9+1,1))-AVERAGE(OFFSET($H$3,0,0,'Données projet'!$E$9+1,1))</f>
        <v>350.01600895263641</v>
      </c>
      <c r="T86" s="59">
        <f t="shared" si="88"/>
        <v>464.08921044376882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213.53718576767568</v>
      </c>
      <c r="AA86" s="21">
        <f>EXP(-LN(2)/25)*AA85+(1-EXP(-LN(2)/25))/(LN(2)/25)*Calculateur!V86*Calculateur!X86*VLOOKUP('Données projet'!$B$9,Paramètres!$A$1:$I$89,3,0)*0.475*44/12</f>
        <v>11.633764886911292</v>
      </c>
      <c r="AB86" s="21">
        <f>EXP(-LN(2)/2)*AB85+(1-EXP(-LN(2)/2))/(LN(2)/2)*V86*Y86*VLOOKUP('Données projet'!$B$9,Paramètres!$A$1:$I$89,3,0)*0.475*44/12</f>
        <v>7.7963296121277267E-9</v>
      </c>
      <c r="AC86" s="22">
        <f t="shared" si="57"/>
        <v>225.17095066238329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277.99999999999994</v>
      </c>
      <c r="AJ86" s="13">
        <f>AI86*VLOOKUP('Données projet'!$B$10,Paramètres!$A$1:$I$89,3,0)*VLOOKUP('Données projet'!$B$10,Paramètres!$A$1:$I$89,5,0)</f>
        <v>151.78799999999998</v>
      </c>
      <c r="AK86" s="13">
        <f t="shared" si="89"/>
        <v>38.984634390835623</v>
      </c>
      <c r="AL86" s="20">
        <f t="shared" si="58"/>
        <v>332.26233823070532</v>
      </c>
      <c r="AM86" s="59">
        <f t="shared" si="59"/>
        <v>625.59567156403864</v>
      </c>
      <c r="AN86" s="59">
        <f ca="1">AVERAGE(OFFSET($AM$3,0,0,'Données projet'!$E$10+1,1))-AVERAGE(OFFSET($H$3,0,0,'Données projet'!$E$10+1,1))</f>
        <v>159.92263609041913</v>
      </c>
      <c r="AO86" s="59">
        <f t="shared" si="90"/>
        <v>271.78119133009307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12.84970723853824</v>
      </c>
      <c r="AV86" s="21">
        <f>EXP(-LN(2)/25)*AV85+(1-EXP(-LN(2)/25))/(LN(2)/25)*Calculateur!AQ86*Calculateur!AS86*VLOOKUP('Données projet'!$B$10,Paramètres!$A$1:$I$89,3,0)*0.475*44/12</f>
        <v>22.094043743612374</v>
      </c>
      <c r="AW86" s="21">
        <f>EXP(-LN(2)/2)*AW85+(1-EXP(-LN(2)/2))/(LN(2)/2)*AQ86*AT86*VLOOKUP('Données projet'!$B$10,Paramètres!$A$1:$I$89,3,0)*0.475*44/12</f>
        <v>2.6716688726962747E-10</v>
      </c>
      <c r="AX86" s="21">
        <f t="shared" si="60"/>
        <v>34.943750982417782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3.6</v>
      </c>
      <c r="BD86" s="12">
        <f>IF('Données projet'!$A$88&gt;35,BD85+BC86-BL85,IF(A86&lt;'Données projet'!$A$88,$BA$205^A86,IF(A86='Données projet'!$A$88,'Données projet'!$B$88,BD85+BC86-BL85)))</f>
        <v>240.8</v>
      </c>
      <c r="BE86" s="13">
        <f>BD86*VLOOKUP('Données projet'!$B$11,Paramètres!$A$1:$I$89,3,0)*VLOOKUP('Données projet'!$B$11,Paramètres!$A$1:$I$89,5,0)</f>
        <v>210.36288000000002</v>
      </c>
      <c r="BF86" s="13">
        <f t="shared" si="91"/>
        <v>52.014876138342963</v>
      </c>
      <c r="BG86" s="20">
        <f t="shared" si="61"/>
        <v>456.97459194094728</v>
      </c>
      <c r="BH86" s="59">
        <f t="shared" si="62"/>
        <v>750.30792527428059</v>
      </c>
      <c r="BI86" s="59">
        <f ca="1">AVERAGE(OFFSET($BH$3,0,0,'Données projet'!$E$11+1,1))-AVERAGE(OFFSET($H$3,0,0,'Données projet'!$E$11+1,1))</f>
        <v>268.27008134105046</v>
      </c>
      <c r="BJ86" s="59">
        <f t="shared" si="92"/>
        <v>252.36274686619709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53.539233896172036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53.539233896172036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0.8600000000003547</v>
      </c>
      <c r="O87" s="13">
        <f>N87*VLOOKUP('Données projet'!$B$9,Paramètres!$A$1:$I$89,3,0)*VLOOKUP('Données projet'!$B$9,Paramètres!$A$1:$I$89,5,0)</f>
        <v>0.48074000000019829</v>
      </c>
      <c r="P87" s="13">
        <f t="shared" si="87"/>
        <v>0.24126147010950588</v>
      </c>
      <c r="Q87" s="20">
        <f t="shared" si="54"/>
        <v>1.2574858937744013</v>
      </c>
      <c r="R87" s="59">
        <f t="shared" si="55"/>
        <v>294.59081922710772</v>
      </c>
      <c r="S87" s="59">
        <f ca="1">AVERAGE(OFFSET($R$3,0,0,'Données projet'!$E$9+1,1))-AVERAGE(OFFSET($H$3,0,0,'Données projet'!$E$9+1,1))</f>
        <v>350.01600895263641</v>
      </c>
      <c r="T87" s="59">
        <f t="shared" si="88"/>
        <v>464.08921044376882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209.34985179959426</v>
      </c>
      <c r="AA87" s="21">
        <f>EXP(-LN(2)/25)*AA86+(1-EXP(-LN(2)/25))/(LN(2)/25)*Calculateur!V87*Calculateur!X87*VLOOKUP('Données projet'!$B$9,Paramètres!$A$1:$I$89,3,0)*0.475*44/12</f>
        <v>11.315638974285596</v>
      </c>
      <c r="AB87" s="21">
        <f>EXP(-LN(2)/2)*AB86+(1-EXP(-LN(2)/2))/(LN(2)/2)*V87*Y87*VLOOKUP('Données projet'!$B$9,Paramètres!$A$1:$I$89,3,0)*0.475*44/12</f>
        <v>5.5128375371010016E-9</v>
      </c>
      <c r="AC87" s="22">
        <f t="shared" si="57"/>
        <v>220.66549077939271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277.99999999999994</v>
      </c>
      <c r="AJ87" s="13">
        <f>AI87*VLOOKUP('Données projet'!$B$10,Paramètres!$A$1:$I$89,3,0)*VLOOKUP('Données projet'!$B$10,Paramètres!$A$1:$I$89,5,0)</f>
        <v>151.78799999999998</v>
      </c>
      <c r="AK87" s="13">
        <f t="shared" si="89"/>
        <v>38.984634390835623</v>
      </c>
      <c r="AL87" s="20">
        <f t="shared" si="58"/>
        <v>332.26233823070532</v>
      </c>
      <c r="AM87" s="59">
        <f t="shared" si="59"/>
        <v>625.59567156403864</v>
      </c>
      <c r="AN87" s="59">
        <f ca="1">AVERAGE(OFFSET($AM$3,0,0,'Données projet'!$E$10+1,1))-AVERAGE(OFFSET($H$3,0,0,'Données projet'!$E$10+1,1))</f>
        <v>159.92263609041913</v>
      </c>
      <c r="AO87" s="59">
        <f t="shared" si="90"/>
        <v>271.78119133009307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12.597732317138027</v>
      </c>
      <c r="AV87" s="21">
        <f>EXP(-LN(2)/25)*AV86+(1-EXP(-LN(2)/25))/(LN(2)/25)*Calculateur!AQ87*Calculateur!AS87*VLOOKUP('Données projet'!$B$10,Paramètres!$A$1:$I$89,3,0)*0.475*44/12</f>
        <v>21.489880955568029</v>
      </c>
      <c r="AW87" s="21">
        <f>EXP(-LN(2)/2)*AW86+(1-EXP(-LN(2)/2))/(LN(2)/2)*AQ87*AT87*VLOOKUP('Données projet'!$B$10,Paramètres!$A$1:$I$89,3,0)*0.475*44/12</f>
        <v>1.8891551769685549E-10</v>
      </c>
      <c r="AX87" s="21">
        <f t="shared" si="60"/>
        <v>34.08761327289497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3.6</v>
      </c>
      <c r="BD87" s="12">
        <f>IF('Données projet'!$A$88&gt;35,BD86+BC87-BL86,IF(A87&lt;'Données projet'!$A$88,$BA$205^A87,IF(A87='Données projet'!$A$88,'Données projet'!$B$88,BD86+BC87-BL86)))</f>
        <v>244.4</v>
      </c>
      <c r="BE87" s="13">
        <f>BD87*VLOOKUP('Données projet'!$B$11,Paramètres!$A$1:$I$89,3,0)*VLOOKUP('Données projet'!$B$11,Paramètres!$A$1:$I$89,5,0)</f>
        <v>213.50784000000002</v>
      </c>
      <c r="BF87" s="13">
        <f t="shared" si="91"/>
        <v>52.701396365805124</v>
      </c>
      <c r="BG87" s="20">
        <f t="shared" si="61"/>
        <v>463.6477533371106</v>
      </c>
      <c r="BH87" s="59">
        <f t="shared" si="62"/>
        <v>756.98108667044391</v>
      </c>
      <c r="BI87" s="59">
        <f ca="1">AVERAGE(OFFSET($BH$3,0,0,'Données projet'!$E$11+1,1))-AVERAGE(OFFSET($H$3,0,0,'Données projet'!$E$11+1,1))</f>
        <v>268.27008134105046</v>
      </c>
      <c r="BJ87" s="59">
        <f t="shared" si="92"/>
        <v>252.36274686619709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52.489362175176296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52.489362175176296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0.8600000000003547</v>
      </c>
      <c r="O88" s="13">
        <f>N88*VLOOKUP('Données projet'!$B$9,Paramètres!$A$1:$I$89,3,0)*VLOOKUP('Données projet'!$B$9,Paramètres!$A$1:$I$89,5,0)</f>
        <v>0.48074000000019829</v>
      </c>
      <c r="P88" s="13">
        <f t="shared" si="87"/>
        <v>0.24126147010950588</v>
      </c>
      <c r="Q88" s="20">
        <f t="shared" si="54"/>
        <v>1.2574858937744013</v>
      </c>
      <c r="R88" s="59">
        <f t="shared" si="55"/>
        <v>294.59081922710772</v>
      </c>
      <c r="S88" s="59">
        <f ca="1">AVERAGE(OFFSET($R$3,0,0,'Données projet'!$E$9+1,1))-AVERAGE(OFFSET($H$3,0,0,'Données projet'!$E$9+1,1))</f>
        <v>350.01600895263641</v>
      </c>
      <c r="T88" s="59">
        <f t="shared" si="88"/>
        <v>464.08921044376882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205.24462889660541</v>
      </c>
      <c r="AA88" s="21">
        <f>EXP(-LN(2)/25)*AA87+(1-EXP(-LN(2)/25))/(LN(2)/25)*Calculateur!V88*Calculateur!X88*VLOOKUP('Données projet'!$B$9,Paramètres!$A$1:$I$89,3,0)*0.475*44/12</f>
        <v>11.006212231470165</v>
      </c>
      <c r="AB88" s="21">
        <f>EXP(-LN(2)/2)*AB87+(1-EXP(-LN(2)/2))/(LN(2)/2)*V88*Y88*VLOOKUP('Données projet'!$B$9,Paramètres!$A$1:$I$89,3,0)*0.475*44/12</f>
        <v>3.8981648060638634E-9</v>
      </c>
      <c r="AC88" s="22">
        <f t="shared" si="57"/>
        <v>216.25084113197371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277.99999999999994</v>
      </c>
      <c r="AJ88" s="13">
        <f>AI88*VLOOKUP('Données projet'!$B$10,Paramètres!$A$1:$I$89,3,0)*VLOOKUP('Données projet'!$B$10,Paramètres!$A$1:$I$89,5,0)</f>
        <v>151.78799999999998</v>
      </c>
      <c r="AK88" s="13">
        <f t="shared" si="89"/>
        <v>38.984634390835623</v>
      </c>
      <c r="AL88" s="20">
        <f t="shared" si="58"/>
        <v>332.26233823070532</v>
      </c>
      <c r="AM88" s="59">
        <f t="shared" si="59"/>
        <v>625.59567156403864</v>
      </c>
      <c r="AN88" s="59">
        <f ca="1">AVERAGE(OFFSET($AM$3,0,0,'Données projet'!$E$10+1,1))-AVERAGE(OFFSET($H$3,0,0,'Données projet'!$E$10+1,1))</f>
        <v>159.92263609041913</v>
      </c>
      <c r="AO88" s="59">
        <f t="shared" si="90"/>
        <v>271.78119133009307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12.350698470256946</v>
      </c>
      <c r="AV88" s="21">
        <f>EXP(-LN(2)/25)*AV87+(1-EXP(-LN(2)/25))/(LN(2)/25)*Calculateur!AQ88*Calculateur!AS88*VLOOKUP('Données projet'!$B$10,Paramètres!$A$1:$I$89,3,0)*0.475*44/12</f>
        <v>20.902239030734297</v>
      </c>
      <c r="AW88" s="21">
        <f>EXP(-LN(2)/2)*AW87+(1-EXP(-LN(2)/2))/(LN(2)/2)*AQ88*AT88*VLOOKUP('Données projet'!$B$10,Paramètres!$A$1:$I$89,3,0)*0.475*44/12</f>
        <v>1.3358344363481373E-10</v>
      </c>
      <c r="AX88" s="21">
        <f t="shared" si="60"/>
        <v>33.252937501124826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248</v>
      </c>
      <c r="BB88" s="12">
        <f>VLOOKUP(A88,'Données projet'!$A$87:$I$107,9,0)</f>
        <v>3.6</v>
      </c>
      <c r="BC88" s="12">
        <f t="array" ref="BC88">INDEX(BB:BB,MIN(IF(ISNUMBER(BB88:BB284),ROW(BB88:BB284),"")))</f>
        <v>3.6</v>
      </c>
      <c r="BD88" s="12">
        <f>IF('Données projet'!$A$88&gt;35,BD87+BC88-BL87,IF(A88&lt;'Données projet'!$A$88,$BA$205^A88,IF(A88='Données projet'!$A$88,'Données projet'!$B$88,BD87+BC88-BL87)))</f>
        <v>248</v>
      </c>
      <c r="BE88" s="13">
        <f>BD88*VLOOKUP('Données projet'!$B$11,Paramètres!$A$1:$I$89,3,0)*VLOOKUP('Données projet'!$B$11,Paramètres!$A$1:$I$89,5,0)</f>
        <v>216.65280000000004</v>
      </c>
      <c r="BF88" s="13">
        <f t="shared" si="91"/>
        <v>53.38674047237982</v>
      </c>
      <c r="BG88" s="20">
        <f t="shared" si="61"/>
        <v>470.3188663227283</v>
      </c>
      <c r="BH88" s="59">
        <f t="shared" si="62"/>
        <v>763.65219965606161</v>
      </c>
      <c r="BI88" s="59">
        <f ca="1">AVERAGE(OFFSET($BH$3,0,0,'Données projet'!$E$11+1,1))-AVERAGE(OFFSET($H$3,0,0,'Données projet'!$E$11+1,1))</f>
        <v>268.27008134105046</v>
      </c>
      <c r="BJ88" s="59">
        <f t="shared" si="92"/>
        <v>252.36274686619709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14</v>
      </c>
      <c r="BM88" s="16">
        <f>IF(ISNA(VLOOKUP(A88,'Données projet'!$A$87:$I$107,5,0)),0%,VLOOKUP(A88,'Données projet'!$A$87:$I$107,5,0)*VLOOKUP('Données projet'!$B$11,Paramètres!$A$1:$I$89,7,0))</f>
        <v>0.43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57.273826118101873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57.273826118101873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0.8600000000003547</v>
      </c>
      <c r="O89" s="13">
        <f>N89*VLOOKUP('Données projet'!$B$9,Paramètres!$A$1:$I$89,3,0)*VLOOKUP('Données projet'!$B$9,Paramètres!$A$1:$I$89,5,0)</f>
        <v>0.48074000000019829</v>
      </c>
      <c r="P89" s="13">
        <f t="shared" si="87"/>
        <v>0.24126147010950588</v>
      </c>
      <c r="Q89" s="20">
        <f t="shared" si="54"/>
        <v>1.2574858937744013</v>
      </c>
      <c r="R89" s="59">
        <f t="shared" si="55"/>
        <v>294.59081922710772</v>
      </c>
      <c r="S89" s="59">
        <f ca="1">AVERAGE(OFFSET($R$3,0,0,'Données projet'!$E$9+1,1))-AVERAGE(OFFSET($H$3,0,0,'Données projet'!$E$9+1,1))</f>
        <v>350.01600895263641</v>
      </c>
      <c r="T89" s="59">
        <f t="shared" si="88"/>
        <v>464.08921044376882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201.21990691080543</v>
      </c>
      <c r="AA89" s="21">
        <f>EXP(-LN(2)/25)*AA88+(1-EXP(-LN(2)/25))/(LN(2)/25)*Calculateur!V89*Calculateur!X89*VLOOKUP('Données projet'!$B$9,Paramètres!$A$1:$I$89,3,0)*0.475*44/12</f>
        <v>10.705246779209068</v>
      </c>
      <c r="AB89" s="21">
        <f>EXP(-LN(2)/2)*AB88+(1-EXP(-LN(2)/2))/(LN(2)/2)*V89*Y89*VLOOKUP('Données projet'!$B$9,Paramètres!$A$1:$I$89,3,0)*0.475*44/12</f>
        <v>2.7564187685505008E-9</v>
      </c>
      <c r="AC89" s="22">
        <f t="shared" si="57"/>
        <v>211.92515369277092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277.99999999999994</v>
      </c>
      <c r="AJ89" s="13">
        <f>AI89*VLOOKUP('Données projet'!$B$10,Paramètres!$A$1:$I$89,3,0)*VLOOKUP('Données projet'!$B$10,Paramètres!$A$1:$I$89,5,0)</f>
        <v>151.78799999999998</v>
      </c>
      <c r="AK89" s="13">
        <f t="shared" si="89"/>
        <v>38.984634390835623</v>
      </c>
      <c r="AL89" s="20">
        <f t="shared" si="58"/>
        <v>332.26233823070532</v>
      </c>
      <c r="AM89" s="59">
        <f t="shared" si="59"/>
        <v>625.59567156403864</v>
      </c>
      <c r="AN89" s="59">
        <f ca="1">AVERAGE(OFFSET($AM$3,0,0,'Données projet'!$E$10+1,1))-AVERAGE(OFFSET($H$3,0,0,'Données projet'!$E$10+1,1))</f>
        <v>159.92263609041913</v>
      </c>
      <c r="AO89" s="59">
        <f t="shared" si="90"/>
        <v>271.78119133009307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12.108508806437435</v>
      </c>
      <c r="AV89" s="21">
        <f>EXP(-LN(2)/25)*AV88+(1-EXP(-LN(2)/25))/(LN(2)/25)*Calculateur!AQ89*Calculateur!AS89*VLOOKUP('Données projet'!$B$10,Paramètres!$A$1:$I$89,3,0)*0.475*44/12</f>
        <v>20.33066620523789</v>
      </c>
      <c r="AW89" s="21">
        <f>EXP(-LN(2)/2)*AW88+(1-EXP(-LN(2)/2))/(LN(2)/2)*AQ89*AT89*VLOOKUP('Données projet'!$B$10,Paramètres!$A$1:$I$89,3,0)*0.475*44/12</f>
        <v>9.4457758848427743E-11</v>
      </c>
      <c r="AX89" s="21">
        <f t="shared" si="60"/>
        <v>32.439175011769784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3</v>
      </c>
      <c r="BD89" s="12">
        <f>IF('Données projet'!$A$88&gt;35,BD88+BC89-BL88,IF(A89&lt;'Données projet'!$A$88,$BA$205^A89,IF(A89='Données projet'!$A$88,'Données projet'!$B$88,BD88+BC89-BL88)))</f>
        <v>237</v>
      </c>
      <c r="BE89" s="13">
        <f>BD89*VLOOKUP('Données projet'!$B$11,Paramètres!$A$1:$I$89,3,0)*VLOOKUP('Données projet'!$B$11,Paramètres!$A$1:$I$89,5,0)</f>
        <v>207.04320000000001</v>
      </c>
      <c r="BF89" s="13">
        <f t="shared" si="91"/>
        <v>51.288918231806321</v>
      </c>
      <c r="BG89" s="20">
        <f t="shared" si="61"/>
        <v>449.92843925372944</v>
      </c>
      <c r="BH89" s="59">
        <f t="shared" si="62"/>
        <v>743.26177258706275</v>
      </c>
      <c r="BI89" s="59">
        <f ca="1">AVERAGE(OFFSET($BH$3,0,0,'Données projet'!$E$11+1,1))-AVERAGE(OFFSET($H$3,0,0,'Données projet'!$E$11+1,1))</f>
        <v>268.27008134105046</v>
      </c>
      <c r="BJ89" s="59">
        <f t="shared" si="92"/>
        <v>252.36274686619709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56.150721321510424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56.150721321510424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0.8600000000003547</v>
      </c>
      <c r="O90" s="13">
        <f>N90*VLOOKUP('Données projet'!$B$9,Paramètres!$A$1:$I$89,3,0)*VLOOKUP('Données projet'!$B$9,Paramètres!$A$1:$I$89,5,0)</f>
        <v>0.48074000000019829</v>
      </c>
      <c r="P90" s="13">
        <f t="shared" si="87"/>
        <v>0.24126147010950588</v>
      </c>
      <c r="Q90" s="20">
        <f t="shared" si="54"/>
        <v>1.2574858937744013</v>
      </c>
      <c r="R90" s="59">
        <f t="shared" si="55"/>
        <v>294.59081922710772</v>
      </c>
      <c r="S90" s="59">
        <f ca="1">AVERAGE(OFFSET($R$3,0,0,'Données projet'!$E$9+1,1))-AVERAGE(OFFSET($H$3,0,0,'Données projet'!$E$9+1,1))</f>
        <v>350.01600895263641</v>
      </c>
      <c r="T90" s="59">
        <f t="shared" si="88"/>
        <v>464.08921044376882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197.27410726830897</v>
      </c>
      <c r="AA90" s="21">
        <f>EXP(-LN(2)/25)*AA89+(1-EXP(-LN(2)/25))/(LN(2)/25)*Calculateur!V90*Calculateur!X90*VLOOKUP('Données projet'!$B$9,Paramètres!$A$1:$I$89,3,0)*0.475*44/12</f>
        <v>10.412511243067135</v>
      </c>
      <c r="AB90" s="21">
        <f>EXP(-LN(2)/2)*AB89+(1-EXP(-LN(2)/2))/(LN(2)/2)*V90*Y90*VLOOKUP('Données projet'!$B$9,Paramètres!$A$1:$I$89,3,0)*0.475*44/12</f>
        <v>1.9490824030319317E-9</v>
      </c>
      <c r="AC90" s="22">
        <f t="shared" si="57"/>
        <v>207.68661851332519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277.99999999999994</v>
      </c>
      <c r="AJ90" s="13">
        <f>AI90*VLOOKUP('Données projet'!$B$10,Paramètres!$A$1:$I$89,3,0)*VLOOKUP('Données projet'!$B$10,Paramètres!$A$1:$I$89,5,0)</f>
        <v>151.78799999999998</v>
      </c>
      <c r="AK90" s="13">
        <f t="shared" si="89"/>
        <v>38.984634390835623</v>
      </c>
      <c r="AL90" s="20">
        <f t="shared" si="58"/>
        <v>332.26233823070532</v>
      </c>
      <c r="AM90" s="59">
        <f t="shared" si="59"/>
        <v>625.59567156403864</v>
      </c>
      <c r="AN90" s="59">
        <f ca="1">AVERAGE(OFFSET($AM$3,0,0,'Données projet'!$E$10+1,1))-AVERAGE(OFFSET($H$3,0,0,'Données projet'!$E$10+1,1))</f>
        <v>159.92263609041913</v>
      </c>
      <c r="AO90" s="59">
        <f t="shared" si="90"/>
        <v>271.78119133009307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11.871068334204315</v>
      </c>
      <c r="AV90" s="21">
        <f>EXP(-LN(2)/25)*AV89+(1-EXP(-LN(2)/25))/(LN(2)/25)*Calculateur!AQ90*Calculateur!AS90*VLOOKUP('Données projet'!$B$10,Paramètres!$A$1:$I$89,3,0)*0.475*44/12</f>
        <v>19.77472306871239</v>
      </c>
      <c r="AW90" s="21">
        <f>EXP(-LN(2)/2)*AW89+(1-EXP(-LN(2)/2))/(LN(2)/2)*AQ90*AT90*VLOOKUP('Données projet'!$B$10,Paramètres!$A$1:$I$89,3,0)*0.475*44/12</f>
        <v>6.6791721817406867E-11</v>
      </c>
      <c r="AX90" s="21">
        <f t="shared" si="60"/>
        <v>31.645791402983498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3</v>
      </c>
      <c r="BD90" s="12">
        <f>IF('Données projet'!$A$88&gt;35,BD89+BC90-BL89,IF(A90&lt;'Données projet'!$A$88,$BA$205^A90,IF(A90='Données projet'!$A$88,'Données projet'!$B$88,BD89+BC90-BL89)))</f>
        <v>240</v>
      </c>
      <c r="BE90" s="13">
        <f>BD90*VLOOKUP('Données projet'!$B$11,Paramètres!$A$1:$I$89,3,0)*VLOOKUP('Données projet'!$B$11,Paramètres!$A$1:$I$89,5,0)</f>
        <v>209.66400000000002</v>
      </c>
      <c r="BF90" s="13">
        <f t="shared" si="91"/>
        <v>51.862154403304537</v>
      </c>
      <c r="BG90" s="20">
        <f t="shared" si="61"/>
        <v>455.49138558575538</v>
      </c>
      <c r="BH90" s="59">
        <f t="shared" si="62"/>
        <v>748.8247189190887</v>
      </c>
      <c r="BI90" s="59">
        <f ca="1">AVERAGE(OFFSET($BH$3,0,0,'Données projet'!$E$11+1,1))-AVERAGE(OFFSET($H$3,0,0,'Données projet'!$E$11+1,1))</f>
        <v>268.27008134105046</v>
      </c>
      <c r="BJ90" s="59">
        <f t="shared" si="92"/>
        <v>252.36274686619709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55.049639924953844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55.049639924953844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0.8600000000003547</v>
      </c>
      <c r="O91" s="13">
        <f>N91*VLOOKUP('Données projet'!$B$9,Paramètres!$A$1:$I$89,3,0)*VLOOKUP('Données projet'!$B$9,Paramètres!$A$1:$I$89,5,0)</f>
        <v>0.48074000000019829</v>
      </c>
      <c r="P91" s="13">
        <f t="shared" si="87"/>
        <v>0.24126147010950588</v>
      </c>
      <c r="Q91" s="20">
        <f t="shared" si="54"/>
        <v>1.2574858937744013</v>
      </c>
      <c r="R91" s="59">
        <f t="shared" si="55"/>
        <v>294.59081922710772</v>
      </c>
      <c r="S91" s="59">
        <f ca="1">AVERAGE(OFFSET($R$3,0,0,'Données projet'!$E$9+1,1))-AVERAGE(OFFSET($H$3,0,0,'Données projet'!$E$9+1,1))</f>
        <v>350.01600895263641</v>
      </c>
      <c r="T91" s="59">
        <f t="shared" si="88"/>
        <v>464.08921044376882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193.40568235010173</v>
      </c>
      <c r="AA91" s="21">
        <f>EXP(-LN(2)/25)*AA90+(1-EXP(-LN(2)/25))/(LN(2)/25)*Calculateur!V91*Calculateur!X91*VLOOKUP('Données projet'!$B$9,Paramètres!$A$1:$I$89,3,0)*0.475*44/12</f>
        <v>10.127780575555295</v>
      </c>
      <c r="AB91" s="21">
        <f>EXP(-LN(2)/2)*AB90+(1-EXP(-LN(2)/2))/(LN(2)/2)*V91*Y91*VLOOKUP('Données projet'!$B$9,Paramètres!$A$1:$I$89,3,0)*0.475*44/12</f>
        <v>1.3782093842752504E-9</v>
      </c>
      <c r="AC91" s="22">
        <f t="shared" si="57"/>
        <v>203.53346292703523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277.99999999999994</v>
      </c>
      <c r="AJ91" s="13">
        <f>AI91*VLOOKUP('Données projet'!$B$10,Paramètres!$A$1:$I$89,3,0)*VLOOKUP('Données projet'!$B$10,Paramètres!$A$1:$I$89,5,0)</f>
        <v>151.78799999999998</v>
      </c>
      <c r="AK91" s="13">
        <f t="shared" si="89"/>
        <v>38.984634390835623</v>
      </c>
      <c r="AL91" s="20">
        <f t="shared" si="58"/>
        <v>332.26233823070532</v>
      </c>
      <c r="AM91" s="59">
        <f t="shared" si="59"/>
        <v>625.59567156403864</v>
      </c>
      <c r="AN91" s="59">
        <f ca="1">AVERAGE(OFFSET($AM$3,0,0,'Données projet'!$E$10+1,1))-AVERAGE(OFFSET($H$3,0,0,'Données projet'!$E$10+1,1))</f>
        <v>159.92263609041913</v>
      </c>
      <c r="AO91" s="59">
        <f t="shared" si="90"/>
        <v>271.78119133009307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11.638283924807299</v>
      </c>
      <c r="AV91" s="21">
        <f>EXP(-LN(2)/25)*AV90+(1-EXP(-LN(2)/25))/(LN(2)/25)*Calculateur!AQ91*Calculateur!AS91*VLOOKUP('Données projet'!$B$10,Paramètres!$A$1:$I$89,3,0)*0.475*44/12</f>
        <v>19.233982226490959</v>
      </c>
      <c r="AW91" s="21">
        <f>EXP(-LN(2)/2)*AW90+(1-EXP(-LN(2)/2))/(LN(2)/2)*AQ91*AT91*VLOOKUP('Données projet'!$B$10,Paramètres!$A$1:$I$89,3,0)*0.475*44/12</f>
        <v>4.7228879424213871E-11</v>
      </c>
      <c r="AX91" s="21">
        <f t="shared" si="60"/>
        <v>30.872266151345485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3</v>
      </c>
      <c r="BD91" s="12">
        <f>IF('Données projet'!$A$88&gt;35,BD90+BC91-BL90,IF(A91&lt;'Données projet'!$A$88,$BA$205^A91,IF(A91='Données projet'!$A$88,'Données projet'!$B$88,BD90+BC91-BL90)))</f>
        <v>243</v>
      </c>
      <c r="BE91" s="13">
        <f>BD91*VLOOKUP('Données projet'!$B$11,Paramètres!$A$1:$I$89,3,0)*VLOOKUP('Données projet'!$B$11,Paramètres!$A$1:$I$89,5,0)</f>
        <v>212.28480000000002</v>
      </c>
      <c r="BF91" s="13">
        <f t="shared" si="91"/>
        <v>52.434557099704193</v>
      </c>
      <c r="BG91" s="20">
        <f t="shared" si="61"/>
        <v>461.05288028198476</v>
      </c>
      <c r="BH91" s="59">
        <f t="shared" si="62"/>
        <v>754.38621361531807</v>
      </c>
      <c r="BI91" s="59">
        <f ca="1">AVERAGE(OFFSET($BH$3,0,0,'Données projet'!$E$11+1,1))-AVERAGE(OFFSET($H$3,0,0,'Données projet'!$E$11+1,1))</f>
        <v>268.27008134105046</v>
      </c>
      <c r="BJ91" s="59">
        <f t="shared" si="92"/>
        <v>252.36274686619709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53.970150062990406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53.970150062990406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0.8600000000003547</v>
      </c>
      <c r="O92" s="13">
        <f>N92*VLOOKUP('Données projet'!$B$9,Paramètres!$A$1:$I$89,3,0)*VLOOKUP('Données projet'!$B$9,Paramètres!$A$1:$I$89,5,0)</f>
        <v>0.48074000000019829</v>
      </c>
      <c r="P92" s="13">
        <f t="shared" si="87"/>
        <v>0.24126147010950588</v>
      </c>
      <c r="Q92" s="20">
        <f t="shared" si="54"/>
        <v>1.2574858937744013</v>
      </c>
      <c r="R92" s="59">
        <f t="shared" si="55"/>
        <v>294.59081922710772</v>
      </c>
      <c r="S92" s="59">
        <f ca="1">AVERAGE(OFFSET($R$3,0,0,'Données projet'!$E$9+1,1))-AVERAGE(OFFSET($H$3,0,0,'Données projet'!$E$9+1,1))</f>
        <v>350.01600895263641</v>
      </c>
      <c r="T92" s="59">
        <f t="shared" si="88"/>
        <v>464.08921044376882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189.61311488503432</v>
      </c>
      <c r="AA92" s="21">
        <f>EXP(-LN(2)/25)*AA91+(1-EXP(-LN(2)/25))/(LN(2)/25)*Calculateur!V92*Calculateur!X92*VLOOKUP('Données projet'!$B$9,Paramètres!$A$1:$I$89,3,0)*0.475*44/12</f>
        <v>9.8508358831199025</v>
      </c>
      <c r="AB92" s="21">
        <f>EXP(-LN(2)/2)*AB91+(1-EXP(-LN(2)/2))/(LN(2)/2)*V92*Y92*VLOOKUP('Données projet'!$B$9,Paramètres!$A$1:$I$89,3,0)*0.475*44/12</f>
        <v>9.7454120151596584E-10</v>
      </c>
      <c r="AC92" s="22">
        <f t="shared" si="57"/>
        <v>199.46395076912879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277.99999999999994</v>
      </c>
      <c r="AJ92" s="13">
        <f>AI92*VLOOKUP('Données projet'!$B$10,Paramètres!$A$1:$I$89,3,0)*VLOOKUP('Données projet'!$B$10,Paramètres!$A$1:$I$89,5,0)</f>
        <v>151.78799999999998</v>
      </c>
      <c r="AK92" s="13">
        <f t="shared" si="89"/>
        <v>38.984634390835623</v>
      </c>
      <c r="AL92" s="20">
        <f t="shared" si="58"/>
        <v>332.26233823070532</v>
      </c>
      <c r="AM92" s="59">
        <f t="shared" si="59"/>
        <v>625.59567156403864</v>
      </c>
      <c r="AN92" s="59">
        <f ca="1">AVERAGE(OFFSET($AM$3,0,0,'Données projet'!$E$10+1,1))-AVERAGE(OFFSET($H$3,0,0,'Données projet'!$E$10+1,1))</f>
        <v>159.92263609041913</v>
      </c>
      <c r="AO92" s="59">
        <f t="shared" si="90"/>
        <v>271.78119133009307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11.410064275694088</v>
      </c>
      <c r="AV92" s="21">
        <f>EXP(-LN(2)/25)*AV91+(1-EXP(-LN(2)/25))/(LN(2)/25)*Calculateur!AQ92*Calculateur!AS92*VLOOKUP('Données projet'!$B$10,Paramètres!$A$1:$I$89,3,0)*0.475*44/12</f>
        <v>18.708027971036397</v>
      </c>
      <c r="AW92" s="21">
        <f>EXP(-LN(2)/2)*AW91+(1-EXP(-LN(2)/2))/(LN(2)/2)*AQ92*AT92*VLOOKUP('Données projet'!$B$10,Paramètres!$A$1:$I$89,3,0)*0.475*44/12</f>
        <v>3.3395860908703434E-11</v>
      </c>
      <c r="AX92" s="21">
        <f t="shared" si="60"/>
        <v>30.118092246763879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3</v>
      </c>
      <c r="BD92" s="12">
        <f>IF('Données projet'!$A$88&gt;35,BD91+BC92-BL91,IF(A92&lt;'Données projet'!$A$88,$BA$205^A92,IF(A92='Données projet'!$A$88,'Données projet'!$B$88,BD91+BC92-BL91)))</f>
        <v>246</v>
      </c>
      <c r="BE92" s="13">
        <f>BD92*VLOOKUP('Données projet'!$B$11,Paramètres!$A$1:$I$89,3,0)*VLOOKUP('Données projet'!$B$11,Paramètres!$A$1:$I$89,5,0)</f>
        <v>214.90560000000005</v>
      </c>
      <c r="BF92" s="13">
        <f t="shared" si="91"/>
        <v>53.006137800892326</v>
      </c>
      <c r="BG92" s="20">
        <f t="shared" si="61"/>
        <v>466.61294333655422</v>
      </c>
      <c r="BH92" s="59">
        <f t="shared" si="62"/>
        <v>759.94627666988754</v>
      </c>
      <c r="BI92" s="59">
        <f ca="1">AVERAGE(OFFSET($BH$3,0,0,'Données projet'!$E$11+1,1))-AVERAGE(OFFSET($H$3,0,0,'Données projet'!$E$11+1,1))</f>
        <v>268.27008134105046</v>
      </c>
      <c r="BJ92" s="59">
        <f t="shared" si="92"/>
        <v>252.36274686619709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52.911828338796269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52.911828338796269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0.8600000000003547</v>
      </c>
      <c r="O93" s="13">
        <f>N93*VLOOKUP('Données projet'!$B$9,Paramètres!$A$1:$I$89,3,0)*VLOOKUP('Données projet'!$B$9,Paramètres!$A$1:$I$89,5,0)</f>
        <v>0.48074000000019829</v>
      </c>
      <c r="P93" s="13">
        <f t="shared" si="87"/>
        <v>0.24126147010950588</v>
      </c>
      <c r="Q93" s="20">
        <f t="shared" si="54"/>
        <v>1.2574858937744013</v>
      </c>
      <c r="R93" s="59">
        <f t="shared" si="55"/>
        <v>294.59081922710772</v>
      </c>
      <c r="S93" s="59">
        <f ca="1">AVERAGE(OFFSET($R$3,0,0,'Données projet'!$E$9+1,1))-AVERAGE(OFFSET($H$3,0,0,'Données projet'!$E$9+1,1))</f>
        <v>350.01600895263641</v>
      </c>
      <c r="T93" s="59">
        <f t="shared" si="88"/>
        <v>464.08921044376882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185.89491735471913</v>
      </c>
      <c r="AA93" s="21">
        <f>EXP(-LN(2)/25)*AA92+(1-EXP(-LN(2)/25))/(LN(2)/25)*Calculateur!V93*Calculateur!X93*VLOOKUP('Données projet'!$B$9,Paramètres!$A$1:$I$89,3,0)*0.475*44/12</f>
        <v>9.5814642578630433</v>
      </c>
      <c r="AB93" s="21">
        <f>EXP(-LN(2)/2)*AB92+(1-EXP(-LN(2)/2))/(LN(2)/2)*V93*Y93*VLOOKUP('Données projet'!$B$9,Paramètres!$A$1:$I$89,3,0)*0.475*44/12</f>
        <v>6.891046921376252E-10</v>
      </c>
      <c r="AC93" s="22">
        <f t="shared" si="57"/>
        <v>195.47638161327129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277.99999999999994</v>
      </c>
      <c r="AJ93" s="13">
        <f>AI93*VLOOKUP('Données projet'!$B$10,Paramètres!$A$1:$I$89,3,0)*VLOOKUP('Données projet'!$B$10,Paramètres!$A$1:$I$89,5,0)</f>
        <v>151.78799999999998</v>
      </c>
      <c r="AK93" s="13">
        <f t="shared" si="89"/>
        <v>38.984634390835623</v>
      </c>
      <c r="AL93" s="20">
        <f t="shared" si="58"/>
        <v>332.26233823070532</v>
      </c>
      <c r="AM93" s="59">
        <f t="shared" si="59"/>
        <v>625.59567156403864</v>
      </c>
      <c r="AN93" s="59">
        <f ca="1">AVERAGE(OFFSET($AM$3,0,0,'Données projet'!$E$10+1,1))-AVERAGE(OFFSET($H$3,0,0,'Données projet'!$E$10+1,1))</f>
        <v>159.92263609041913</v>
      </c>
      <c r="AO93" s="59">
        <f t="shared" si="90"/>
        <v>271.78119133009307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11.186319874699747</v>
      </c>
      <c r="AV93" s="21">
        <f>EXP(-LN(2)/25)*AV92+(1-EXP(-LN(2)/25))/(LN(2)/25)*Calculateur!AQ93*Calculateur!AS93*VLOOKUP('Données projet'!$B$10,Paramètres!$A$1:$I$89,3,0)*0.475*44/12</f>
        <v>18.196455962355973</v>
      </c>
      <c r="AW93" s="21">
        <f>EXP(-LN(2)/2)*AW92+(1-EXP(-LN(2)/2))/(LN(2)/2)*AQ93*AT93*VLOOKUP('Données projet'!$B$10,Paramètres!$A$1:$I$89,3,0)*0.475*44/12</f>
        <v>2.3614439712106936E-11</v>
      </c>
      <c r="AX93" s="21">
        <f t="shared" si="60"/>
        <v>29.382775837079333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249</v>
      </c>
      <c r="BB93" s="12">
        <f>VLOOKUP(A93,'Données projet'!$A$87:$I$107,9,0)</f>
        <v>3</v>
      </c>
      <c r="BC93" s="12">
        <f t="array" ref="BC93">INDEX(BB:BB,MIN(IF(ISNUMBER(BB93:BB289),ROW(BB93:BB289),"")))</f>
        <v>3</v>
      </c>
      <c r="BD93" s="12">
        <f>IF('Données projet'!$A$88&gt;35,BD92+BC93-BL92,IF(A93&lt;'Données projet'!$A$88,$BA$205^A93,IF(A93='Données projet'!$A$88,'Données projet'!$B$88,BD92+BC93-BL92)))</f>
        <v>249</v>
      </c>
      <c r="BE93" s="13">
        <f>BD93*VLOOKUP('Données projet'!$B$11,Paramètres!$A$1:$I$89,3,0)*VLOOKUP('Données projet'!$B$11,Paramètres!$A$1:$I$89,5,0)</f>
        <v>217.52640000000005</v>
      </c>
      <c r="BF93" s="13">
        <f t="shared" si="91"/>
        <v>53.576907690651254</v>
      </c>
      <c r="BG93" s="20">
        <f t="shared" si="61"/>
        <v>472.17159422788433</v>
      </c>
      <c r="BH93" s="59">
        <f t="shared" si="62"/>
        <v>765.50492756121764</v>
      </c>
      <c r="BI93" s="59">
        <f ca="1">AVERAGE(OFFSET($BH$3,0,0,'Données projet'!$E$11+1,1))-AVERAGE(OFFSET($H$3,0,0,'Données projet'!$E$11+1,1))</f>
        <v>268.27008134105046</v>
      </c>
      <c r="BJ93" s="59">
        <f t="shared" si="92"/>
        <v>252.36274686619709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12</v>
      </c>
      <c r="BM93" s="16">
        <f>IF(ISNA(VLOOKUP(A93,'Données projet'!$A$87:$I$107,5,0)),0%,VLOOKUP(A93,'Données projet'!$A$87:$I$107,5,0)*VLOOKUP('Données projet'!$B$11,Paramètres!$A$1:$I$89,7,0))</f>
        <v>0.43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56.857472503670593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56.857472503670593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0.8600000000003547</v>
      </c>
      <c r="O94" s="13">
        <f>N94*VLOOKUP('Données projet'!$B$9,Paramètres!$A$1:$I$89,3,0)*VLOOKUP('Données projet'!$B$9,Paramètres!$A$1:$I$89,5,0)</f>
        <v>0.48074000000019829</v>
      </c>
      <c r="P94" s="13">
        <f t="shared" si="87"/>
        <v>0.24126147010950588</v>
      </c>
      <c r="Q94" s="20">
        <f t="shared" si="54"/>
        <v>1.2574858937744013</v>
      </c>
      <c r="R94" s="59">
        <f t="shared" si="55"/>
        <v>294.59081922710772</v>
      </c>
      <c r="S94" s="59">
        <f ca="1">AVERAGE(OFFSET($R$3,0,0,'Données projet'!$E$9+1,1))-AVERAGE(OFFSET($H$3,0,0,'Données projet'!$E$9+1,1))</f>
        <v>350.01600895263641</v>
      </c>
      <c r="T94" s="59">
        <f t="shared" si="88"/>
        <v>464.08921044376882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182.24963141009687</v>
      </c>
      <c r="AA94" s="21">
        <f>EXP(-LN(2)/25)*AA93+(1-EXP(-LN(2)/25))/(LN(2)/25)*Calculateur!V94*Calculateur!X94*VLOOKUP('Données projet'!$B$9,Paramètres!$A$1:$I$89,3,0)*0.475*44/12</f>
        <v>9.3194586138644713</v>
      </c>
      <c r="AB94" s="21">
        <f>EXP(-LN(2)/2)*AB93+(1-EXP(-LN(2)/2))/(LN(2)/2)*V94*Y94*VLOOKUP('Données projet'!$B$9,Paramètres!$A$1:$I$89,3,0)*0.475*44/12</f>
        <v>4.8727060075798292E-10</v>
      </c>
      <c r="AC94" s="22">
        <f t="shared" si="57"/>
        <v>191.5690900244486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277.99999999999994</v>
      </c>
      <c r="AJ94" s="13">
        <f>AI94*VLOOKUP('Données projet'!$B$10,Paramètres!$A$1:$I$89,3,0)*VLOOKUP('Données projet'!$B$10,Paramètres!$A$1:$I$89,5,0)</f>
        <v>151.78799999999998</v>
      </c>
      <c r="AK94" s="13">
        <f t="shared" si="89"/>
        <v>38.984634390835623</v>
      </c>
      <c r="AL94" s="20">
        <f t="shared" si="58"/>
        <v>332.26233823070532</v>
      </c>
      <c r="AM94" s="59">
        <f t="shared" si="59"/>
        <v>625.59567156403864</v>
      </c>
      <c r="AN94" s="59">
        <f ca="1">AVERAGE(OFFSET($AM$3,0,0,'Données projet'!$E$10+1,1))-AVERAGE(OFFSET($H$3,0,0,'Données projet'!$E$10+1,1))</f>
        <v>159.92263609041913</v>
      </c>
      <c r="AO94" s="59">
        <f t="shared" si="90"/>
        <v>271.78119133009307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10.966962964938295</v>
      </c>
      <c r="AV94" s="21">
        <f>EXP(-LN(2)/25)*AV93+(1-EXP(-LN(2)/25))/(LN(2)/25)*Calculateur!AQ94*Calculateur!AS94*VLOOKUP('Données projet'!$B$10,Paramètres!$A$1:$I$89,3,0)*0.475*44/12</f>
        <v>17.698872917155317</v>
      </c>
      <c r="AW94" s="21">
        <f>EXP(-LN(2)/2)*AW93+(1-EXP(-LN(2)/2))/(LN(2)/2)*AQ94*AT94*VLOOKUP('Données projet'!$B$10,Paramètres!$A$1:$I$89,3,0)*0.475*44/12</f>
        <v>1.6697930454351717E-11</v>
      </c>
      <c r="AX94" s="21">
        <f t="shared" si="60"/>
        <v>28.665835882110308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3</v>
      </c>
      <c r="BD94" s="12">
        <f>IF('Données projet'!$A$88&gt;35,BD93+BC94-BL93,IF(A94&lt;'Données projet'!$A$88,$BA$205^A94,IF(A94='Données projet'!$A$88,'Données projet'!$B$88,BD93+BC94-BL93)))</f>
        <v>240</v>
      </c>
      <c r="BE94" s="13">
        <f>BD94*VLOOKUP('Données projet'!$B$11,Paramètres!$A$1:$I$89,3,0)*VLOOKUP('Données projet'!$B$11,Paramètres!$A$1:$I$89,5,0)</f>
        <v>209.66400000000002</v>
      </c>
      <c r="BF94" s="13">
        <f t="shared" si="91"/>
        <v>51.862154403304537</v>
      </c>
      <c r="BG94" s="20">
        <f t="shared" si="61"/>
        <v>455.49138558575538</v>
      </c>
      <c r="BH94" s="59">
        <f t="shared" si="62"/>
        <v>748.8247189190887</v>
      </c>
      <c r="BI94" s="59">
        <f ca="1">AVERAGE(OFFSET($BH$3,0,0,'Données projet'!$E$11+1,1))-AVERAGE(OFFSET($H$3,0,0,'Données projet'!$E$11+1,1))</f>
        <v>268.27008134105046</v>
      </c>
      <c r="BJ94" s="59">
        <f t="shared" si="92"/>
        <v>252.36274686619709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55.742532147507511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55.742532147507511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0.8600000000003547</v>
      </c>
      <c r="O95" s="13">
        <f>N95*VLOOKUP('Données projet'!$B$9,Paramètres!$A$1:$I$89,3,0)*VLOOKUP('Données projet'!$B$9,Paramètres!$A$1:$I$89,5,0)</f>
        <v>0.48074000000019829</v>
      </c>
      <c r="P95" s="13">
        <f t="shared" si="87"/>
        <v>0.24126147010950588</v>
      </c>
      <c r="Q95" s="20">
        <f t="shared" si="54"/>
        <v>1.2574858937744013</v>
      </c>
      <c r="R95" s="59">
        <f t="shared" si="55"/>
        <v>294.59081922710772</v>
      </c>
      <c r="S95" s="59">
        <f ca="1">AVERAGE(OFFSET($R$3,0,0,'Données projet'!$E$9+1,1))-AVERAGE(OFFSET($H$3,0,0,'Données projet'!$E$9+1,1))</f>
        <v>350.01600895263641</v>
      </c>
      <c r="T95" s="59">
        <f t="shared" si="88"/>
        <v>464.08921044376882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178.67582729944377</v>
      </c>
      <c r="AA95" s="21">
        <f>EXP(-LN(2)/25)*AA94+(1-EXP(-LN(2)/25))/(LN(2)/25)*Calculateur!V95*Calculateur!X95*VLOOKUP('Données projet'!$B$9,Paramètres!$A$1:$I$89,3,0)*0.475*44/12</f>
        <v>9.0646175279793191</v>
      </c>
      <c r="AB95" s="21">
        <f>EXP(-LN(2)/2)*AB94+(1-EXP(-LN(2)/2))/(LN(2)/2)*V95*Y95*VLOOKUP('Données projet'!$B$9,Paramètres!$A$1:$I$89,3,0)*0.475*44/12</f>
        <v>3.445523460688126E-10</v>
      </c>
      <c r="AC95" s="22">
        <f t="shared" si="57"/>
        <v>187.74044482776765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277.99999999999994</v>
      </c>
      <c r="AJ95" s="13">
        <f>AI95*VLOOKUP('Données projet'!$B$10,Paramètres!$A$1:$I$89,3,0)*VLOOKUP('Données projet'!$B$10,Paramètres!$A$1:$I$89,5,0)</f>
        <v>151.78799999999998</v>
      </c>
      <c r="AK95" s="13">
        <f t="shared" si="89"/>
        <v>38.984634390835623</v>
      </c>
      <c r="AL95" s="20">
        <f t="shared" si="58"/>
        <v>332.26233823070532</v>
      </c>
      <c r="AM95" s="59">
        <f t="shared" si="59"/>
        <v>625.59567156403864</v>
      </c>
      <c r="AN95" s="59">
        <f ca="1">AVERAGE(OFFSET($AM$3,0,0,'Données projet'!$E$10+1,1))-AVERAGE(OFFSET($H$3,0,0,'Données projet'!$E$10+1,1))</f>
        <v>159.92263609041913</v>
      </c>
      <c r="AO95" s="59">
        <f t="shared" si="90"/>
        <v>271.78119133009307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10.751907510382761</v>
      </c>
      <c r="AV95" s="21">
        <f>EXP(-LN(2)/25)*AV94+(1-EXP(-LN(2)/25))/(LN(2)/25)*Calculateur!AQ95*Calculateur!AS95*VLOOKUP('Données projet'!$B$10,Paramètres!$A$1:$I$89,3,0)*0.475*44/12</f>
        <v>17.214896306492431</v>
      </c>
      <c r="AW95" s="21">
        <f>EXP(-LN(2)/2)*AW94+(1-EXP(-LN(2)/2))/(LN(2)/2)*AQ95*AT95*VLOOKUP('Données projet'!$B$10,Paramètres!$A$1:$I$89,3,0)*0.475*44/12</f>
        <v>1.1807219856053468E-11</v>
      </c>
      <c r="AX95" s="21">
        <f t="shared" si="60"/>
        <v>27.966803816886998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3</v>
      </c>
      <c r="BD95" s="12">
        <f>IF('Données projet'!$A$88&gt;35,BD94+BC95-BL94,IF(A95&lt;'Données projet'!$A$88,$BA$205^A95,IF(A95='Données projet'!$A$88,'Données projet'!$B$88,BD94+BC95-BL94)))</f>
        <v>243</v>
      </c>
      <c r="BE95" s="13">
        <f>BD95*VLOOKUP('Données projet'!$B$11,Paramètres!$A$1:$I$89,3,0)*VLOOKUP('Données projet'!$B$11,Paramètres!$A$1:$I$89,5,0)</f>
        <v>212.28480000000002</v>
      </c>
      <c r="BF95" s="13">
        <f t="shared" si="91"/>
        <v>52.434557099704193</v>
      </c>
      <c r="BG95" s="20">
        <f t="shared" si="61"/>
        <v>461.05288028198476</v>
      </c>
      <c r="BH95" s="59">
        <f t="shared" si="62"/>
        <v>754.38621361531807</v>
      </c>
      <c r="BI95" s="59">
        <f ca="1">AVERAGE(OFFSET($BH$3,0,0,'Données projet'!$E$11+1,1))-AVERAGE(OFFSET($H$3,0,0,'Données projet'!$E$11+1,1))</f>
        <v>268.27008134105046</v>
      </c>
      <c r="BJ95" s="59">
        <f t="shared" si="92"/>
        <v>252.36274686619709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54.64945509168232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54.64945509168232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0.8600000000003547</v>
      </c>
      <c r="O96" s="13">
        <f>N96*VLOOKUP('Données projet'!$B$9,Paramètres!$A$1:$I$89,3,0)*VLOOKUP('Données projet'!$B$9,Paramètres!$A$1:$I$89,5,0)</f>
        <v>0.48074000000019829</v>
      </c>
      <c r="P96" s="13">
        <f t="shared" si="87"/>
        <v>0.24126147010950588</v>
      </c>
      <c r="Q96" s="20">
        <f t="shared" si="54"/>
        <v>1.2574858937744013</v>
      </c>
      <c r="R96" s="59">
        <f t="shared" si="55"/>
        <v>294.59081922710772</v>
      </c>
      <c r="S96" s="59">
        <f ca="1">AVERAGE(OFFSET($R$3,0,0,'Données projet'!$E$9+1,1))-AVERAGE(OFFSET($H$3,0,0,'Données projet'!$E$9+1,1))</f>
        <v>350.01600895263641</v>
      </c>
      <c r="T96" s="59">
        <f t="shared" si="88"/>
        <v>464.08921044376882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175.17210330759531</v>
      </c>
      <c r="AA96" s="21">
        <f>EXP(-LN(2)/25)*AA95+(1-EXP(-LN(2)/25))/(LN(2)/25)*Calculateur!V96*Calculateur!X96*VLOOKUP('Données projet'!$B$9,Paramètres!$A$1:$I$89,3,0)*0.475*44/12</f>
        <v>8.8167450849892059</v>
      </c>
      <c r="AB96" s="21">
        <f>EXP(-LN(2)/2)*AB95+(1-EXP(-LN(2)/2))/(LN(2)/2)*V96*Y96*VLOOKUP('Données projet'!$B$9,Paramètres!$A$1:$I$89,3,0)*0.475*44/12</f>
        <v>2.4363530037899146E-10</v>
      </c>
      <c r="AC96" s="22">
        <f t="shared" si="57"/>
        <v>183.98884839282815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277.99999999999994</v>
      </c>
      <c r="AJ96" s="13">
        <f>AI96*VLOOKUP('Données projet'!$B$10,Paramètres!$A$1:$I$89,3,0)*VLOOKUP('Données projet'!$B$10,Paramètres!$A$1:$I$89,5,0)</f>
        <v>151.78799999999998</v>
      </c>
      <c r="AK96" s="13">
        <f t="shared" si="89"/>
        <v>38.984634390835623</v>
      </c>
      <c r="AL96" s="20">
        <f t="shared" si="58"/>
        <v>332.26233823070532</v>
      </c>
      <c r="AM96" s="59">
        <f t="shared" si="59"/>
        <v>625.59567156403864</v>
      </c>
      <c r="AN96" s="59">
        <f ca="1">AVERAGE(OFFSET($AM$3,0,0,'Données projet'!$E$10+1,1))-AVERAGE(OFFSET($H$3,0,0,'Données projet'!$E$10+1,1))</f>
        <v>159.92263609041913</v>
      </c>
      <c r="AO96" s="59">
        <f t="shared" si="90"/>
        <v>271.78119133009307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10.541069162120186</v>
      </c>
      <c r="AV96" s="21">
        <f>EXP(-LN(2)/25)*AV95+(1-EXP(-LN(2)/25))/(LN(2)/25)*Calculateur!AQ96*Calculateur!AS96*VLOOKUP('Données projet'!$B$10,Paramètres!$A$1:$I$89,3,0)*0.475*44/12</f>
        <v>16.744154061699344</v>
      </c>
      <c r="AW96" s="21">
        <f>EXP(-LN(2)/2)*AW95+(1-EXP(-LN(2)/2))/(LN(2)/2)*AQ96*AT96*VLOOKUP('Données projet'!$B$10,Paramètres!$A$1:$I$89,3,0)*0.475*44/12</f>
        <v>8.3489652271758584E-12</v>
      </c>
      <c r="AX96" s="21">
        <f t="shared" si="60"/>
        <v>27.285223223827877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3</v>
      </c>
      <c r="BD96" s="12">
        <f>IF('Données projet'!$A$88&gt;35,BD95+BC96-BL95,IF(A96&lt;'Données projet'!$A$88,$BA$205^A96,IF(A96='Données projet'!$A$88,'Données projet'!$B$88,BD95+BC96-BL95)))</f>
        <v>246</v>
      </c>
      <c r="BE96" s="13">
        <f>BD96*VLOOKUP('Données projet'!$B$11,Paramètres!$A$1:$I$89,3,0)*VLOOKUP('Données projet'!$B$11,Paramètres!$A$1:$I$89,5,0)</f>
        <v>214.90560000000005</v>
      </c>
      <c r="BF96" s="13">
        <f t="shared" si="91"/>
        <v>53.006137800892326</v>
      </c>
      <c r="BG96" s="20">
        <f t="shared" si="61"/>
        <v>466.61294333655422</v>
      </c>
      <c r="BH96" s="59">
        <f t="shared" si="62"/>
        <v>759.94627666988754</v>
      </c>
      <c r="BI96" s="59">
        <f ca="1">AVERAGE(OFFSET($BH$3,0,0,'Données projet'!$E$11+1,1))-AVERAGE(OFFSET($H$3,0,0,'Données projet'!$E$11+1,1))</f>
        <v>268.27008134105046</v>
      </c>
      <c r="BJ96" s="59">
        <f t="shared" si="92"/>
        <v>252.36274686619709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53.577812610210685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53.577812610210685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0.8600000000003547</v>
      </c>
      <c r="O97" s="13">
        <f>N97*VLOOKUP('Données projet'!$B$9,Paramètres!$A$1:$I$89,3,0)*VLOOKUP('Données projet'!$B$9,Paramètres!$A$1:$I$89,5,0)</f>
        <v>0.48074000000019829</v>
      </c>
      <c r="P97" s="13">
        <f t="shared" si="87"/>
        <v>0.24126147010950588</v>
      </c>
      <c r="Q97" s="20">
        <f t="shared" si="54"/>
        <v>1.2574858937744013</v>
      </c>
      <c r="R97" s="59">
        <f t="shared" si="55"/>
        <v>294.59081922710772</v>
      </c>
      <c r="S97" s="59">
        <f ca="1">AVERAGE(OFFSET($R$3,0,0,'Données projet'!$E$9+1,1))-AVERAGE(OFFSET($H$3,0,0,'Données projet'!$E$9+1,1))</f>
        <v>350.01600895263641</v>
      </c>
      <c r="T97" s="59">
        <f t="shared" si="88"/>
        <v>464.08921044376882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171.73708520616637</v>
      </c>
      <c r="AA97" s="21">
        <f>EXP(-LN(2)/25)*AA96+(1-EXP(-LN(2)/25))/(LN(2)/25)*Calculateur!V97*Calculateur!X97*VLOOKUP('Données projet'!$B$9,Paramètres!$A$1:$I$89,3,0)*0.475*44/12</f>
        <v>8.5756507269877034</v>
      </c>
      <c r="AB97" s="21">
        <f>EXP(-LN(2)/2)*AB96+(1-EXP(-LN(2)/2))/(LN(2)/2)*V97*Y97*VLOOKUP('Données projet'!$B$9,Paramètres!$A$1:$I$89,3,0)*0.475*44/12</f>
        <v>1.722761730344063E-10</v>
      </c>
      <c r="AC97" s="22">
        <f t="shared" si="57"/>
        <v>180.31273593332634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277.99999999999994</v>
      </c>
      <c r="AJ97" s="13">
        <f>AI97*VLOOKUP('Données projet'!$B$10,Paramètres!$A$1:$I$89,3,0)*VLOOKUP('Données projet'!$B$10,Paramètres!$A$1:$I$89,5,0)</f>
        <v>151.78799999999998</v>
      </c>
      <c r="AK97" s="13">
        <f t="shared" si="89"/>
        <v>38.984634390835623</v>
      </c>
      <c r="AL97" s="20">
        <f t="shared" si="58"/>
        <v>332.26233823070532</v>
      </c>
      <c r="AM97" s="59">
        <f t="shared" si="59"/>
        <v>625.59567156403864</v>
      </c>
      <c r="AN97" s="59">
        <f ca="1">AVERAGE(OFFSET($AM$3,0,0,'Données projet'!$E$10+1,1))-AVERAGE(OFFSET($H$3,0,0,'Données projet'!$E$10+1,1))</f>
        <v>159.92263609041913</v>
      </c>
      <c r="AO97" s="59">
        <f t="shared" si="90"/>
        <v>271.78119133009307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10.334365225268346</v>
      </c>
      <c r="AV97" s="21">
        <f>EXP(-LN(2)/25)*AV96+(1-EXP(-LN(2)/25))/(LN(2)/25)*Calculateur!AQ97*Calculateur!AS97*VLOOKUP('Données projet'!$B$10,Paramètres!$A$1:$I$89,3,0)*0.475*44/12</f>
        <v>16.286284288345382</v>
      </c>
      <c r="AW97" s="21">
        <f>EXP(-LN(2)/2)*AW96+(1-EXP(-LN(2)/2))/(LN(2)/2)*AQ97*AT97*VLOOKUP('Données projet'!$B$10,Paramètres!$A$1:$I$89,3,0)*0.475*44/12</f>
        <v>5.9036099280267339E-12</v>
      </c>
      <c r="AX97" s="21">
        <f t="shared" si="60"/>
        <v>26.620649513619632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3</v>
      </c>
      <c r="BD97" s="12">
        <f>IF('Données projet'!$A$88&gt;35,BD96+BC97-BL96,IF(A97&lt;'Données projet'!$A$88,$BA$205^A97,IF(A97='Données projet'!$A$88,'Données projet'!$B$88,BD96+BC97-BL96)))</f>
        <v>249</v>
      </c>
      <c r="BE97" s="13">
        <f>BD97*VLOOKUP('Données projet'!$B$11,Paramètres!$A$1:$I$89,3,0)*VLOOKUP('Données projet'!$B$11,Paramètres!$A$1:$I$89,5,0)</f>
        <v>217.52640000000005</v>
      </c>
      <c r="BF97" s="13">
        <f t="shared" si="91"/>
        <v>53.576907690651254</v>
      </c>
      <c r="BG97" s="20">
        <f t="shared" si="61"/>
        <v>472.17159422788433</v>
      </c>
      <c r="BH97" s="59">
        <f t="shared" si="62"/>
        <v>765.50492756121764</v>
      </c>
      <c r="BI97" s="59">
        <f ca="1">AVERAGE(OFFSET($BH$3,0,0,'Données projet'!$E$11+1,1))-AVERAGE(OFFSET($H$3,0,0,'Données projet'!$E$11+1,1))</f>
        <v>268.27008134105046</v>
      </c>
      <c r="BJ97" s="59">
        <f t="shared" si="92"/>
        <v>252.36274686619709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52.527184384163341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52.527184384163341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0.8600000000003547</v>
      </c>
      <c r="O98" s="13">
        <f>N98*VLOOKUP('Données projet'!$B$9,Paramètres!$A$1:$I$89,3,0)*VLOOKUP('Données projet'!$B$9,Paramètres!$A$1:$I$89,5,0)</f>
        <v>0.48074000000019829</v>
      </c>
      <c r="P98" s="13">
        <f t="shared" si="87"/>
        <v>0.24126147010950588</v>
      </c>
      <c r="Q98" s="20">
        <f t="shared" si="54"/>
        <v>1.2574858937744013</v>
      </c>
      <c r="R98" s="59">
        <f t="shared" si="55"/>
        <v>294.59081922710772</v>
      </c>
      <c r="S98" s="59">
        <f ca="1">AVERAGE(OFFSET($R$3,0,0,'Données projet'!$E$9+1,1))-AVERAGE(OFFSET($H$3,0,0,'Données projet'!$E$9+1,1))</f>
        <v>350.01600895263641</v>
      </c>
      <c r="T98" s="59">
        <f t="shared" si="88"/>
        <v>464.08921044376882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168.36942571455228</v>
      </c>
      <c r="AA98" s="21">
        <f>EXP(-LN(2)/25)*AA97+(1-EXP(-LN(2)/25))/(LN(2)/25)*Calculateur!V98*Calculateur!X98*VLOOKUP('Données projet'!$B$9,Paramètres!$A$1:$I$89,3,0)*0.475*44/12</f>
        <v>8.3411491068843535</v>
      </c>
      <c r="AB98" s="21">
        <f>EXP(-LN(2)/2)*AB97+(1-EXP(-LN(2)/2))/(LN(2)/2)*V98*Y98*VLOOKUP('Données projet'!$B$9,Paramètres!$A$1:$I$89,3,0)*0.475*44/12</f>
        <v>1.2181765018949573E-10</v>
      </c>
      <c r="AC98" s="22">
        <f t="shared" si="57"/>
        <v>176.71057482155845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277.99999999999994</v>
      </c>
      <c r="AJ98" s="13">
        <f>AI98*VLOOKUP('Données projet'!$B$10,Paramètres!$A$1:$I$89,3,0)*VLOOKUP('Données projet'!$B$10,Paramètres!$A$1:$I$89,5,0)</f>
        <v>151.78799999999998</v>
      </c>
      <c r="AK98" s="13">
        <f t="shared" si="89"/>
        <v>38.984634390835623</v>
      </c>
      <c r="AL98" s="20">
        <f t="shared" si="58"/>
        <v>332.26233823070532</v>
      </c>
      <c r="AM98" s="59">
        <f t="shared" si="59"/>
        <v>625.59567156403864</v>
      </c>
      <c r="AN98" s="59">
        <f ca="1">AVERAGE(OFFSET($AM$3,0,0,'Données projet'!$E$10+1,1))-AVERAGE(OFFSET($H$3,0,0,'Données projet'!$E$10+1,1))</f>
        <v>159.92263609041913</v>
      </c>
      <c r="AO98" s="59">
        <f t="shared" si="90"/>
        <v>271.78119133009307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10.131714626541218</v>
      </c>
      <c r="AV98" s="21">
        <f>EXP(-LN(2)/25)*AV97+(1-EXP(-LN(2)/25))/(LN(2)/25)*Calculateur!AQ98*Calculateur!AS98*VLOOKUP('Données projet'!$B$10,Paramètres!$A$1:$I$89,3,0)*0.475*44/12</f>
        <v>15.840934988022109</v>
      </c>
      <c r="AW98" s="21">
        <f>EXP(-LN(2)/2)*AW97+(1-EXP(-LN(2)/2))/(LN(2)/2)*AQ98*AT98*VLOOKUP('Données projet'!$B$10,Paramètres!$A$1:$I$89,3,0)*0.475*44/12</f>
        <v>4.1744826135879292E-12</v>
      </c>
      <c r="AX98" s="21">
        <f t="shared" si="60"/>
        <v>25.972649614567501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252</v>
      </c>
      <c r="BB98" s="12">
        <f>VLOOKUP(A98,'Données projet'!$A$87:$I$107,9,0)</f>
        <v>3</v>
      </c>
      <c r="BC98" s="12">
        <f t="array" ref="BC98">INDEX(BB:BB,MIN(IF(ISNUMBER(BB98:BB294),ROW(BB98:BB294),"")))</f>
        <v>3</v>
      </c>
      <c r="BD98" s="12">
        <f>IF('Données projet'!$A$88&gt;35,BD97+BC98-BL97,IF(A98&lt;'Données projet'!$A$88,$BA$205^A98,IF(A98='Données projet'!$A$88,'Données projet'!$B$88,BD97+BC98-BL97)))</f>
        <v>252</v>
      </c>
      <c r="BE98" s="13">
        <f>BD98*VLOOKUP('Données projet'!$B$11,Paramètres!$A$1:$I$89,3,0)*VLOOKUP('Données projet'!$B$11,Paramètres!$A$1:$I$89,5,0)</f>
        <v>220.14720000000003</v>
      </c>
      <c r="BF98" s="13">
        <f t="shared" si="91"/>
        <v>54.146877667769687</v>
      </c>
      <c r="BG98" s="20">
        <f t="shared" si="61"/>
        <v>477.72885193803222</v>
      </c>
      <c r="BH98" s="59">
        <f t="shared" si="62"/>
        <v>771.06218527136548</v>
      </c>
      <c r="BI98" s="59">
        <f ca="1">AVERAGE(OFFSET($BH$3,0,0,'Données projet'!$E$11+1,1))-AVERAGE(OFFSET($H$3,0,0,'Données projet'!$E$11+1,1))</f>
        <v>268.27008134105046</v>
      </c>
      <c r="BJ98" s="59">
        <f t="shared" si="92"/>
        <v>252.36274686619709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12</v>
      </c>
      <c r="BM98" s="16">
        <f>IF(ISNA(VLOOKUP(A98,'Données projet'!$A$87:$I$107,5,0)),0%,VLOOKUP(A98,'Données projet'!$A$87:$I$107,5,0)*VLOOKUP('Données projet'!$B$11,Paramètres!$A$1:$I$89,7,0))</f>
        <v>0.43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56.48037118237837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56.48037118237837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0.8600000000003547</v>
      </c>
      <c r="O99" s="13">
        <f>N99*VLOOKUP('Données projet'!$B$9,Paramètres!$A$1:$I$89,3,0)*VLOOKUP('Données projet'!$B$9,Paramètres!$A$1:$I$89,5,0)</f>
        <v>0.48074000000019829</v>
      </c>
      <c r="P99" s="13">
        <f t="shared" si="87"/>
        <v>0.24126147010950588</v>
      </c>
      <c r="Q99" s="20">
        <f t="shared" ref="Q99:Q130" si="107">(O99+P99)*0.475*44/12</f>
        <v>1.2574858937744013</v>
      </c>
      <c r="R99" s="59">
        <f t="shared" si="55"/>
        <v>294.59081922710772</v>
      </c>
      <c r="S99" s="59">
        <f ca="1">AVERAGE(OFFSET($R$3,0,0,'Données projet'!$E$9+1,1))-AVERAGE(OFFSET($H$3,0,0,'Données projet'!$E$9+1,1))</f>
        <v>350.01600895263641</v>
      </c>
      <c r="T99" s="59">
        <f t="shared" si="88"/>
        <v>464.08921044376882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165.06780397149927</v>
      </c>
      <c r="AA99" s="21">
        <f>EXP(-LN(2)/25)*AA98+(1-EXP(-LN(2)/25))/(LN(2)/25)*Calculateur!V99*Calculateur!X99*VLOOKUP('Données projet'!$B$9,Paramètres!$A$1:$I$89,3,0)*0.475*44/12</f>
        <v>8.1130599459146335</v>
      </c>
      <c r="AB99" s="21">
        <f>EXP(-LN(2)/2)*AB98+(1-EXP(-LN(2)/2))/(LN(2)/2)*V99*Y99*VLOOKUP('Données projet'!$B$9,Paramètres!$A$1:$I$89,3,0)*0.475*44/12</f>
        <v>8.613808651720315E-11</v>
      </c>
      <c r="AC99" s="22">
        <f t="shared" si="57"/>
        <v>173.18086391750006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277.99999999999994</v>
      </c>
      <c r="AJ99" s="13">
        <f>AI99*VLOOKUP('Données projet'!$B$10,Paramètres!$A$1:$I$89,3,0)*VLOOKUP('Données projet'!$B$10,Paramètres!$A$1:$I$89,5,0)</f>
        <v>151.78799999999998</v>
      </c>
      <c r="AK99" s="13">
        <f t="shared" si="89"/>
        <v>38.984634390835623</v>
      </c>
      <c r="AL99" s="20">
        <f t="shared" si="58"/>
        <v>332.26233823070532</v>
      </c>
      <c r="AM99" s="59">
        <f t="shared" si="59"/>
        <v>625.59567156403864</v>
      </c>
      <c r="AN99" s="59">
        <f ca="1">AVERAGE(OFFSET($AM$3,0,0,'Données projet'!$E$10+1,1))-AVERAGE(OFFSET($H$3,0,0,'Données projet'!$E$10+1,1))</f>
        <v>159.92263609041913</v>
      </c>
      <c r="AO99" s="59">
        <f t="shared" si="90"/>
        <v>271.78119133009307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9.9330378824504688</v>
      </c>
      <c r="AV99" s="21">
        <f>EXP(-LN(2)/25)*AV98+(1-EXP(-LN(2)/25))/(LN(2)/25)*Calculateur!AQ99*Calculateur!AS99*VLOOKUP('Données projet'!$B$10,Paramètres!$A$1:$I$89,3,0)*0.475*44/12</f>
        <v>15.407763787736078</v>
      </c>
      <c r="AW99" s="21">
        <f>EXP(-LN(2)/2)*AW98+(1-EXP(-LN(2)/2))/(LN(2)/2)*AQ99*AT99*VLOOKUP('Données projet'!$B$10,Paramètres!$A$1:$I$89,3,0)*0.475*44/12</f>
        <v>2.951804964013367E-12</v>
      </c>
      <c r="AX99" s="21">
        <f t="shared" si="60"/>
        <v>25.340801670189499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</v>
      </c>
      <c r="BD99" s="12">
        <f>IF('Données projet'!$A$88&gt;35,BD98+BC99-BL98,IF(A99&lt;'Données projet'!$A$88,$BA$205^A99,IF(A99='Données projet'!$A$88,'Données projet'!$B$88,BD98+BC99-BL98)))</f>
        <v>243</v>
      </c>
      <c r="BE99" s="13">
        <f>BD99*VLOOKUP('Données projet'!$B$11,Paramètres!$A$1:$I$89,3,0)*VLOOKUP('Données projet'!$B$11,Paramètres!$A$1:$I$89,5,0)</f>
        <v>212.28480000000002</v>
      </c>
      <c r="BF99" s="13">
        <f t="shared" si="91"/>
        <v>52.434557099704193</v>
      </c>
      <c r="BG99" s="20">
        <f t="shared" si="61"/>
        <v>461.05288028198476</v>
      </c>
      <c r="BH99" s="59">
        <f t="shared" si="62"/>
        <v>754.38621361531807</v>
      </c>
      <c r="BI99" s="59">
        <f ca="1">AVERAGE(OFFSET($BH$3,0,0,'Données projet'!$E$11+1,1))-AVERAGE(OFFSET($H$3,0,0,'Données projet'!$E$11+1,1))</f>
        <v>268.27008134105046</v>
      </c>
      <c r="BJ99" s="59">
        <f t="shared" si="92"/>
        <v>252.36274686619709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55.372825553116733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55.372825553116733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0.8600000000003547</v>
      </c>
      <c r="O100" s="13">
        <f>N100*VLOOKUP('Données projet'!$B$9,Paramètres!$A$1:$I$89,3,0)*VLOOKUP('Données projet'!$B$9,Paramètres!$A$1:$I$89,5,0)</f>
        <v>0.48074000000019829</v>
      </c>
      <c r="P100" s="13">
        <f t="shared" si="87"/>
        <v>0.24126147010950588</v>
      </c>
      <c r="Q100" s="20">
        <f t="shared" si="107"/>
        <v>1.2574858937744013</v>
      </c>
      <c r="R100" s="59">
        <f t="shared" si="55"/>
        <v>294.59081922710772</v>
      </c>
      <c r="S100" s="59">
        <f ca="1">AVERAGE(OFFSET($R$3,0,0,'Données projet'!$E$9+1,1))-AVERAGE(OFFSET($H$3,0,0,'Données projet'!$E$9+1,1))</f>
        <v>350.01600895263641</v>
      </c>
      <c r="T100" s="59">
        <f t="shared" si="88"/>
        <v>464.08921044376882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161.83092501703712</v>
      </c>
      <c r="AA100" s="21">
        <f>EXP(-LN(2)/25)*AA99+(1-EXP(-LN(2)/25))/(LN(2)/25)*Calculateur!V100*Calculateur!X100*VLOOKUP('Données projet'!$B$9,Paramètres!$A$1:$I$89,3,0)*0.475*44/12</f>
        <v>7.8912078950463176</v>
      </c>
      <c r="AB100" s="21">
        <f>EXP(-LN(2)/2)*AB99+(1-EXP(-LN(2)/2))/(LN(2)/2)*V100*Y100*VLOOKUP('Données projet'!$B$9,Paramètres!$A$1:$I$89,3,0)*0.475*44/12</f>
        <v>6.0908825094747865E-11</v>
      </c>
      <c r="AC100" s="22">
        <f t="shared" si="57"/>
        <v>169.72213291214433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277.99999999999994</v>
      </c>
      <c r="AJ100" s="13">
        <f>AI100*VLOOKUP('Données projet'!$B$10,Paramètres!$A$1:$I$89,3,0)*VLOOKUP('Données projet'!$B$10,Paramètres!$A$1:$I$89,5,0)</f>
        <v>151.78799999999998</v>
      </c>
      <c r="AK100" s="13">
        <f t="shared" si="89"/>
        <v>38.984634390835623</v>
      </c>
      <c r="AL100" s="20">
        <f t="shared" si="58"/>
        <v>332.26233823070532</v>
      </c>
      <c r="AM100" s="59">
        <f t="shared" si="59"/>
        <v>625.59567156403864</v>
      </c>
      <c r="AN100" s="59">
        <f ca="1">AVERAGE(OFFSET($AM$3,0,0,'Données projet'!$E$10+1,1))-AVERAGE(OFFSET($H$3,0,0,'Données projet'!$E$10+1,1))</f>
        <v>159.92263609041913</v>
      </c>
      <c r="AO100" s="59">
        <f t="shared" si="90"/>
        <v>271.78119133009307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9.7382570681304905</v>
      </c>
      <c r="AV100" s="21">
        <f>EXP(-LN(2)/25)*AV99+(1-EXP(-LN(2)/25))/(LN(2)/25)*Calculateur!AQ100*Calculateur!AS100*VLOOKUP('Données projet'!$B$10,Paramètres!$A$1:$I$89,3,0)*0.475*44/12</f>
        <v>14.986437676701353</v>
      </c>
      <c r="AW100" s="21">
        <f>EXP(-LN(2)/2)*AW99+(1-EXP(-LN(2)/2))/(LN(2)/2)*AQ100*AT100*VLOOKUP('Données projet'!$B$10,Paramètres!$A$1:$I$89,3,0)*0.475*44/12</f>
        <v>2.0872413067939646E-12</v>
      </c>
      <c r="AX100" s="21">
        <f t="shared" si="60"/>
        <v>24.724694744833933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</v>
      </c>
      <c r="BD100" s="12">
        <f>IF('Données projet'!$A$88&gt;35,BD99+BC100-BL99,IF(A100&lt;'Données projet'!$A$88,$BA$205^A100,IF(A100='Données projet'!$A$88,'Données projet'!$B$88,BD99+BC100-BL99)))</f>
        <v>246</v>
      </c>
      <c r="BE100" s="13">
        <f>BD100*VLOOKUP('Données projet'!$B$11,Paramètres!$A$1:$I$89,3,0)*VLOOKUP('Données projet'!$B$11,Paramètres!$A$1:$I$89,5,0)</f>
        <v>214.90560000000005</v>
      </c>
      <c r="BF100" s="13">
        <f t="shared" si="91"/>
        <v>53.006137800892326</v>
      </c>
      <c r="BG100" s="20">
        <f t="shared" si="61"/>
        <v>466.61294333655422</v>
      </c>
      <c r="BH100" s="59">
        <f t="shared" si="62"/>
        <v>759.94627666988754</v>
      </c>
      <c r="BI100" s="59">
        <f ca="1">AVERAGE(OFFSET($BH$3,0,0,'Données projet'!$E$11+1,1))-AVERAGE(OFFSET($H$3,0,0,'Données projet'!$E$11+1,1))</f>
        <v>268.27008134105046</v>
      </c>
      <c r="BJ100" s="59">
        <f t="shared" si="92"/>
        <v>252.36274686619709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54.286998218108785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54.286998218108785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0.8600000000003547</v>
      </c>
      <c r="O101" s="13">
        <f>N101*VLOOKUP('Données projet'!$B$9,Paramètres!$A$1:$I$89,3,0)*VLOOKUP('Données projet'!$B$9,Paramètres!$A$1:$I$89,5,0)</f>
        <v>0.48074000000019829</v>
      </c>
      <c r="P101" s="13">
        <f t="shared" si="87"/>
        <v>0.24126147010950588</v>
      </c>
      <c r="Q101" s="20">
        <f t="shared" si="107"/>
        <v>1.2574858937744013</v>
      </c>
      <c r="R101" s="59">
        <f t="shared" si="55"/>
        <v>294.59081922710772</v>
      </c>
      <c r="S101" s="59">
        <f ca="1">AVERAGE(OFFSET($R$3,0,0,'Données projet'!$E$9+1,1))-AVERAGE(OFFSET($H$3,0,0,'Données projet'!$E$9+1,1))</f>
        <v>350.01600895263641</v>
      </c>
      <c r="T101" s="59">
        <f t="shared" si="88"/>
        <v>464.08921044376882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158.65751928457075</v>
      </c>
      <c r="AA101" s="21">
        <f>EXP(-LN(2)/25)*AA100+(1-EXP(-LN(2)/25))/(LN(2)/25)*Calculateur!V101*Calculateur!X101*VLOOKUP('Données projet'!$B$9,Paramètres!$A$1:$I$89,3,0)*0.475*44/12</f>
        <v>7.6754224001756883</v>
      </c>
      <c r="AB101" s="21">
        <f>EXP(-LN(2)/2)*AB100+(1-EXP(-LN(2)/2))/(LN(2)/2)*V101*Y101*VLOOKUP('Données projet'!$B$9,Paramètres!$A$1:$I$89,3,0)*0.475*44/12</f>
        <v>4.3069043258601575E-11</v>
      </c>
      <c r="AC101" s="22">
        <f t="shared" si="57"/>
        <v>166.33294168478949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277.99999999999994</v>
      </c>
      <c r="AJ101" s="13">
        <f>AI101*VLOOKUP('Données projet'!$B$10,Paramètres!$A$1:$I$89,3,0)*VLOOKUP('Données projet'!$B$10,Paramètres!$A$1:$I$89,5,0)</f>
        <v>151.78799999999998</v>
      </c>
      <c r="AK101" s="13">
        <f t="shared" si="89"/>
        <v>38.984634390835623</v>
      </c>
      <c r="AL101" s="20">
        <f t="shared" si="58"/>
        <v>332.26233823070532</v>
      </c>
      <c r="AM101" s="59">
        <f t="shared" si="59"/>
        <v>625.59567156403864</v>
      </c>
      <c r="AN101" s="59">
        <f ca="1">AVERAGE(OFFSET($AM$3,0,0,'Données projet'!$E$10+1,1))-AVERAGE(OFFSET($H$3,0,0,'Données projet'!$E$10+1,1))</f>
        <v>159.92263609041913</v>
      </c>
      <c r="AO101" s="59">
        <f t="shared" si="90"/>
        <v>271.78119133009307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9.547295786774761</v>
      </c>
      <c r="AV101" s="21">
        <f>EXP(-LN(2)/25)*AV100+(1-EXP(-LN(2)/25))/(LN(2)/25)*Calculateur!AQ101*Calculateur!AS101*VLOOKUP('Données projet'!$B$10,Paramètres!$A$1:$I$89,3,0)*0.475*44/12</f>
        <v>14.576632750329448</v>
      </c>
      <c r="AW101" s="21">
        <f>EXP(-LN(2)/2)*AW100+(1-EXP(-LN(2)/2))/(LN(2)/2)*AQ101*AT101*VLOOKUP('Données projet'!$B$10,Paramètres!$A$1:$I$89,3,0)*0.475*44/12</f>
        <v>1.4759024820066835E-12</v>
      </c>
      <c r="AX101" s="21">
        <f t="shared" si="60"/>
        <v>24.123928537105684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</v>
      </c>
      <c r="BD101" s="12">
        <f>IF('Données projet'!$A$88&gt;35,BD100+BC101-BL100,IF(A101&lt;'Données projet'!$A$88,$BA$205^A101,IF(A101='Données projet'!$A$88,'Données projet'!$B$88,BD100+BC101-BL100)))</f>
        <v>249</v>
      </c>
      <c r="BE101" s="13">
        <f>BD101*VLOOKUP('Données projet'!$B$11,Paramètres!$A$1:$I$89,3,0)*VLOOKUP('Données projet'!$B$11,Paramètres!$A$1:$I$89,5,0)</f>
        <v>217.52640000000005</v>
      </c>
      <c r="BF101" s="13">
        <f t="shared" si="91"/>
        <v>53.576907690651254</v>
      </c>
      <c r="BG101" s="20">
        <f t="shared" si="61"/>
        <v>472.17159422788433</v>
      </c>
      <c r="BH101" s="59">
        <f t="shared" si="62"/>
        <v>765.50492756121764</v>
      </c>
      <c r="BI101" s="59">
        <f ca="1">AVERAGE(OFFSET($BH$3,0,0,'Données projet'!$E$11+1,1))-AVERAGE(OFFSET($H$3,0,0,'Données projet'!$E$11+1,1))</f>
        <v>268.27008134105046</v>
      </c>
      <c r="BJ101" s="59">
        <f t="shared" si="92"/>
        <v>252.36274686619709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53.222463294851067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53.222463294851067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0.8600000000003547</v>
      </c>
      <c r="O102" s="13">
        <f>N102*VLOOKUP('Données projet'!$B$9,Paramètres!$A$1:$I$89,3,0)*VLOOKUP('Données projet'!$B$9,Paramètres!$A$1:$I$89,5,0)</f>
        <v>0.48074000000019829</v>
      </c>
      <c r="P102" s="13">
        <f t="shared" si="87"/>
        <v>0.24126147010950588</v>
      </c>
      <c r="Q102" s="20">
        <f t="shared" si="107"/>
        <v>1.2574858937744013</v>
      </c>
      <c r="R102" s="59">
        <f t="shared" si="55"/>
        <v>294.59081922710772</v>
      </c>
      <c r="S102" s="59">
        <f ca="1">AVERAGE(OFFSET($R$3,0,0,'Données projet'!$E$9+1,1))-AVERAGE(OFFSET($H$3,0,0,'Données projet'!$E$9+1,1))</f>
        <v>350.01600895263641</v>
      </c>
      <c r="T102" s="59">
        <f t="shared" si="88"/>
        <v>464.08921044376882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155.5463421029317</v>
      </c>
      <c r="AA102" s="21">
        <f>EXP(-LN(2)/25)*AA101+(1-EXP(-LN(2)/25))/(LN(2)/25)*Calculateur!V102*Calculateur!X102*VLOOKUP('Données projet'!$B$9,Paramètres!$A$1:$I$89,3,0)*0.475*44/12</f>
        <v>7.4655375710099623</v>
      </c>
      <c r="AB102" s="21">
        <f>EXP(-LN(2)/2)*AB101+(1-EXP(-LN(2)/2))/(LN(2)/2)*V102*Y102*VLOOKUP('Données projet'!$B$9,Paramètres!$A$1:$I$89,3,0)*0.475*44/12</f>
        <v>3.0454412547373933E-11</v>
      </c>
      <c r="AC102" s="22">
        <f t="shared" si="57"/>
        <v>163.01187967397215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277.99999999999994</v>
      </c>
      <c r="AJ102" s="13">
        <f>AI102*VLOOKUP('Données projet'!$B$10,Paramètres!$A$1:$I$89,3,0)*VLOOKUP('Données projet'!$B$10,Paramètres!$A$1:$I$89,5,0)</f>
        <v>151.78799999999998</v>
      </c>
      <c r="AK102" s="13">
        <f t="shared" si="89"/>
        <v>38.984634390835623</v>
      </c>
      <c r="AL102" s="20">
        <f t="shared" si="58"/>
        <v>332.26233823070532</v>
      </c>
      <c r="AM102" s="59">
        <f t="shared" si="59"/>
        <v>625.59567156403864</v>
      </c>
      <c r="AN102" s="59">
        <f ca="1">AVERAGE(OFFSET($AM$3,0,0,'Données projet'!$E$10+1,1))-AVERAGE(OFFSET($H$3,0,0,'Données projet'!$E$10+1,1))</f>
        <v>159.92263609041913</v>
      </c>
      <c r="AO102" s="59">
        <f t="shared" si="90"/>
        <v>271.78119133009307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9.3600791396715373</v>
      </c>
      <c r="AV102" s="21">
        <f>EXP(-LN(2)/25)*AV101+(1-EXP(-LN(2)/25))/(LN(2)/25)*Calculateur!AQ102*Calculateur!AS102*VLOOKUP('Données projet'!$B$10,Paramètres!$A$1:$I$89,3,0)*0.475*44/12</f>
        <v>14.178033961219889</v>
      </c>
      <c r="AW102" s="21">
        <f>EXP(-LN(2)/2)*AW101+(1-EXP(-LN(2)/2))/(LN(2)/2)*AQ102*AT102*VLOOKUP('Données projet'!$B$10,Paramètres!$A$1:$I$89,3,0)*0.475*44/12</f>
        <v>1.0436206533969823E-12</v>
      </c>
      <c r="AX102" s="21">
        <f t="shared" si="60"/>
        <v>23.53811310089247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</v>
      </c>
      <c r="BD102" s="12">
        <f>IF('Données projet'!$A$88&gt;35,BD101+BC102-BL101,IF(A102&lt;'Données projet'!$A$88,$BA$205^A102,IF(A102='Données projet'!$A$88,'Données projet'!$B$88,BD101+BC102-BL101)))</f>
        <v>252</v>
      </c>
      <c r="BE102" s="13">
        <f>BD102*VLOOKUP('Données projet'!$B$11,Paramètres!$A$1:$I$89,3,0)*VLOOKUP('Données projet'!$B$11,Paramètres!$A$1:$I$89,5,0)</f>
        <v>220.14720000000003</v>
      </c>
      <c r="BF102" s="13">
        <f t="shared" si="91"/>
        <v>54.146877667769687</v>
      </c>
      <c r="BG102" s="20">
        <f t="shared" si="61"/>
        <v>477.72885193803222</v>
      </c>
      <c r="BH102" s="59">
        <f t="shared" si="62"/>
        <v>771.06218527136548</v>
      </c>
      <c r="BI102" s="59">
        <f ca="1">AVERAGE(OFFSET($BH$3,0,0,'Données projet'!$E$11+1,1))-AVERAGE(OFFSET($H$3,0,0,'Données projet'!$E$11+1,1))</f>
        <v>268.27008134105046</v>
      </c>
      <c r="BJ102" s="59">
        <f t="shared" si="92"/>
        <v>252.36274686619709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52.178803252136241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52.178803252136241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0.8600000000003547</v>
      </c>
      <c r="O103" s="13">
        <f>N103*VLOOKUP('Données projet'!$B$9,Paramètres!$A$1:$I$89,3,0)*VLOOKUP('Données projet'!$B$9,Paramètres!$A$1:$I$89,5,0)</f>
        <v>0.48074000000019829</v>
      </c>
      <c r="P103" s="13">
        <f t="shared" si="87"/>
        <v>0.24126147010950588</v>
      </c>
      <c r="Q103" s="20">
        <f t="shared" si="107"/>
        <v>1.2574858937744013</v>
      </c>
      <c r="R103" s="59">
        <f t="shared" si="55"/>
        <v>294.59081922710772</v>
      </c>
      <c r="S103" s="59">
        <f ca="1">AVERAGE(OFFSET($R$3,0,0,'Données projet'!$E$9+1,1))-AVERAGE(OFFSET($H$3,0,0,'Données projet'!$E$9+1,1))</f>
        <v>350.01600895263641</v>
      </c>
      <c r="T103" s="59">
        <f t="shared" si="88"/>
        <v>464.08921044376882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152.49617320819388</v>
      </c>
      <c r="AA103" s="21">
        <f>EXP(-LN(2)/25)*AA102+(1-EXP(-LN(2)/25))/(LN(2)/25)*Calculateur!V103*Calculateur!X103*VLOOKUP('Données projet'!$B$9,Paramètres!$A$1:$I$89,3,0)*0.475*44/12</f>
        <v>7.2613920535351371</v>
      </c>
      <c r="AB103" s="21">
        <f>EXP(-LN(2)/2)*AB102+(1-EXP(-LN(2)/2))/(LN(2)/2)*V103*Y103*VLOOKUP('Données projet'!$B$9,Paramètres!$A$1:$I$89,3,0)*0.475*44/12</f>
        <v>2.1534521629300787E-11</v>
      </c>
      <c r="AC103" s="22">
        <f t="shared" si="57"/>
        <v>159.75756526175056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277.99999999999994</v>
      </c>
      <c r="AJ103" s="13">
        <f>AI103*VLOOKUP('Données projet'!$B$10,Paramètres!$A$1:$I$89,3,0)*VLOOKUP('Données projet'!$B$10,Paramètres!$A$1:$I$89,5,0)</f>
        <v>151.78799999999998</v>
      </c>
      <c r="AK103" s="13">
        <f t="shared" si="89"/>
        <v>38.984634390835623</v>
      </c>
      <c r="AL103" s="20">
        <f t="shared" si="58"/>
        <v>332.26233823070532</v>
      </c>
      <c r="AM103" s="59">
        <f t="shared" si="59"/>
        <v>625.59567156403864</v>
      </c>
      <c r="AN103" s="59">
        <f ca="1">AVERAGE(OFFSET($AM$3,0,0,'Données projet'!$E$10+1,1))-AVERAGE(OFFSET($H$3,0,0,'Données projet'!$E$10+1,1))</f>
        <v>159.92263609041913</v>
      </c>
      <c r="AO103" s="59">
        <f t="shared" si="90"/>
        <v>271.78119133009307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9.1765336968271285</v>
      </c>
      <c r="AV103" s="21">
        <f>EXP(-LN(2)/25)*AV102+(1-EXP(-LN(2)/25))/(LN(2)/25)*Calculateur!AQ103*Calculateur!AS103*VLOOKUP('Données projet'!$B$10,Paramètres!$A$1:$I$89,3,0)*0.475*44/12</f>
        <v>13.790334876959928</v>
      </c>
      <c r="AW103" s="21">
        <f>EXP(-LN(2)/2)*AW102+(1-EXP(-LN(2)/2))/(LN(2)/2)*AQ103*AT103*VLOOKUP('Données projet'!$B$10,Paramètres!$A$1:$I$89,3,0)*0.475*44/12</f>
        <v>7.3795124100334174E-13</v>
      </c>
      <c r="AX103" s="21">
        <f t="shared" si="60"/>
        <v>22.966868573787796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255</v>
      </c>
      <c r="BB103" s="12">
        <f>VLOOKUP(A103,'Données projet'!$A$87:$I$107,9,0)</f>
        <v>3</v>
      </c>
      <c r="BC103" s="12">
        <f t="array" ref="BC103">INDEX(BB:BB,MIN(IF(ISNUMBER(BB103:BB299),ROW(BB103:BB299),"")))</f>
        <v>3</v>
      </c>
      <c r="BD103" s="12">
        <f>IF('Données projet'!$A$88&gt;35,BD102+BC103-BL102,IF(A103&lt;'Données projet'!$A$88,$BA$205^A103,IF(A103='Données projet'!$A$88,'Données projet'!$B$88,BD102+BC103-BL102)))</f>
        <v>255</v>
      </c>
      <c r="BE103" s="13">
        <f>BD103*VLOOKUP('Données projet'!$B$11,Paramètres!$A$1:$I$89,3,0)*VLOOKUP('Données projet'!$B$11,Paramètres!$A$1:$I$89,5,0)</f>
        <v>222.76800000000003</v>
      </c>
      <c r="BF103" s="13">
        <f t="shared" si="91"/>
        <v>54.716058356609508</v>
      </c>
      <c r="BG103" s="20">
        <f t="shared" si="61"/>
        <v>483.28473497109491</v>
      </c>
      <c r="BH103" s="59">
        <f t="shared" si="62"/>
        <v>776.61806830442822</v>
      </c>
      <c r="BI103" s="59">
        <f ca="1">AVERAGE(OFFSET($BH$3,0,0,'Données projet'!$E$11+1,1))-AVERAGE(OFFSET($H$3,0,0,'Données projet'!$E$11+1,1))</f>
        <v>268.27008134105046</v>
      </c>
      <c r="BJ103" s="59">
        <f t="shared" si="92"/>
        <v>252.36274686619709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12</v>
      </c>
      <c r="BM103" s="16">
        <f>IF(ISNA(VLOOKUP(A103,'Données projet'!$A$87:$I$107,5,0)),0%,VLOOKUP(A103,'Données projet'!$A$87:$I$107,5,0)*VLOOKUP('Données projet'!$B$11,Paramètres!$A$1:$I$89,7,0))</f>
        <v>0.43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56.138821591858807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56.138821591858807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0.8600000000003547</v>
      </c>
      <c r="O104" s="13">
        <f>N104*VLOOKUP('Données projet'!$B$9,Paramètres!$A$1:$I$89,3,0)*VLOOKUP('Données projet'!$B$9,Paramètres!$A$1:$I$89,5,0)</f>
        <v>0.48074000000019829</v>
      </c>
      <c r="P104" s="13">
        <f t="shared" si="87"/>
        <v>0.24126147010950588</v>
      </c>
      <c r="Q104" s="20">
        <f t="shared" si="107"/>
        <v>1.2574858937744013</v>
      </c>
      <c r="R104" s="59">
        <f t="shared" si="55"/>
        <v>294.59081922710772</v>
      </c>
      <c r="S104" s="59">
        <f ca="1">AVERAGE(OFFSET($R$3,0,0,'Données projet'!$E$9+1,1))-AVERAGE(OFFSET($H$3,0,0,'Données projet'!$E$9+1,1))</f>
        <v>350.01600895263641</v>
      </c>
      <c r="T104" s="59">
        <f t="shared" si="88"/>
        <v>464.08921044376882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149.50581626506255</v>
      </c>
      <c r="AA104" s="21">
        <f>EXP(-LN(2)/25)*AA103+(1-EXP(-LN(2)/25))/(LN(2)/25)*Calculateur!V104*Calculateur!X104*VLOOKUP('Données projet'!$B$9,Paramètres!$A$1:$I$89,3,0)*0.475*44/12</f>
        <v>7.062828905971207</v>
      </c>
      <c r="AB104" s="21">
        <f>EXP(-LN(2)/2)*AB103+(1-EXP(-LN(2)/2))/(LN(2)/2)*V104*Y104*VLOOKUP('Données projet'!$B$9,Paramètres!$A$1:$I$89,3,0)*0.475*44/12</f>
        <v>1.5227206273686966E-11</v>
      </c>
      <c r="AC104" s="22">
        <f t="shared" si="57"/>
        <v>156.56864517104898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277.99999999999994</v>
      </c>
      <c r="AJ104" s="13">
        <f>AI104*VLOOKUP('Données projet'!$B$10,Paramètres!$A$1:$I$89,3,0)*VLOOKUP('Données projet'!$B$10,Paramètres!$A$1:$I$89,5,0)</f>
        <v>151.78799999999998</v>
      </c>
      <c r="AK104" s="13">
        <f t="shared" si="89"/>
        <v>38.984634390835623</v>
      </c>
      <c r="AL104" s="20">
        <f t="shared" si="58"/>
        <v>332.26233823070532</v>
      </c>
      <c r="AM104" s="59">
        <f t="shared" si="59"/>
        <v>625.59567156403864</v>
      </c>
      <c r="AN104" s="59">
        <f ca="1">AVERAGE(OFFSET($AM$3,0,0,'Données projet'!$E$10+1,1))-AVERAGE(OFFSET($H$3,0,0,'Données projet'!$E$10+1,1))</f>
        <v>159.92263609041913</v>
      </c>
      <c r="AO104" s="59">
        <f t="shared" si="90"/>
        <v>271.78119133009307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8.9965874681652327</v>
      </c>
      <c r="AV104" s="21">
        <f>EXP(-LN(2)/25)*AV103+(1-EXP(-LN(2)/25))/(LN(2)/25)*Calculateur!AQ104*Calculateur!AS104*VLOOKUP('Données projet'!$B$10,Paramètres!$A$1:$I$89,3,0)*0.475*44/12</f>
        <v>13.413237444547265</v>
      </c>
      <c r="AW104" s="21">
        <f>EXP(-LN(2)/2)*AW103+(1-EXP(-LN(2)/2))/(LN(2)/2)*AQ104*AT104*VLOOKUP('Données projet'!$B$10,Paramètres!$A$1:$I$89,3,0)*0.475*44/12</f>
        <v>5.2181032669849115E-13</v>
      </c>
      <c r="AX104" s="21">
        <f t="shared" si="60"/>
        <v>22.40982491271302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243</v>
      </c>
      <c r="BE104" s="13">
        <f>BD104*VLOOKUP('Données projet'!$B$11,Paramètres!$A$1:$I$89,3,0)*VLOOKUP('Données projet'!$B$11,Paramètres!$A$1:$I$89,5,0)</f>
        <v>212.28480000000002</v>
      </c>
      <c r="BF104" s="13">
        <f t="shared" si="91"/>
        <v>52.434557099704193</v>
      </c>
      <c r="BG104" s="20">
        <f t="shared" si="61"/>
        <v>461.05288028198476</v>
      </c>
      <c r="BH104" s="59">
        <f t="shared" si="62"/>
        <v>754.38621361531807</v>
      </c>
      <c r="BI104" s="59">
        <f ca="1">AVERAGE(OFFSET($BH$3,0,0,'Données projet'!$E$11+1,1))-AVERAGE(OFFSET($H$3,0,0,'Données projet'!$E$11+1,1))</f>
        <v>268.27008134105046</v>
      </c>
      <c r="BJ104" s="59">
        <f t="shared" si="92"/>
        <v>252.36274686619709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55.037973541742581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55.037973541742581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0.8600000000003547</v>
      </c>
      <c r="O105" s="13">
        <f>N105*VLOOKUP('Données projet'!$B$9,Paramètres!$A$1:$I$89,3,0)*VLOOKUP('Données projet'!$B$9,Paramètres!$A$1:$I$89,5,0)</f>
        <v>0.48074000000019829</v>
      </c>
      <c r="P105" s="13">
        <f t="shared" si="87"/>
        <v>0.24126147010950588</v>
      </c>
      <c r="Q105" s="20">
        <f t="shared" si="107"/>
        <v>1.2574858937744013</v>
      </c>
      <c r="R105" s="59">
        <f t="shared" si="55"/>
        <v>294.59081922710772</v>
      </c>
      <c r="S105" s="59">
        <f ca="1">AVERAGE(OFFSET($R$3,0,0,'Données projet'!$E$9+1,1))-AVERAGE(OFFSET($H$3,0,0,'Données projet'!$E$9+1,1))</f>
        <v>350.01600895263641</v>
      </c>
      <c r="T105" s="59">
        <f t="shared" si="88"/>
        <v>464.08921044376882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146.57409839764838</v>
      </c>
      <c r="AA105" s="21">
        <f>EXP(-LN(2)/25)*AA104+(1-EXP(-LN(2)/25))/(LN(2)/25)*Calculateur!V105*Calculateur!X105*VLOOKUP('Données projet'!$B$9,Paramètres!$A$1:$I$89,3,0)*0.475*44/12</f>
        <v>6.8696954781193948</v>
      </c>
      <c r="AB105" s="21">
        <f>EXP(-LN(2)/2)*AB104+(1-EXP(-LN(2)/2))/(LN(2)/2)*V105*Y105*VLOOKUP('Données projet'!$B$9,Paramètres!$A$1:$I$89,3,0)*0.475*44/12</f>
        <v>1.0767260814650394E-11</v>
      </c>
      <c r="AC105" s="22">
        <f t="shared" si="57"/>
        <v>153.44379387577854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277.99999999999994</v>
      </c>
      <c r="AJ105" s="13">
        <f>AI105*VLOOKUP('Données projet'!$B$10,Paramètres!$A$1:$I$89,3,0)*VLOOKUP('Données projet'!$B$10,Paramètres!$A$1:$I$89,5,0)</f>
        <v>151.78799999999998</v>
      </c>
      <c r="AK105" s="13">
        <f t="shared" si="89"/>
        <v>38.984634390835623</v>
      </c>
      <c r="AL105" s="20">
        <f t="shared" si="58"/>
        <v>332.26233823070532</v>
      </c>
      <c r="AM105" s="59">
        <f t="shared" si="59"/>
        <v>625.59567156403864</v>
      </c>
      <c r="AN105" s="59">
        <f ca="1">AVERAGE(OFFSET($AM$3,0,0,'Données projet'!$E$10+1,1))-AVERAGE(OFFSET($H$3,0,0,'Données projet'!$E$10+1,1))</f>
        <v>159.92263609041913</v>
      </c>
      <c r="AO105" s="59">
        <f t="shared" si="90"/>
        <v>271.78119133009307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8.8201698752910342</v>
      </c>
      <c r="AV105" s="21">
        <f>EXP(-LN(2)/25)*AV104+(1-EXP(-LN(2)/25))/(LN(2)/25)*Calculateur!AQ105*Calculateur!AS105*VLOOKUP('Données projet'!$B$10,Paramètres!$A$1:$I$89,3,0)*0.475*44/12</f>
        <v>13.04645176125462</v>
      </c>
      <c r="AW105" s="21">
        <f>EXP(-LN(2)/2)*AW104+(1-EXP(-LN(2)/2))/(LN(2)/2)*AQ105*AT105*VLOOKUP('Données projet'!$B$10,Paramètres!$A$1:$I$89,3,0)*0.475*44/12</f>
        <v>3.6897562050167087E-13</v>
      </c>
      <c r="AX105" s="21">
        <f t="shared" si="60"/>
        <v>21.866621636546022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243</v>
      </c>
      <c r="BE105" s="13">
        <f>BD105*VLOOKUP('Données projet'!$B$11,Paramètres!$A$1:$I$89,3,0)*VLOOKUP('Données projet'!$B$11,Paramètres!$A$1:$I$89,5,0)</f>
        <v>212.28480000000002</v>
      </c>
      <c r="BF105" s="13">
        <f t="shared" si="91"/>
        <v>52.434557099704193</v>
      </c>
      <c r="BG105" s="20">
        <f t="shared" si="61"/>
        <v>461.05288028198476</v>
      </c>
      <c r="BH105" s="59">
        <f t="shared" si="62"/>
        <v>754.38621361531807</v>
      </c>
      <c r="BI105" s="59">
        <f ca="1">AVERAGE(OFFSET($BH$3,0,0,'Données projet'!$E$11+1,1))-AVERAGE(OFFSET($H$3,0,0,'Données projet'!$E$11+1,1))</f>
        <v>268.27008134105046</v>
      </c>
      <c r="BJ105" s="59">
        <f t="shared" si="92"/>
        <v>252.36274686619709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53.958712450438121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53.958712450438121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0.8600000000003547</v>
      </c>
      <c r="O106" s="13">
        <f>N106*VLOOKUP('Données projet'!$B$9,Paramètres!$A$1:$I$89,3,0)*VLOOKUP('Données projet'!$B$9,Paramètres!$A$1:$I$89,5,0)</f>
        <v>0.48074000000019829</v>
      </c>
      <c r="P106" s="13">
        <f t="shared" si="87"/>
        <v>0.24126147010950588</v>
      </c>
      <c r="Q106" s="20">
        <f t="shared" si="107"/>
        <v>1.2574858937744013</v>
      </c>
      <c r="R106" s="59">
        <f t="shared" si="55"/>
        <v>294.59081922710772</v>
      </c>
      <c r="S106" s="59">
        <f ca="1">AVERAGE(OFFSET($R$3,0,0,'Données projet'!$E$9+1,1))-AVERAGE(OFFSET($H$3,0,0,'Données projet'!$E$9+1,1))</f>
        <v>350.01600895263641</v>
      </c>
      <c r="T106" s="59">
        <f t="shared" si="88"/>
        <v>464.08921044376882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143.69986972944287</v>
      </c>
      <c r="AA106" s="21">
        <f>EXP(-LN(2)/25)*AA105+(1-EXP(-LN(2)/25))/(LN(2)/25)*Calculateur!V106*Calculateur!X106*VLOOKUP('Données projet'!$B$9,Paramètres!$A$1:$I$89,3,0)*0.475*44/12</f>
        <v>6.6818432940086359</v>
      </c>
      <c r="AB106" s="21">
        <f>EXP(-LN(2)/2)*AB105+(1-EXP(-LN(2)/2))/(LN(2)/2)*V106*Y106*VLOOKUP('Données projet'!$B$9,Paramètres!$A$1:$I$89,3,0)*0.475*44/12</f>
        <v>7.6136031368434831E-12</v>
      </c>
      <c r="AC106" s="22">
        <f t="shared" si="57"/>
        <v>150.38171302345913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277.99999999999994</v>
      </c>
      <c r="AJ106" s="13">
        <f>AI106*VLOOKUP('Données projet'!$B$10,Paramètres!$A$1:$I$89,3,0)*VLOOKUP('Données projet'!$B$10,Paramètres!$A$1:$I$89,5,0)</f>
        <v>151.78799999999998</v>
      </c>
      <c r="AK106" s="13">
        <f t="shared" si="89"/>
        <v>38.984634390835623</v>
      </c>
      <c r="AL106" s="20">
        <f t="shared" si="58"/>
        <v>332.26233823070532</v>
      </c>
      <c r="AM106" s="59">
        <f t="shared" si="59"/>
        <v>625.59567156403864</v>
      </c>
      <c r="AN106" s="59">
        <f ca="1">AVERAGE(OFFSET($AM$3,0,0,'Données projet'!$E$10+1,1))-AVERAGE(OFFSET($H$3,0,0,'Données projet'!$E$10+1,1))</f>
        <v>159.92263609041913</v>
      </c>
      <c r="AO106" s="59">
        <f t="shared" si="90"/>
        <v>271.78119133009307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8.6472117238089918</v>
      </c>
      <c r="AV106" s="21">
        <f>EXP(-LN(2)/25)*AV105+(1-EXP(-LN(2)/25))/(LN(2)/25)*Calculateur!AQ106*Calculateur!AS106*VLOOKUP('Données projet'!$B$10,Paramètres!$A$1:$I$89,3,0)*0.475*44/12</f>
        <v>12.689695851760032</v>
      </c>
      <c r="AW106" s="21">
        <f>EXP(-LN(2)/2)*AW105+(1-EXP(-LN(2)/2))/(LN(2)/2)*AQ106*AT106*VLOOKUP('Données projet'!$B$10,Paramètres!$A$1:$I$89,3,0)*0.475*44/12</f>
        <v>2.6090516334924558E-13</v>
      </c>
      <c r="AX106" s="21">
        <f t="shared" si="60"/>
        <v>21.336907575569281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243</v>
      </c>
      <c r="BE106" s="13">
        <f>BD106*VLOOKUP('Données projet'!$B$11,Paramètres!$A$1:$I$89,3,0)*VLOOKUP('Données projet'!$B$11,Paramètres!$A$1:$I$89,5,0)</f>
        <v>212.28480000000002</v>
      </c>
      <c r="BF106" s="13">
        <f t="shared" si="91"/>
        <v>52.434557099704193</v>
      </c>
      <c r="BG106" s="20">
        <f t="shared" si="61"/>
        <v>461.05288028198476</v>
      </c>
      <c r="BH106" s="59">
        <f t="shared" si="62"/>
        <v>754.38621361531807</v>
      </c>
      <c r="BI106" s="59">
        <f ca="1">AVERAGE(OFFSET($BH$3,0,0,'Données projet'!$E$11+1,1))-AVERAGE(OFFSET($H$3,0,0,'Données projet'!$E$11+1,1))</f>
        <v>268.27008134105046</v>
      </c>
      <c r="BJ106" s="59">
        <f t="shared" si="92"/>
        <v>252.36274686619709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52.900615010849876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52.900615010849876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0.8600000000003547</v>
      </c>
      <c r="O107" s="13">
        <f>N107*VLOOKUP('Données projet'!$B$9,Paramètres!$A$1:$I$89,3,0)*VLOOKUP('Données projet'!$B$9,Paramètres!$A$1:$I$89,5,0)</f>
        <v>0.48074000000019829</v>
      </c>
      <c r="P107" s="13">
        <f t="shared" si="87"/>
        <v>0.24126147010950588</v>
      </c>
      <c r="Q107" s="20">
        <f t="shared" si="107"/>
        <v>1.2574858937744013</v>
      </c>
      <c r="R107" s="59">
        <f t="shared" si="55"/>
        <v>294.59081922710772</v>
      </c>
      <c r="S107" s="59">
        <f ca="1">AVERAGE(OFFSET($R$3,0,0,'Données projet'!$E$9+1,1))-AVERAGE(OFFSET($H$3,0,0,'Données projet'!$E$9+1,1))</f>
        <v>350.01600895263641</v>
      </c>
      <c r="T107" s="59">
        <f t="shared" si="88"/>
        <v>464.08921044376882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140.88200293231449</v>
      </c>
      <c r="AA107" s="21">
        <f>EXP(-LN(2)/25)*AA106+(1-EXP(-LN(2)/25))/(LN(2)/25)*Calculateur!V107*Calculateur!X107*VLOOKUP('Données projet'!$B$9,Paramètres!$A$1:$I$89,3,0)*0.475*44/12</f>
        <v>6.4991279377511022</v>
      </c>
      <c r="AB107" s="21">
        <f>EXP(-LN(2)/2)*AB106+(1-EXP(-LN(2)/2))/(LN(2)/2)*V107*Y107*VLOOKUP('Données projet'!$B$9,Paramètres!$A$1:$I$89,3,0)*0.475*44/12</f>
        <v>5.3836304073251969E-12</v>
      </c>
      <c r="AC107" s="22">
        <f t="shared" si="57"/>
        <v>147.38113087007096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277.99999999999994</v>
      </c>
      <c r="AJ107" s="13">
        <f>AI107*VLOOKUP('Données projet'!$B$10,Paramètres!$A$1:$I$89,3,0)*VLOOKUP('Données projet'!$B$10,Paramètres!$A$1:$I$89,5,0)</f>
        <v>151.78799999999998</v>
      </c>
      <c r="AK107" s="13">
        <f t="shared" si="89"/>
        <v>38.984634390835623</v>
      </c>
      <c r="AL107" s="20">
        <f t="shared" si="58"/>
        <v>332.26233823070532</v>
      </c>
      <c r="AM107" s="59">
        <f t="shared" si="59"/>
        <v>625.59567156403864</v>
      </c>
      <c r="AN107" s="59">
        <f ca="1">AVERAGE(OFFSET($AM$3,0,0,'Données projet'!$E$10+1,1))-AVERAGE(OFFSET($H$3,0,0,'Données projet'!$E$10+1,1))</f>
        <v>159.92263609041913</v>
      </c>
      <c r="AO107" s="59">
        <f t="shared" si="90"/>
        <v>271.78119133009307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8.4776451761834579</v>
      </c>
      <c r="AV107" s="21">
        <f>EXP(-LN(2)/25)*AV106+(1-EXP(-LN(2)/25))/(LN(2)/25)*Calculateur!AQ107*Calculateur!AS107*VLOOKUP('Données projet'!$B$10,Paramètres!$A$1:$I$89,3,0)*0.475*44/12</f>
        <v>12.342695451371551</v>
      </c>
      <c r="AW107" s="21">
        <f>EXP(-LN(2)/2)*AW106+(1-EXP(-LN(2)/2))/(LN(2)/2)*AQ107*AT107*VLOOKUP('Données projet'!$B$10,Paramètres!$A$1:$I$89,3,0)*0.475*44/12</f>
        <v>1.8448781025083543E-13</v>
      </c>
      <c r="AX107" s="21">
        <f t="shared" si="60"/>
        <v>20.820340627555193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243</v>
      </c>
      <c r="BE107" s="13">
        <f>BD107*VLOOKUP('Données projet'!$B$11,Paramètres!$A$1:$I$89,3,0)*VLOOKUP('Données projet'!$B$11,Paramètres!$A$1:$I$89,5,0)</f>
        <v>212.28480000000002</v>
      </c>
      <c r="BF107" s="13">
        <f t="shared" si="91"/>
        <v>52.434557099704193</v>
      </c>
      <c r="BG107" s="20">
        <f t="shared" si="61"/>
        <v>461.05288028198476</v>
      </c>
      <c r="BH107" s="59">
        <f t="shared" si="62"/>
        <v>754.38621361531807</v>
      </c>
      <c r="BI107" s="59">
        <f ca="1">AVERAGE(OFFSET($BH$3,0,0,'Données projet'!$E$11+1,1))-AVERAGE(OFFSET($H$3,0,0,'Données projet'!$E$11+1,1))</f>
        <v>268.27008134105046</v>
      </c>
      <c r="BJ107" s="59">
        <f t="shared" si="92"/>
        <v>252.36274686619709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51.863266216676244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51.863266216676244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0.8600000000003547</v>
      </c>
      <c r="O108" s="13">
        <f>N108*VLOOKUP('Données projet'!$B$9,Paramètres!$A$1:$I$89,3,0)*VLOOKUP('Données projet'!$B$9,Paramètres!$A$1:$I$89,5,0)</f>
        <v>0.48074000000019829</v>
      </c>
      <c r="P108" s="13">
        <f t="shared" si="87"/>
        <v>0.24126147010950588</v>
      </c>
      <c r="Q108" s="20">
        <f t="shared" si="107"/>
        <v>1.2574858937744013</v>
      </c>
      <c r="R108" s="59">
        <f t="shared" si="55"/>
        <v>294.59081922710772</v>
      </c>
      <c r="S108" s="59">
        <f ca="1">AVERAGE(OFFSET($R$3,0,0,'Données projet'!$E$9+1,1))-AVERAGE(OFFSET($H$3,0,0,'Données projet'!$E$9+1,1))</f>
        <v>350.01600895263641</v>
      </c>
      <c r="T108" s="59">
        <f t="shared" si="88"/>
        <v>464.08921044376882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138.11939278434875</v>
      </c>
      <c r="AA108" s="21">
        <f>EXP(-LN(2)/25)*AA107+(1-EXP(-LN(2)/25))/(LN(2)/25)*Calculateur!V108*Calculateur!X108*VLOOKUP('Données projet'!$B$9,Paramètres!$A$1:$I$89,3,0)*0.475*44/12</f>
        <v>6.3214089425190139</v>
      </c>
      <c r="AB108" s="21">
        <f>EXP(-LN(2)/2)*AB107+(1-EXP(-LN(2)/2))/(LN(2)/2)*V108*Y108*VLOOKUP('Données projet'!$B$9,Paramètres!$A$1:$I$89,3,0)*0.475*44/12</f>
        <v>3.8068015684217416E-12</v>
      </c>
      <c r="AC108" s="22">
        <f t="shared" si="57"/>
        <v>144.44080172687157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277.99999999999994</v>
      </c>
      <c r="AJ108" s="13">
        <f>AI108*VLOOKUP('Données projet'!$B$10,Paramètres!$A$1:$I$89,3,0)*VLOOKUP('Données projet'!$B$10,Paramètres!$A$1:$I$89,5,0)</f>
        <v>151.78799999999998</v>
      </c>
      <c r="AK108" s="13">
        <f t="shared" si="89"/>
        <v>38.984634390835623</v>
      </c>
      <c r="AL108" s="20">
        <f t="shared" si="58"/>
        <v>332.26233823070532</v>
      </c>
      <c r="AM108" s="59">
        <f t="shared" si="59"/>
        <v>625.59567156403864</v>
      </c>
      <c r="AN108" s="59">
        <f ca="1">AVERAGE(OFFSET($AM$3,0,0,'Données projet'!$E$10+1,1))-AVERAGE(OFFSET($H$3,0,0,'Données projet'!$E$10+1,1))</f>
        <v>159.92263609041913</v>
      </c>
      <c r="AO108" s="59">
        <f t="shared" si="90"/>
        <v>271.78119133009307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8.3114037251314787</v>
      </c>
      <c r="AV108" s="21">
        <f>EXP(-LN(2)/25)*AV107+(1-EXP(-LN(2)/25))/(LN(2)/25)*Calculateur!AQ108*Calculateur!AS108*VLOOKUP('Données projet'!$B$10,Paramètres!$A$1:$I$89,3,0)*0.475*44/12</f>
        <v>12.005183795179651</v>
      </c>
      <c r="AW108" s="21">
        <f>EXP(-LN(2)/2)*AW107+(1-EXP(-LN(2)/2))/(LN(2)/2)*AQ108*AT108*VLOOKUP('Données projet'!$B$10,Paramètres!$A$1:$I$89,3,0)*0.475*44/12</f>
        <v>1.3045258167462279E-13</v>
      </c>
      <c r="AX108" s="21">
        <f t="shared" si="60"/>
        <v>20.316587520311263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243</v>
      </c>
      <c r="BE108" s="13">
        <f>BD108*VLOOKUP('Données projet'!$B$11,Paramètres!$A$1:$I$89,3,0)*VLOOKUP('Données projet'!$B$11,Paramètres!$A$1:$I$89,5,0)</f>
        <v>212.28480000000002</v>
      </c>
      <c r="BF108" s="13">
        <f t="shared" si="91"/>
        <v>52.434557099704193</v>
      </c>
      <c r="BG108" s="20">
        <f t="shared" si="61"/>
        <v>461.05288028198476</v>
      </c>
      <c r="BH108" s="59">
        <f t="shared" si="62"/>
        <v>754.38621361531807</v>
      </c>
      <c r="BI108" s="59">
        <f ca="1">AVERAGE(OFFSET($BH$3,0,0,'Données projet'!$E$11+1,1))-AVERAGE(OFFSET($H$3,0,0,'Données projet'!$E$11+1,1))</f>
        <v>268.27008134105046</v>
      </c>
      <c r="BJ108" s="59">
        <f t="shared" si="92"/>
        <v>252.36274686619709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50.846259199636073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50.846259199636073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0.8600000000003547</v>
      </c>
      <c r="O109" s="13">
        <f>N109*VLOOKUP('Données projet'!$B$9,Paramètres!$A$1:$I$89,3,0)*VLOOKUP('Données projet'!$B$9,Paramètres!$A$1:$I$89,5,0)</f>
        <v>0.48074000000019829</v>
      </c>
      <c r="P109" s="13">
        <f t="shared" si="87"/>
        <v>0.24126147010950588</v>
      </c>
      <c r="Q109" s="20">
        <f t="shared" si="107"/>
        <v>1.2574858937744013</v>
      </c>
      <c r="R109" s="59">
        <f t="shared" si="55"/>
        <v>294.59081922710772</v>
      </c>
      <c r="S109" s="59">
        <f ca="1">AVERAGE(OFFSET($R$3,0,0,'Données projet'!$E$9+1,1))-AVERAGE(OFFSET($H$3,0,0,'Données projet'!$E$9+1,1))</f>
        <v>350.01600895263641</v>
      </c>
      <c r="T109" s="59">
        <f t="shared" si="88"/>
        <v>464.08921044376882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135.4109557363588</v>
      </c>
      <c r="AA109" s="21">
        <f>EXP(-LN(2)/25)*AA108+(1-EXP(-LN(2)/25))/(LN(2)/25)*Calculateur!V109*Calculateur!X109*VLOOKUP('Données projet'!$B$9,Paramètres!$A$1:$I$89,3,0)*0.475*44/12</f>
        <v>6.1485496825573831</v>
      </c>
      <c r="AB109" s="21">
        <f>EXP(-LN(2)/2)*AB108+(1-EXP(-LN(2)/2))/(LN(2)/2)*V109*Y109*VLOOKUP('Données projet'!$B$9,Paramètres!$A$1:$I$89,3,0)*0.475*44/12</f>
        <v>2.6918152036625984E-12</v>
      </c>
      <c r="AC109" s="22">
        <f t="shared" si="57"/>
        <v>141.55950541891889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277.99999999999994</v>
      </c>
      <c r="AJ109" s="13">
        <f>AI109*VLOOKUP('Données projet'!$B$10,Paramètres!$A$1:$I$89,3,0)*VLOOKUP('Données projet'!$B$10,Paramètres!$A$1:$I$89,5,0)</f>
        <v>151.78799999999998</v>
      </c>
      <c r="AK109" s="13">
        <f t="shared" si="89"/>
        <v>38.984634390835623</v>
      </c>
      <c r="AL109" s="20">
        <f t="shared" si="58"/>
        <v>332.26233823070532</v>
      </c>
      <c r="AM109" s="59">
        <f t="shared" si="59"/>
        <v>625.59567156403864</v>
      </c>
      <c r="AN109" s="59">
        <f ca="1">AVERAGE(OFFSET($AM$3,0,0,'Données projet'!$E$10+1,1))-AVERAGE(OFFSET($H$3,0,0,'Données projet'!$E$10+1,1))</f>
        <v>159.92263609041913</v>
      </c>
      <c r="AO109" s="59">
        <f t="shared" si="90"/>
        <v>271.78119133009307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8.1484221675373547</v>
      </c>
      <c r="AV109" s="21">
        <f>EXP(-LN(2)/25)*AV108+(1-EXP(-LN(2)/25))/(LN(2)/25)*Calculateur!AQ109*Calculateur!AS109*VLOOKUP('Données projet'!$B$10,Paramètres!$A$1:$I$89,3,0)*0.475*44/12</f>
        <v>11.676901412975285</v>
      </c>
      <c r="AW109" s="21">
        <f>EXP(-LN(2)/2)*AW108+(1-EXP(-LN(2)/2))/(LN(2)/2)*AQ109*AT109*VLOOKUP('Données projet'!$B$10,Paramètres!$A$1:$I$89,3,0)*0.475*44/12</f>
        <v>9.2243905125417717E-14</v>
      </c>
      <c r="AX109" s="21">
        <f t="shared" si="60"/>
        <v>19.82532358051273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243</v>
      </c>
      <c r="BE109" s="13">
        <f>BD109*VLOOKUP('Données projet'!$B$11,Paramètres!$A$1:$I$89,3,0)*VLOOKUP('Données projet'!$B$11,Paramètres!$A$1:$I$89,5,0)</f>
        <v>212.28480000000002</v>
      </c>
      <c r="BF109" s="13">
        <f t="shared" si="91"/>
        <v>52.434557099704193</v>
      </c>
      <c r="BG109" s="20">
        <f t="shared" si="61"/>
        <v>461.05288028198476</v>
      </c>
      <c r="BH109" s="59">
        <f t="shared" si="62"/>
        <v>754.38621361531807</v>
      </c>
      <c r="BI109" s="59">
        <f ca="1">AVERAGE(OFFSET($BH$3,0,0,'Données projet'!$E$11+1,1))-AVERAGE(OFFSET($H$3,0,0,'Données projet'!$E$11+1,1))</f>
        <v>268.27008134105046</v>
      </c>
      <c r="BJ109" s="59">
        <f t="shared" si="92"/>
        <v>252.36274686619709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49.849195069887024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49.849195069887024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0.8600000000003547</v>
      </c>
      <c r="O110" s="13">
        <f>N110*VLOOKUP('Données projet'!$B$9,Paramètres!$A$1:$I$89,3,0)*VLOOKUP('Données projet'!$B$9,Paramètres!$A$1:$I$89,5,0)</f>
        <v>0.48074000000019829</v>
      </c>
      <c r="P110" s="13">
        <f t="shared" si="87"/>
        <v>0.24126147010950588</v>
      </c>
      <c r="Q110" s="20">
        <f t="shared" si="107"/>
        <v>1.2574858937744013</v>
      </c>
      <c r="R110" s="59">
        <f t="shared" si="55"/>
        <v>294.59081922710772</v>
      </c>
      <c r="S110" s="59">
        <f ca="1">AVERAGE(OFFSET($R$3,0,0,'Données projet'!$E$9+1,1))-AVERAGE(OFFSET($H$3,0,0,'Données projet'!$E$9+1,1))</f>
        <v>350.01600895263641</v>
      </c>
      <c r="T110" s="59">
        <f t="shared" si="88"/>
        <v>464.08921044376882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132.75562948689648</v>
      </c>
      <c r="AA110" s="21">
        <f>EXP(-LN(2)/25)*AA109+(1-EXP(-LN(2)/25))/(LN(2)/25)*Calculateur!V110*Calculateur!X110*VLOOKUP('Données projet'!$B$9,Paramètres!$A$1:$I$89,3,0)*0.475*44/12</f>
        <v>5.9804172681496768</v>
      </c>
      <c r="AB110" s="21">
        <f>EXP(-LN(2)/2)*AB109+(1-EXP(-LN(2)/2))/(LN(2)/2)*V110*Y110*VLOOKUP('Données projet'!$B$9,Paramètres!$A$1:$I$89,3,0)*0.475*44/12</f>
        <v>1.9034007842108708E-12</v>
      </c>
      <c r="AC110" s="22">
        <f t="shared" si="57"/>
        <v>138.73604675504805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277.99999999999994</v>
      </c>
      <c r="AJ110" s="13">
        <f>AI110*VLOOKUP('Données projet'!$B$10,Paramètres!$A$1:$I$89,3,0)*VLOOKUP('Données projet'!$B$10,Paramètres!$A$1:$I$89,5,0)</f>
        <v>151.78799999999998</v>
      </c>
      <c r="AK110" s="13">
        <f t="shared" si="89"/>
        <v>38.984634390835623</v>
      </c>
      <c r="AL110" s="20">
        <f t="shared" si="58"/>
        <v>332.26233823070532</v>
      </c>
      <c r="AM110" s="59">
        <f t="shared" si="59"/>
        <v>625.59567156403864</v>
      </c>
      <c r="AN110" s="59">
        <f ca="1">AVERAGE(OFFSET($AM$3,0,0,'Données projet'!$E$10+1,1))-AVERAGE(OFFSET($H$3,0,0,'Données projet'!$E$10+1,1))</f>
        <v>159.92263609041913</v>
      </c>
      <c r="AO110" s="59">
        <f t="shared" si="90"/>
        <v>271.78119133009307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7.9886365788787179</v>
      </c>
      <c r="AV110" s="21">
        <f>EXP(-LN(2)/25)*AV109+(1-EXP(-LN(2)/25))/(LN(2)/25)*Calculateur!AQ110*Calculateur!AS110*VLOOKUP('Données projet'!$B$10,Paramètres!$A$1:$I$89,3,0)*0.475*44/12</f>
        <v>11.357595929775918</v>
      </c>
      <c r="AW110" s="21">
        <f>EXP(-LN(2)/2)*AW109+(1-EXP(-LN(2)/2))/(LN(2)/2)*AQ110*AT110*VLOOKUP('Données projet'!$B$10,Paramètres!$A$1:$I$89,3,0)*0.475*44/12</f>
        <v>6.5226290837311394E-14</v>
      </c>
      <c r="AX110" s="21">
        <f t="shared" si="60"/>
        <v>19.346232508654701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243</v>
      </c>
      <c r="BE110" s="13">
        <f>BD110*VLOOKUP('Données projet'!$B$11,Paramètres!$A$1:$I$89,3,0)*VLOOKUP('Données projet'!$B$11,Paramètres!$A$1:$I$89,5,0)</f>
        <v>212.28480000000002</v>
      </c>
      <c r="BF110" s="13">
        <f t="shared" si="91"/>
        <v>52.434557099704193</v>
      </c>
      <c r="BG110" s="20">
        <f t="shared" si="61"/>
        <v>461.05288028198476</v>
      </c>
      <c r="BH110" s="59">
        <f t="shared" si="62"/>
        <v>754.38621361531807</v>
      </c>
      <c r="BI110" s="59">
        <f ca="1">AVERAGE(OFFSET($BH$3,0,0,'Données projet'!$E$11+1,1))-AVERAGE(OFFSET($H$3,0,0,'Données projet'!$E$11+1,1))</f>
        <v>268.27008134105046</v>
      </c>
      <c r="BJ110" s="59">
        <f t="shared" si="92"/>
        <v>252.36274686619709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48.871682759573289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48.871682759573289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0.8600000000003547</v>
      </c>
      <c r="O111" s="13">
        <f>N111*VLOOKUP('Données projet'!$B$9,Paramètres!$A$1:$I$89,3,0)*VLOOKUP('Données projet'!$B$9,Paramètres!$A$1:$I$89,5,0)</f>
        <v>0.48074000000019829</v>
      </c>
      <c r="P111" s="13">
        <f t="shared" si="87"/>
        <v>0.24126147010950588</v>
      </c>
      <c r="Q111" s="20">
        <f t="shared" si="107"/>
        <v>1.2574858937744013</v>
      </c>
      <c r="R111" s="59">
        <f t="shared" si="55"/>
        <v>294.59081922710772</v>
      </c>
      <c r="S111" s="59">
        <f ca="1">AVERAGE(OFFSET($R$3,0,0,'Données projet'!$E$9+1,1))-AVERAGE(OFFSET($H$3,0,0,'Données projet'!$E$9+1,1))</f>
        <v>350.01600895263641</v>
      </c>
      <c r="T111" s="59">
        <f t="shared" si="88"/>
        <v>464.08921044376882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130.15237256559701</v>
      </c>
      <c r="AA111" s="21">
        <f>EXP(-LN(2)/25)*AA110+(1-EXP(-LN(2)/25))/(LN(2)/25)*Calculateur!V111*Calculateur!X111*VLOOKUP('Données projet'!$B$9,Paramètres!$A$1:$I$89,3,0)*0.475*44/12</f>
        <v>5.8168824434556479</v>
      </c>
      <c r="AB111" s="21">
        <f>EXP(-LN(2)/2)*AB110+(1-EXP(-LN(2)/2))/(LN(2)/2)*V111*Y111*VLOOKUP('Données projet'!$B$9,Paramètres!$A$1:$I$89,3,0)*0.475*44/12</f>
        <v>1.3459076018312992E-12</v>
      </c>
      <c r="AC111" s="22">
        <f t="shared" si="57"/>
        <v>135.969255009054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277.99999999999994</v>
      </c>
      <c r="AJ111" s="13">
        <f>AI111*VLOOKUP('Données projet'!$B$10,Paramètres!$A$1:$I$89,3,0)*VLOOKUP('Données projet'!$B$10,Paramètres!$A$1:$I$89,5,0)</f>
        <v>151.78799999999998</v>
      </c>
      <c r="AK111" s="13">
        <f t="shared" si="89"/>
        <v>38.984634390835623</v>
      </c>
      <c r="AL111" s="20">
        <f t="shared" si="58"/>
        <v>332.26233823070532</v>
      </c>
      <c r="AM111" s="59">
        <f t="shared" si="59"/>
        <v>625.59567156403864</v>
      </c>
      <c r="AN111" s="59">
        <f ca="1">AVERAGE(OFFSET($AM$3,0,0,'Données projet'!$E$10+1,1))-AVERAGE(OFFSET($H$3,0,0,'Données projet'!$E$10+1,1))</f>
        <v>159.92263609041913</v>
      </c>
      <c r="AO111" s="59">
        <f t="shared" si="90"/>
        <v>271.78119133009307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7.8319842881540911</v>
      </c>
      <c r="AV111" s="21">
        <f>EXP(-LN(2)/25)*AV110+(1-EXP(-LN(2)/25))/(LN(2)/25)*Calculateur!AQ111*Calculateur!AS111*VLOOKUP('Données projet'!$B$10,Paramètres!$A$1:$I$89,3,0)*0.475*44/12</f>
        <v>11.047021871806184</v>
      </c>
      <c r="AW111" s="21">
        <f>EXP(-LN(2)/2)*AW110+(1-EXP(-LN(2)/2))/(LN(2)/2)*AQ111*AT111*VLOOKUP('Données projet'!$B$10,Paramètres!$A$1:$I$89,3,0)*0.475*44/12</f>
        <v>4.6121952562708859E-14</v>
      </c>
      <c r="AX111" s="21">
        <f t="shared" si="60"/>
        <v>18.879006159960323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243</v>
      </c>
      <c r="BE111" s="13">
        <f>BD111*VLOOKUP('Données projet'!$B$11,Paramètres!$A$1:$I$89,3,0)*VLOOKUP('Données projet'!$B$11,Paramètres!$A$1:$I$89,5,0)</f>
        <v>212.28480000000002</v>
      </c>
      <c r="BF111" s="13">
        <f t="shared" si="91"/>
        <v>52.434557099704193</v>
      </c>
      <c r="BG111" s="20">
        <f t="shared" si="61"/>
        <v>461.05288028198476</v>
      </c>
      <c r="BH111" s="59">
        <f t="shared" si="62"/>
        <v>754.38621361531807</v>
      </c>
      <c r="BI111" s="59">
        <f ca="1">AVERAGE(OFFSET($BH$3,0,0,'Données projet'!$E$11+1,1))-AVERAGE(OFFSET($H$3,0,0,'Données projet'!$E$11+1,1))</f>
        <v>268.27008134105046</v>
      </c>
      <c r="BJ111" s="59">
        <f t="shared" si="92"/>
        <v>252.36274686619709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47.913338869441169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47.913338869441169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0.8600000000003547</v>
      </c>
      <c r="O112" s="13">
        <f>N112*VLOOKUP('Données projet'!$B$9,Paramètres!$A$1:$I$89,3,0)*VLOOKUP('Données projet'!$B$9,Paramètres!$A$1:$I$89,5,0)</f>
        <v>0.48074000000019829</v>
      </c>
      <c r="P112" s="13">
        <f t="shared" si="87"/>
        <v>0.24126147010950588</v>
      </c>
      <c r="Q112" s="20">
        <f t="shared" si="107"/>
        <v>1.2574858937744013</v>
      </c>
      <c r="R112" s="59">
        <f t="shared" si="55"/>
        <v>294.59081922710772</v>
      </c>
      <c r="S112" s="59">
        <f ca="1">AVERAGE(OFFSET($R$3,0,0,'Données projet'!$E$9+1,1))-AVERAGE(OFFSET($H$3,0,0,'Données projet'!$E$9+1,1))</f>
        <v>350.01600895263641</v>
      </c>
      <c r="T112" s="59">
        <f t="shared" si="88"/>
        <v>464.08921044376882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127.60016392469429</v>
      </c>
      <c r="AA112" s="21">
        <f>EXP(-LN(2)/25)*AA111+(1-EXP(-LN(2)/25))/(LN(2)/25)*Calculateur!V112*Calculateur!X112*VLOOKUP('Données projet'!$B$9,Paramètres!$A$1:$I$89,3,0)*0.475*44/12</f>
        <v>5.6578194871427998</v>
      </c>
      <c r="AB112" s="21">
        <f>EXP(-LN(2)/2)*AB111+(1-EXP(-LN(2)/2))/(LN(2)/2)*V112*Y112*VLOOKUP('Données projet'!$B$9,Paramètres!$A$1:$I$89,3,0)*0.475*44/12</f>
        <v>9.5170039210543539E-13</v>
      </c>
      <c r="AC112" s="22">
        <f t="shared" si="57"/>
        <v>133.25798341183801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277.99999999999994</v>
      </c>
      <c r="AJ112" s="13">
        <f>AI112*VLOOKUP('Données projet'!$B$10,Paramètres!$A$1:$I$89,3,0)*VLOOKUP('Données projet'!$B$10,Paramètres!$A$1:$I$89,5,0)</f>
        <v>151.78799999999998</v>
      </c>
      <c r="AK112" s="13">
        <f t="shared" si="89"/>
        <v>38.984634390835623</v>
      </c>
      <c r="AL112" s="20">
        <f t="shared" si="58"/>
        <v>332.26233823070532</v>
      </c>
      <c r="AM112" s="59">
        <f t="shared" si="59"/>
        <v>625.59567156403864</v>
      </c>
      <c r="AN112" s="59">
        <f ca="1">AVERAGE(OFFSET($AM$3,0,0,'Données projet'!$E$10+1,1))-AVERAGE(OFFSET($H$3,0,0,'Données projet'!$E$10+1,1))</f>
        <v>159.92263609041913</v>
      </c>
      <c r="AO112" s="59">
        <f t="shared" si="90"/>
        <v>271.78119133009307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7.6784038533021119</v>
      </c>
      <c r="AV112" s="21">
        <f>EXP(-LN(2)/25)*AV111+(1-EXP(-LN(2)/25))/(LN(2)/25)*Calculateur!AQ112*Calculateur!AS112*VLOOKUP('Données projet'!$B$10,Paramètres!$A$1:$I$89,3,0)*0.475*44/12</f>
        <v>10.744940477784011</v>
      </c>
      <c r="AW112" s="21">
        <f>EXP(-LN(2)/2)*AW111+(1-EXP(-LN(2)/2))/(LN(2)/2)*AQ112*AT112*VLOOKUP('Données projet'!$B$10,Paramètres!$A$1:$I$89,3,0)*0.475*44/12</f>
        <v>3.2613145418655697E-14</v>
      </c>
      <c r="AX112" s="21">
        <f t="shared" si="60"/>
        <v>18.423344331086156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243</v>
      </c>
      <c r="BE112" s="13">
        <f>BD112*VLOOKUP('Données projet'!$B$11,Paramètres!$A$1:$I$89,3,0)*VLOOKUP('Données projet'!$B$11,Paramètres!$A$1:$I$89,5,0)</f>
        <v>212.28480000000002</v>
      </c>
      <c r="BF112" s="13">
        <f t="shared" si="91"/>
        <v>52.434557099704193</v>
      </c>
      <c r="BG112" s="20">
        <f t="shared" si="61"/>
        <v>461.05288028198476</v>
      </c>
      <c r="BH112" s="59">
        <f t="shared" si="62"/>
        <v>754.38621361531807</v>
      </c>
      <c r="BI112" s="59">
        <f ca="1">AVERAGE(OFFSET($BH$3,0,0,'Données projet'!$E$11+1,1))-AVERAGE(OFFSET($H$3,0,0,'Données projet'!$E$11+1,1))</f>
        <v>268.27008134105046</v>
      </c>
      <c r="BJ112" s="59">
        <f t="shared" si="92"/>
        <v>252.36274686619709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46.97378751846248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46.97378751846248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0.8600000000003547</v>
      </c>
      <c r="O113" s="13">
        <f>N113*VLOOKUP('Données projet'!$B$9,Paramètres!$A$1:$I$89,3,0)*VLOOKUP('Données projet'!$B$9,Paramètres!$A$1:$I$89,5,0)</f>
        <v>0.48074000000019829</v>
      </c>
      <c r="P113" s="13">
        <f t="shared" si="87"/>
        <v>0.24126147010950588</v>
      </c>
      <c r="Q113" s="20">
        <f t="shared" si="107"/>
        <v>1.2574858937744013</v>
      </c>
      <c r="R113" s="59">
        <f t="shared" si="55"/>
        <v>294.59081922710772</v>
      </c>
      <c r="S113" s="59">
        <f ca="1">AVERAGE(OFFSET($R$3,0,0,'Données projet'!$E$9+1,1))-AVERAGE(OFFSET($H$3,0,0,'Données projet'!$E$9+1,1))</f>
        <v>350.01600895263641</v>
      </c>
      <c r="T113" s="59">
        <f t="shared" si="88"/>
        <v>464.08921044376882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125.09800253854611</v>
      </c>
      <c r="AA113" s="21">
        <f>EXP(-LN(2)/25)*AA112+(1-EXP(-LN(2)/25))/(LN(2)/25)*Calculateur!V113*Calculateur!X113*VLOOKUP('Données projet'!$B$9,Paramètres!$A$1:$I$89,3,0)*0.475*44/12</f>
        <v>5.5031061157350845</v>
      </c>
      <c r="AB113" s="21">
        <f>EXP(-LN(2)/2)*AB112+(1-EXP(-LN(2)/2))/(LN(2)/2)*V113*Y113*VLOOKUP('Données projet'!$B$9,Paramètres!$A$1:$I$89,3,0)*0.475*44/12</f>
        <v>6.7295380091564961E-13</v>
      </c>
      <c r="AC113" s="22">
        <f t="shared" si="57"/>
        <v>130.60110865428189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277.99999999999994</v>
      </c>
      <c r="AJ113" s="13">
        <f>AI113*VLOOKUP('Données projet'!$B$10,Paramètres!$A$1:$I$89,3,0)*VLOOKUP('Données projet'!$B$10,Paramètres!$A$1:$I$89,5,0)</f>
        <v>151.78799999999998</v>
      </c>
      <c r="AK113" s="13">
        <f t="shared" si="89"/>
        <v>38.984634390835623</v>
      </c>
      <c r="AL113" s="20">
        <f t="shared" si="58"/>
        <v>332.26233823070532</v>
      </c>
      <c r="AM113" s="59">
        <f t="shared" si="59"/>
        <v>625.59567156403864</v>
      </c>
      <c r="AN113" s="59">
        <f ca="1">AVERAGE(OFFSET($AM$3,0,0,'Données projet'!$E$10+1,1))-AVERAGE(OFFSET($H$3,0,0,'Données projet'!$E$10+1,1))</f>
        <v>159.92263609041913</v>
      </c>
      <c r="AO113" s="59">
        <f t="shared" si="90"/>
        <v>271.78119133009307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7.527835037102764</v>
      </c>
      <c r="AV113" s="21">
        <f>EXP(-LN(2)/25)*AV112+(1-EXP(-LN(2)/25))/(LN(2)/25)*Calculateur!AQ113*Calculateur!AS113*VLOOKUP('Données projet'!$B$10,Paramètres!$A$1:$I$89,3,0)*0.475*44/12</f>
        <v>10.451119515367145</v>
      </c>
      <c r="AW113" s="21">
        <f>EXP(-LN(2)/2)*AW112+(1-EXP(-LN(2)/2))/(LN(2)/2)*AQ113*AT113*VLOOKUP('Données projet'!$B$10,Paramètres!$A$1:$I$89,3,0)*0.475*44/12</f>
        <v>2.3060976281354429E-14</v>
      </c>
      <c r="AX113" s="21">
        <f t="shared" si="60"/>
        <v>17.978954552469929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243</v>
      </c>
      <c r="BE113" s="13">
        <f>BD113*VLOOKUP('Données projet'!$B$11,Paramètres!$A$1:$I$89,3,0)*VLOOKUP('Données projet'!$B$11,Paramètres!$A$1:$I$89,5,0)</f>
        <v>212.28480000000002</v>
      </c>
      <c r="BF113" s="13">
        <f t="shared" si="91"/>
        <v>52.434557099704193</v>
      </c>
      <c r="BG113" s="20">
        <f t="shared" si="61"/>
        <v>461.05288028198476</v>
      </c>
      <c r="BH113" s="59">
        <f t="shared" si="62"/>
        <v>754.38621361531807</v>
      </c>
      <c r="BI113" s="59">
        <f ca="1">AVERAGE(OFFSET($BH$3,0,0,'Données projet'!$E$11+1,1))-AVERAGE(OFFSET($H$3,0,0,'Données projet'!$E$11+1,1))</f>
        <v>268.27008134105046</v>
      </c>
      <c r="BJ113" s="59">
        <f t="shared" si="92"/>
        <v>252.36274686619709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46.052660196406748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46.052660196406748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0.8600000000003547</v>
      </c>
      <c r="O114" s="13">
        <f>N114*VLOOKUP('Données projet'!$B$9,Paramètres!$A$1:$I$89,3,0)*VLOOKUP('Données projet'!$B$9,Paramètres!$A$1:$I$89,5,0)</f>
        <v>0.48074000000019829</v>
      </c>
      <c r="P114" s="13">
        <f t="shared" si="87"/>
        <v>0.24126147010950588</v>
      </c>
      <c r="Q114" s="20">
        <f t="shared" si="107"/>
        <v>1.2574858937744013</v>
      </c>
      <c r="R114" s="59">
        <f t="shared" si="55"/>
        <v>294.59081922710772</v>
      </c>
      <c r="S114" s="59">
        <f ca="1">AVERAGE(OFFSET($R$3,0,0,'Données projet'!$E$9+1,1))-AVERAGE(OFFSET($H$3,0,0,'Données projet'!$E$9+1,1))</f>
        <v>350.01600895263641</v>
      </c>
      <c r="T114" s="59">
        <f t="shared" si="88"/>
        <v>464.08921044376882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122.64490701101255</v>
      </c>
      <c r="AA114" s="21">
        <f>EXP(-LN(2)/25)*AA113+(1-EXP(-LN(2)/25))/(LN(2)/25)*Calculateur!V114*Calculateur!X114*VLOOKUP('Données projet'!$B$9,Paramètres!$A$1:$I$89,3,0)*0.475*44/12</f>
        <v>5.3526233896045357</v>
      </c>
      <c r="AB114" s="21">
        <f>EXP(-LN(2)/2)*AB113+(1-EXP(-LN(2)/2))/(LN(2)/2)*V114*Y114*VLOOKUP('Données projet'!$B$9,Paramètres!$A$1:$I$89,3,0)*0.475*44/12</f>
        <v>4.758501960527177E-13</v>
      </c>
      <c r="AC114" s="22">
        <f t="shared" si="57"/>
        <v>127.99753040061755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277.99999999999994</v>
      </c>
      <c r="AJ114" s="13">
        <f>AI114*VLOOKUP('Données projet'!$B$10,Paramètres!$A$1:$I$89,3,0)*VLOOKUP('Données projet'!$B$10,Paramètres!$A$1:$I$89,5,0)</f>
        <v>151.78799999999998</v>
      </c>
      <c r="AK114" s="13">
        <f t="shared" si="89"/>
        <v>38.984634390835623</v>
      </c>
      <c r="AL114" s="20">
        <f t="shared" si="58"/>
        <v>332.26233823070532</v>
      </c>
      <c r="AM114" s="59">
        <f t="shared" si="59"/>
        <v>625.59567156403864</v>
      </c>
      <c r="AN114" s="59">
        <f ca="1">AVERAGE(OFFSET($AM$3,0,0,'Données projet'!$E$10+1,1))-AVERAGE(OFFSET($H$3,0,0,'Données projet'!$E$10+1,1))</f>
        <v>159.92263609041913</v>
      </c>
      <c r="AO114" s="59">
        <f t="shared" si="90"/>
        <v>271.78119133009307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7.3802187835511761</v>
      </c>
      <c r="AV114" s="21">
        <f>EXP(-LN(2)/25)*AV113+(1-EXP(-LN(2)/25))/(LN(2)/25)*Calculateur!AQ114*Calculateur!AS114*VLOOKUP('Données projet'!$B$10,Paramètres!$A$1:$I$89,3,0)*0.475*44/12</f>
        <v>10.165333102618941</v>
      </c>
      <c r="AW114" s="21">
        <f>EXP(-LN(2)/2)*AW113+(1-EXP(-LN(2)/2))/(LN(2)/2)*AQ114*AT114*VLOOKUP('Données projet'!$B$10,Paramètres!$A$1:$I$89,3,0)*0.475*44/12</f>
        <v>1.6306572709327848E-14</v>
      </c>
      <c r="AX114" s="21">
        <f t="shared" si="60"/>
        <v>17.545551886170134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243</v>
      </c>
      <c r="BE114" s="13">
        <f>BD114*VLOOKUP('Données projet'!$B$11,Paramètres!$A$1:$I$89,3,0)*VLOOKUP('Données projet'!$B$11,Paramètres!$A$1:$I$89,5,0)</f>
        <v>212.28480000000002</v>
      </c>
      <c r="BF114" s="13">
        <f t="shared" si="91"/>
        <v>52.434557099704193</v>
      </c>
      <c r="BG114" s="20">
        <f t="shared" si="61"/>
        <v>461.05288028198476</v>
      </c>
      <c r="BH114" s="59">
        <f t="shared" si="62"/>
        <v>754.38621361531807</v>
      </c>
      <c r="BI114" s="59">
        <f ca="1">AVERAGE(OFFSET($BH$3,0,0,'Données projet'!$E$11+1,1))-AVERAGE(OFFSET($H$3,0,0,'Données projet'!$E$11+1,1))</f>
        <v>268.27008134105046</v>
      </c>
      <c r="BJ114" s="59">
        <f t="shared" si="92"/>
        <v>252.36274686619709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45.149595619304336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45.149595619304336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0.8600000000003547</v>
      </c>
      <c r="O115" s="13">
        <f>N115*VLOOKUP('Données projet'!$B$9,Paramètres!$A$1:$I$89,3,0)*VLOOKUP('Données projet'!$B$9,Paramètres!$A$1:$I$89,5,0)</f>
        <v>0.48074000000019829</v>
      </c>
      <c r="P115" s="13">
        <f t="shared" si="87"/>
        <v>0.24126147010950588</v>
      </c>
      <c r="Q115" s="20">
        <f t="shared" si="107"/>
        <v>1.2574858937744013</v>
      </c>
      <c r="R115" s="59">
        <f t="shared" si="55"/>
        <v>294.59081922710772</v>
      </c>
      <c r="S115" s="59">
        <f ca="1">AVERAGE(OFFSET($R$3,0,0,'Données projet'!$E$9+1,1))-AVERAGE(OFFSET($H$3,0,0,'Données projet'!$E$9+1,1))</f>
        <v>350.01600895263641</v>
      </c>
      <c r="T115" s="59">
        <f t="shared" si="88"/>
        <v>464.08921044376882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120.2399151905334</v>
      </c>
      <c r="AA115" s="21">
        <f>EXP(-LN(2)/25)*AA114+(1-EXP(-LN(2)/25))/(LN(2)/25)*Calculateur!V115*Calculateur!X115*VLOOKUP('Données projet'!$B$9,Paramètres!$A$1:$I$89,3,0)*0.475*44/12</f>
        <v>5.2062556215335691</v>
      </c>
      <c r="AB115" s="21">
        <f>EXP(-LN(2)/2)*AB114+(1-EXP(-LN(2)/2))/(LN(2)/2)*V115*Y115*VLOOKUP('Données projet'!$B$9,Paramètres!$A$1:$I$89,3,0)*0.475*44/12</f>
        <v>3.364769004578248E-13</v>
      </c>
      <c r="AC115" s="22">
        <f t="shared" si="57"/>
        <v>125.44617081206731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277.99999999999994</v>
      </c>
      <c r="AJ115" s="13">
        <f>AI115*VLOOKUP('Données projet'!$B$10,Paramètres!$A$1:$I$89,3,0)*VLOOKUP('Données projet'!$B$10,Paramètres!$A$1:$I$89,5,0)</f>
        <v>151.78799999999998</v>
      </c>
      <c r="AK115" s="13">
        <f t="shared" si="89"/>
        <v>38.984634390835623</v>
      </c>
      <c r="AL115" s="20">
        <f t="shared" si="58"/>
        <v>332.26233823070532</v>
      </c>
      <c r="AM115" s="59">
        <f t="shared" si="59"/>
        <v>625.59567156403864</v>
      </c>
      <c r="AN115" s="59">
        <f ca="1">AVERAGE(OFFSET($AM$3,0,0,'Données projet'!$E$10+1,1))-AVERAGE(OFFSET($H$3,0,0,'Données projet'!$E$10+1,1))</f>
        <v>159.92263609041913</v>
      </c>
      <c r="AO115" s="59">
        <f t="shared" si="90"/>
        <v>271.78119133009307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7.2354971946947106</v>
      </c>
      <c r="AV115" s="21">
        <f>EXP(-LN(2)/25)*AV114+(1-EXP(-LN(2)/25))/(LN(2)/25)*Calculateur!AQ115*Calculateur!AS115*VLOOKUP('Données projet'!$B$10,Paramètres!$A$1:$I$89,3,0)*0.475*44/12</f>
        <v>9.8873615343561916</v>
      </c>
      <c r="AW115" s="21">
        <f>EXP(-LN(2)/2)*AW114+(1-EXP(-LN(2)/2))/(LN(2)/2)*AQ115*AT115*VLOOKUP('Données projet'!$B$10,Paramètres!$A$1:$I$89,3,0)*0.475*44/12</f>
        <v>1.1530488140677215E-14</v>
      </c>
      <c r="AX115" s="21">
        <f t="shared" si="60"/>
        <v>17.122858729050915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243</v>
      </c>
      <c r="BE115" s="13">
        <f>BD115*VLOOKUP('Données projet'!$B$11,Paramètres!$A$1:$I$89,3,0)*VLOOKUP('Données projet'!$B$11,Paramètres!$A$1:$I$89,5,0)</f>
        <v>212.28480000000002</v>
      </c>
      <c r="BF115" s="13">
        <f t="shared" si="91"/>
        <v>52.434557099704193</v>
      </c>
      <c r="BG115" s="20">
        <f t="shared" si="61"/>
        <v>461.05288028198476</v>
      </c>
      <c r="BH115" s="59">
        <f t="shared" si="62"/>
        <v>754.38621361531807</v>
      </c>
      <c r="BI115" s="59">
        <f ca="1">AVERAGE(OFFSET($BH$3,0,0,'Données projet'!$E$11+1,1))-AVERAGE(OFFSET($H$3,0,0,'Données projet'!$E$11+1,1))</f>
        <v>268.27008134105046</v>
      </c>
      <c r="BJ115" s="59">
        <f t="shared" si="92"/>
        <v>252.36274686619709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44.264239587743901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44.264239587743901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0.8600000000003547</v>
      </c>
      <c r="O116" s="13">
        <f>N116*VLOOKUP('Données projet'!$B$9,Paramètres!$A$1:$I$89,3,0)*VLOOKUP('Données projet'!$B$9,Paramètres!$A$1:$I$89,5,0)</f>
        <v>0.48074000000019829</v>
      </c>
      <c r="P116" s="13">
        <f t="shared" si="87"/>
        <v>0.24126147010950588</v>
      </c>
      <c r="Q116" s="20">
        <f t="shared" si="107"/>
        <v>1.2574858937744013</v>
      </c>
      <c r="R116" s="59">
        <f t="shared" si="55"/>
        <v>294.59081922710772</v>
      </c>
      <c r="S116" s="59">
        <f ca="1">AVERAGE(OFFSET($R$3,0,0,'Données projet'!$E$9+1,1))-AVERAGE(OFFSET($H$3,0,0,'Données projet'!$E$9+1,1))</f>
        <v>350.01600895263641</v>
      </c>
      <c r="T116" s="59">
        <f t="shared" si="88"/>
        <v>464.08921044376882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117.88208379275366</v>
      </c>
      <c r="AA116" s="21">
        <f>EXP(-LN(2)/25)*AA115+(1-EXP(-LN(2)/25))/(LN(2)/25)*Calculateur!V116*Calculateur!X116*VLOOKUP('Données projet'!$B$9,Paramètres!$A$1:$I$89,3,0)*0.475*44/12</f>
        <v>5.0638902877776495</v>
      </c>
      <c r="AB116" s="21">
        <f>EXP(-LN(2)/2)*AB115+(1-EXP(-LN(2)/2))/(LN(2)/2)*V116*Y116*VLOOKUP('Données projet'!$B$9,Paramètres!$A$1:$I$89,3,0)*0.475*44/12</f>
        <v>2.3792509802635885E-13</v>
      </c>
      <c r="AC116" s="22">
        <f t="shared" si="57"/>
        <v>122.94597408053156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277.99999999999994</v>
      </c>
      <c r="AJ116" s="13">
        <f>AI116*VLOOKUP('Données projet'!$B$10,Paramètres!$A$1:$I$89,3,0)*VLOOKUP('Données projet'!$B$10,Paramètres!$A$1:$I$89,5,0)</f>
        <v>151.78799999999998</v>
      </c>
      <c r="AK116" s="13">
        <f t="shared" si="89"/>
        <v>38.984634390835623</v>
      </c>
      <c r="AL116" s="20">
        <f t="shared" si="58"/>
        <v>332.26233823070532</v>
      </c>
      <c r="AM116" s="59">
        <f t="shared" si="59"/>
        <v>625.59567156403864</v>
      </c>
      <c r="AN116" s="59">
        <f ca="1">AVERAGE(OFFSET($AM$3,0,0,'Données projet'!$E$10+1,1))-AVERAGE(OFFSET($H$3,0,0,'Données projet'!$E$10+1,1))</f>
        <v>159.92263609041913</v>
      </c>
      <c r="AO116" s="59">
        <f t="shared" si="90"/>
        <v>271.78119133009307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7.0936135079242675</v>
      </c>
      <c r="AV116" s="21">
        <f>EXP(-LN(2)/25)*AV115+(1-EXP(-LN(2)/25))/(LN(2)/25)*Calculateur!AQ116*Calculateur!AS116*VLOOKUP('Données projet'!$B$10,Paramètres!$A$1:$I$89,3,0)*0.475*44/12</f>
        <v>9.6169911132454757</v>
      </c>
      <c r="AW116" s="21">
        <f>EXP(-LN(2)/2)*AW115+(1-EXP(-LN(2)/2))/(LN(2)/2)*AQ116*AT116*VLOOKUP('Données projet'!$B$10,Paramètres!$A$1:$I$89,3,0)*0.475*44/12</f>
        <v>8.1532863546639242E-15</v>
      </c>
      <c r="AX116" s="21">
        <f t="shared" si="60"/>
        <v>16.71060462116975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243</v>
      </c>
      <c r="BE116" s="13">
        <f>BD116*VLOOKUP('Données projet'!$B$11,Paramètres!$A$1:$I$89,3,0)*VLOOKUP('Données projet'!$B$11,Paramètres!$A$1:$I$89,5,0)</f>
        <v>212.28480000000002</v>
      </c>
      <c r="BF116" s="13">
        <f t="shared" si="91"/>
        <v>52.434557099704193</v>
      </c>
      <c r="BG116" s="20">
        <f t="shared" si="61"/>
        <v>461.05288028198476</v>
      </c>
      <c r="BH116" s="59">
        <f t="shared" si="62"/>
        <v>754.38621361531807</v>
      </c>
      <c r="BI116" s="59">
        <f ca="1">AVERAGE(OFFSET($BH$3,0,0,'Données projet'!$E$11+1,1))-AVERAGE(OFFSET($H$3,0,0,'Données projet'!$E$11+1,1))</f>
        <v>268.27008134105046</v>
      </c>
      <c r="BJ116" s="59">
        <f t="shared" si="92"/>
        <v>252.36274686619709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43.396244847948509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43.396244847948509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0.8600000000003547</v>
      </c>
      <c r="O117" s="13">
        <f>N117*VLOOKUP('Données projet'!$B$9,Paramètres!$A$1:$I$89,3,0)*VLOOKUP('Données projet'!$B$9,Paramètres!$A$1:$I$89,5,0)</f>
        <v>0.48074000000019829</v>
      </c>
      <c r="P117" s="13">
        <f t="shared" si="87"/>
        <v>0.24126147010950588</v>
      </c>
      <c r="Q117" s="20">
        <f t="shared" si="107"/>
        <v>1.2574858937744013</v>
      </c>
      <c r="R117" s="59">
        <f t="shared" si="55"/>
        <v>294.59081922710772</v>
      </c>
      <c r="S117" s="59">
        <f ca="1">AVERAGE(OFFSET($R$3,0,0,'Données projet'!$E$9+1,1))-AVERAGE(OFFSET($H$3,0,0,'Données projet'!$E$9+1,1))</f>
        <v>350.01600895263641</v>
      </c>
      <c r="T117" s="59">
        <f t="shared" si="88"/>
        <v>464.08921044376882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115.57048803054924</v>
      </c>
      <c r="AA117" s="21">
        <f>EXP(-LN(2)/25)*AA116+(1-EXP(-LN(2)/25))/(LN(2)/25)*Calculateur!V117*Calculateur!X117*VLOOKUP('Données projet'!$B$9,Paramètres!$A$1:$I$89,3,0)*0.475*44/12</f>
        <v>4.9254179415599531</v>
      </c>
      <c r="AB117" s="21">
        <f>EXP(-LN(2)/2)*AB116+(1-EXP(-LN(2)/2))/(LN(2)/2)*V117*Y117*VLOOKUP('Données projet'!$B$9,Paramètres!$A$1:$I$89,3,0)*0.475*44/12</f>
        <v>1.682384502289124E-13</v>
      </c>
      <c r="AC117" s="22">
        <f t="shared" si="57"/>
        <v>120.49590597210937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277.99999999999994</v>
      </c>
      <c r="AJ117" s="13">
        <f>AI117*VLOOKUP('Données projet'!$B$10,Paramètres!$A$1:$I$89,3,0)*VLOOKUP('Données projet'!$B$10,Paramètres!$A$1:$I$89,5,0)</f>
        <v>151.78799999999998</v>
      </c>
      <c r="AK117" s="13">
        <f t="shared" si="89"/>
        <v>38.984634390835623</v>
      </c>
      <c r="AL117" s="20">
        <f t="shared" si="58"/>
        <v>332.26233823070532</v>
      </c>
      <c r="AM117" s="59">
        <f t="shared" si="59"/>
        <v>625.59567156403864</v>
      </c>
      <c r="AN117" s="59">
        <f ca="1">AVERAGE(OFFSET($AM$3,0,0,'Données projet'!$E$10+1,1))-AVERAGE(OFFSET($H$3,0,0,'Données projet'!$E$10+1,1))</f>
        <v>159.92263609041913</v>
      </c>
      <c r="AO117" s="59">
        <f t="shared" si="90"/>
        <v>271.78119133009307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6.9545120737108883</v>
      </c>
      <c r="AV117" s="21">
        <f>EXP(-LN(2)/25)*AV116+(1-EXP(-LN(2)/25))/(LN(2)/25)*Calculateur!AQ117*Calculateur!AS117*VLOOKUP('Données projet'!$B$10,Paramètres!$A$1:$I$89,3,0)*0.475*44/12</f>
        <v>9.3540139855181952</v>
      </c>
      <c r="AW117" s="21">
        <f>EXP(-LN(2)/2)*AW116+(1-EXP(-LN(2)/2))/(LN(2)/2)*AQ117*AT117*VLOOKUP('Données projet'!$B$10,Paramètres!$A$1:$I$89,3,0)*0.475*44/12</f>
        <v>5.7652440703386073E-15</v>
      </c>
      <c r="AX117" s="21">
        <f t="shared" si="60"/>
        <v>16.308526059229091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243</v>
      </c>
      <c r="BE117" s="13">
        <f>BD117*VLOOKUP('Données projet'!$B$11,Paramètres!$A$1:$I$89,3,0)*VLOOKUP('Données projet'!$B$11,Paramètres!$A$1:$I$89,5,0)</f>
        <v>212.28480000000002</v>
      </c>
      <c r="BF117" s="13">
        <f t="shared" si="91"/>
        <v>52.434557099704193</v>
      </c>
      <c r="BG117" s="20">
        <f t="shared" si="61"/>
        <v>461.05288028198476</v>
      </c>
      <c r="BH117" s="59">
        <f t="shared" si="62"/>
        <v>754.38621361531807</v>
      </c>
      <c r="BI117" s="59">
        <f ca="1">AVERAGE(OFFSET($BH$3,0,0,'Données projet'!$E$11+1,1))-AVERAGE(OFFSET($H$3,0,0,'Données projet'!$E$11+1,1))</f>
        <v>268.27008134105046</v>
      </c>
      <c r="BJ117" s="59">
        <f t="shared" si="92"/>
        <v>252.36274686619709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42.545270955575987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42.545270955575987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0.8600000000003547</v>
      </c>
      <c r="O118" s="13">
        <f>N118*VLOOKUP('Données projet'!$B$9,Paramètres!$A$1:$I$89,3,0)*VLOOKUP('Données projet'!$B$9,Paramètres!$A$1:$I$89,5,0)</f>
        <v>0.48074000000019829</v>
      </c>
      <c r="P118" s="13">
        <f t="shared" si="87"/>
        <v>0.24126147010950588</v>
      </c>
      <c r="Q118" s="20">
        <f t="shared" si="107"/>
        <v>1.2574858937744013</v>
      </c>
      <c r="R118" s="59">
        <f t="shared" si="55"/>
        <v>294.59081922710772</v>
      </c>
      <c r="S118" s="59">
        <f ca="1">AVERAGE(OFFSET($R$3,0,0,'Données projet'!$E$9+1,1))-AVERAGE(OFFSET($H$3,0,0,'Données projet'!$E$9+1,1))</f>
        <v>350.01600895263641</v>
      </c>
      <c r="T118" s="59">
        <f t="shared" si="88"/>
        <v>464.08921044376882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113.30422125130745</v>
      </c>
      <c r="AA118" s="21">
        <f>EXP(-LN(2)/25)*AA117+(1-EXP(-LN(2)/25))/(LN(2)/25)*Calculateur!V118*Calculateur!X118*VLOOKUP('Données projet'!$B$9,Paramètres!$A$1:$I$89,3,0)*0.475*44/12</f>
        <v>4.7907321289315234</v>
      </c>
      <c r="AB118" s="21">
        <f>EXP(-LN(2)/2)*AB117+(1-EXP(-LN(2)/2))/(LN(2)/2)*V118*Y118*VLOOKUP('Données projet'!$B$9,Paramètres!$A$1:$I$89,3,0)*0.475*44/12</f>
        <v>1.1896254901317942E-13</v>
      </c>
      <c r="AC118" s="22">
        <f t="shared" si="57"/>
        <v>118.09495338023909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277.99999999999994</v>
      </c>
      <c r="AJ118" s="13">
        <f>AI118*VLOOKUP('Données projet'!$B$10,Paramètres!$A$1:$I$89,3,0)*VLOOKUP('Données projet'!$B$10,Paramètres!$A$1:$I$89,5,0)</f>
        <v>151.78799999999998</v>
      </c>
      <c r="AK118" s="13">
        <f t="shared" si="89"/>
        <v>38.984634390835623</v>
      </c>
      <c r="AL118" s="20">
        <f t="shared" si="58"/>
        <v>332.26233823070532</v>
      </c>
      <c r="AM118" s="59">
        <f t="shared" si="59"/>
        <v>625.59567156403864</v>
      </c>
      <c r="AN118" s="59">
        <f ca="1">AVERAGE(OFFSET($AM$3,0,0,'Données projet'!$E$10+1,1))-AVERAGE(OFFSET($H$3,0,0,'Données projet'!$E$10+1,1))</f>
        <v>159.92263609041913</v>
      </c>
      <c r="AO118" s="59">
        <f t="shared" si="90"/>
        <v>271.78119133009307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6.8181383337789363</v>
      </c>
      <c r="AV118" s="21">
        <f>EXP(-LN(2)/25)*AV117+(1-EXP(-LN(2)/25))/(LN(2)/25)*Calculateur!AQ118*Calculateur!AS118*VLOOKUP('Données projet'!$B$10,Paramètres!$A$1:$I$89,3,0)*0.475*44/12</f>
        <v>9.0982279811779829</v>
      </c>
      <c r="AW118" s="21">
        <f>EXP(-LN(2)/2)*AW117+(1-EXP(-LN(2)/2))/(LN(2)/2)*AQ118*AT118*VLOOKUP('Données projet'!$B$10,Paramètres!$A$1:$I$89,3,0)*0.475*44/12</f>
        <v>4.0766431773319621E-15</v>
      </c>
      <c r="AX118" s="21">
        <f t="shared" si="60"/>
        <v>15.916366314956923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243</v>
      </c>
      <c r="BE118" s="13">
        <f>BD118*VLOOKUP('Données projet'!$B$11,Paramètres!$A$1:$I$89,3,0)*VLOOKUP('Données projet'!$B$11,Paramètres!$A$1:$I$89,5,0)</f>
        <v>212.28480000000002</v>
      </c>
      <c r="BF118" s="13">
        <f t="shared" si="91"/>
        <v>52.434557099704193</v>
      </c>
      <c r="BG118" s="20">
        <f t="shared" si="61"/>
        <v>461.05288028198476</v>
      </c>
      <c r="BH118" s="59">
        <f t="shared" si="62"/>
        <v>754.38621361531807</v>
      </c>
      <c r="BI118" s="59">
        <f ca="1">AVERAGE(OFFSET($BH$3,0,0,'Données projet'!$E$11+1,1))-AVERAGE(OFFSET($H$3,0,0,'Données projet'!$E$11+1,1))</f>
        <v>268.27008134105046</v>
      </c>
      <c r="BJ118" s="59">
        <f t="shared" si="92"/>
        <v>252.36274686619709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41.710984142190071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41.710984142190071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0.8600000000003547</v>
      </c>
      <c r="O119" s="13">
        <f>N119*VLOOKUP('Données projet'!$B$9,Paramètres!$A$1:$I$89,3,0)*VLOOKUP('Données projet'!$B$9,Paramètres!$A$1:$I$89,5,0)</f>
        <v>0.48074000000019829</v>
      </c>
      <c r="P119" s="13">
        <f t="shared" si="87"/>
        <v>0.24126147010950588</v>
      </c>
      <c r="Q119" s="20">
        <f t="shared" si="107"/>
        <v>1.2574858937744013</v>
      </c>
      <c r="R119" s="59">
        <f t="shared" si="55"/>
        <v>294.59081922710772</v>
      </c>
      <c r="S119" s="59">
        <f ca="1">AVERAGE(OFFSET($R$3,0,0,'Données projet'!$E$9+1,1))-AVERAGE(OFFSET($H$3,0,0,'Données projet'!$E$9+1,1))</f>
        <v>350.01600895263641</v>
      </c>
      <c r="T119" s="59">
        <f t="shared" si="88"/>
        <v>464.08921044376882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111.08239458132036</v>
      </c>
      <c r="AA119" s="21">
        <f>EXP(-LN(2)/25)*AA118+(1-EXP(-LN(2)/25))/(LN(2)/25)*Calculateur!V119*Calculateur!X119*VLOOKUP('Données projet'!$B$9,Paramètres!$A$1:$I$89,3,0)*0.475*44/12</f>
        <v>4.6597293069322374</v>
      </c>
      <c r="AB119" s="21">
        <f>EXP(-LN(2)/2)*AB118+(1-EXP(-LN(2)/2))/(LN(2)/2)*V119*Y119*VLOOKUP('Données projet'!$B$9,Paramètres!$A$1:$I$89,3,0)*0.475*44/12</f>
        <v>8.4119225114456201E-14</v>
      </c>
      <c r="AC119" s="22">
        <f t="shared" si="57"/>
        <v>115.74212388825268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277.99999999999994</v>
      </c>
      <c r="AJ119" s="13">
        <f>AI119*VLOOKUP('Données projet'!$B$10,Paramètres!$A$1:$I$89,3,0)*VLOOKUP('Données projet'!$B$10,Paramètres!$A$1:$I$89,5,0)</f>
        <v>151.78799999999998</v>
      </c>
      <c r="AK119" s="13">
        <f t="shared" si="89"/>
        <v>38.984634390835623</v>
      </c>
      <c r="AL119" s="20">
        <f t="shared" si="58"/>
        <v>332.26233823070532</v>
      </c>
      <c r="AM119" s="59">
        <f t="shared" si="59"/>
        <v>625.59567156403864</v>
      </c>
      <c r="AN119" s="59">
        <f ca="1">AVERAGE(OFFSET($AM$3,0,0,'Données projet'!$E$10+1,1))-AVERAGE(OFFSET($H$3,0,0,'Données projet'!$E$10+1,1))</f>
        <v>159.92263609041913</v>
      </c>
      <c r="AO119" s="59">
        <f t="shared" si="90"/>
        <v>271.78119133009307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6.6844387997072818</v>
      </c>
      <c r="AV119" s="21">
        <f>EXP(-LN(2)/25)*AV118+(1-EXP(-LN(2)/25))/(LN(2)/25)*Calculateur!AQ119*Calculateur!AS119*VLOOKUP('Données projet'!$B$10,Paramètres!$A$1:$I$89,3,0)*0.475*44/12</f>
        <v>8.8494364585776566</v>
      </c>
      <c r="AW119" s="21">
        <f>EXP(-LN(2)/2)*AW118+(1-EXP(-LN(2)/2))/(LN(2)/2)*AQ119*AT119*VLOOKUP('Données projet'!$B$10,Paramètres!$A$1:$I$89,3,0)*0.475*44/12</f>
        <v>2.8826220351693037E-15</v>
      </c>
      <c r="AX119" s="21">
        <f t="shared" si="60"/>
        <v>15.533875258284942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243</v>
      </c>
      <c r="BE119" s="13">
        <f>BD119*VLOOKUP('Données projet'!$B$11,Paramètres!$A$1:$I$89,3,0)*VLOOKUP('Données projet'!$B$11,Paramètres!$A$1:$I$89,5,0)</f>
        <v>212.28480000000002</v>
      </c>
      <c r="BF119" s="13">
        <f t="shared" si="91"/>
        <v>52.434557099704193</v>
      </c>
      <c r="BG119" s="20">
        <f t="shared" si="61"/>
        <v>461.05288028198476</v>
      </c>
      <c r="BH119" s="59">
        <f t="shared" si="62"/>
        <v>754.38621361531807</v>
      </c>
      <c r="BI119" s="59">
        <f ca="1">AVERAGE(OFFSET($BH$3,0,0,'Données projet'!$E$11+1,1))-AVERAGE(OFFSET($H$3,0,0,'Données projet'!$E$11+1,1))</f>
        <v>268.27008134105046</v>
      </c>
      <c r="BJ119" s="59">
        <f t="shared" si="92"/>
        <v>252.36274686619709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40.893057184349942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40.893057184349942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0.8600000000003547</v>
      </c>
      <c r="O120" s="13">
        <f>N120*VLOOKUP('Données projet'!$B$9,Paramètres!$A$1:$I$89,3,0)*VLOOKUP('Données projet'!$B$9,Paramètres!$A$1:$I$89,5,0)</f>
        <v>0.48074000000019829</v>
      </c>
      <c r="P120" s="13">
        <f t="shared" si="87"/>
        <v>0.24126147010950588</v>
      </c>
      <c r="Q120" s="20">
        <f t="shared" si="107"/>
        <v>1.2574858937744013</v>
      </c>
      <c r="R120" s="59">
        <f t="shared" si="55"/>
        <v>294.59081922710772</v>
      </c>
      <c r="S120" s="59">
        <f ca="1">AVERAGE(OFFSET($R$3,0,0,'Données projet'!$E$9+1,1))-AVERAGE(OFFSET($H$3,0,0,'Données projet'!$E$9+1,1))</f>
        <v>350.01600895263641</v>
      </c>
      <c r="T120" s="59">
        <f t="shared" si="88"/>
        <v>464.08921044376882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108.90413657715125</v>
      </c>
      <c r="AA120" s="21">
        <f>EXP(-LN(2)/25)*AA119+(1-EXP(-LN(2)/25))/(LN(2)/25)*Calculateur!V120*Calculateur!X120*VLOOKUP('Données projet'!$B$9,Paramètres!$A$1:$I$89,3,0)*0.475*44/12</f>
        <v>4.5323087639896613</v>
      </c>
      <c r="AB120" s="21">
        <f>EXP(-LN(2)/2)*AB119+(1-EXP(-LN(2)/2))/(LN(2)/2)*V120*Y120*VLOOKUP('Données projet'!$B$9,Paramètres!$A$1:$I$89,3,0)*0.475*44/12</f>
        <v>5.9481274506589712E-14</v>
      </c>
      <c r="AC120" s="22">
        <f t="shared" si="57"/>
        <v>113.43644534114097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277.99999999999994</v>
      </c>
      <c r="AJ120" s="13">
        <f>AI120*VLOOKUP('Données projet'!$B$10,Paramètres!$A$1:$I$89,3,0)*VLOOKUP('Données projet'!$B$10,Paramètres!$A$1:$I$89,5,0)</f>
        <v>151.78799999999998</v>
      </c>
      <c r="AK120" s="13">
        <f t="shared" si="89"/>
        <v>38.984634390835623</v>
      </c>
      <c r="AL120" s="20">
        <f t="shared" si="58"/>
        <v>332.26233823070532</v>
      </c>
      <c r="AM120" s="59">
        <f t="shared" si="59"/>
        <v>625.59567156403864</v>
      </c>
      <c r="AN120" s="59">
        <f ca="1">AVERAGE(OFFSET($AM$3,0,0,'Données projet'!$E$10+1,1))-AVERAGE(OFFSET($H$3,0,0,'Données projet'!$E$10+1,1))</f>
        <v>159.92263609041913</v>
      </c>
      <c r="AO120" s="59">
        <f t="shared" si="90"/>
        <v>271.78119133009307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6.553361031950109</v>
      </c>
      <c r="AV120" s="21">
        <f>EXP(-LN(2)/25)*AV119+(1-EXP(-LN(2)/25))/(LN(2)/25)*Calculateur!AQ120*Calculateur!AS120*VLOOKUP('Données projet'!$B$10,Paramètres!$A$1:$I$89,3,0)*0.475*44/12</f>
        <v>8.6074481532462137</v>
      </c>
      <c r="AW120" s="21">
        <f>EXP(-LN(2)/2)*AW119+(1-EXP(-LN(2)/2))/(LN(2)/2)*AQ120*AT120*VLOOKUP('Données projet'!$B$10,Paramètres!$A$1:$I$89,3,0)*0.475*44/12</f>
        <v>2.0383215886659811E-15</v>
      </c>
      <c r="AX120" s="21">
        <f t="shared" si="60"/>
        <v>15.160809185196324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243</v>
      </c>
      <c r="BE120" s="13">
        <f>BD120*VLOOKUP('Données projet'!$B$11,Paramètres!$A$1:$I$89,3,0)*VLOOKUP('Données projet'!$B$11,Paramètres!$A$1:$I$89,5,0)</f>
        <v>212.28480000000002</v>
      </c>
      <c r="BF120" s="13">
        <f t="shared" si="91"/>
        <v>52.434557099704193</v>
      </c>
      <c r="BG120" s="20">
        <f t="shared" si="61"/>
        <v>461.05288028198476</v>
      </c>
      <c r="BH120" s="59">
        <f t="shared" si="62"/>
        <v>754.38621361531807</v>
      </c>
      <c r="BI120" s="59">
        <f ca="1">AVERAGE(OFFSET($BH$3,0,0,'Données projet'!$E$11+1,1))-AVERAGE(OFFSET($H$3,0,0,'Données projet'!$E$11+1,1))</f>
        <v>268.27008134105046</v>
      </c>
      <c r="BJ120" s="59">
        <f t="shared" si="92"/>
        <v>252.36274686619709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40.091169275266871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40.091169275266871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0.8600000000003547</v>
      </c>
      <c r="O121" s="13">
        <f>N121*VLOOKUP('Données projet'!$B$9,Paramètres!$A$1:$I$89,3,0)*VLOOKUP('Données projet'!$B$9,Paramètres!$A$1:$I$89,5,0)</f>
        <v>0.48074000000019829</v>
      </c>
      <c r="P121" s="13">
        <f t="shared" si="87"/>
        <v>0.24126147010950588</v>
      </c>
      <c r="Q121" s="20">
        <f t="shared" si="107"/>
        <v>1.2574858937744013</v>
      </c>
      <c r="R121" s="59">
        <f t="shared" si="55"/>
        <v>294.59081922710772</v>
      </c>
      <c r="S121" s="59">
        <f ca="1">AVERAGE(OFFSET($R$3,0,0,'Données projet'!$E$9+1,1))-AVERAGE(OFFSET($H$3,0,0,'Données projet'!$E$9+1,1))</f>
        <v>350.01600895263641</v>
      </c>
      <c r="T121" s="59">
        <f t="shared" si="88"/>
        <v>464.08921044376882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106.7685928838377</v>
      </c>
      <c r="AA121" s="21">
        <f>EXP(-LN(2)/25)*AA120+(1-EXP(-LN(2)/25))/(LN(2)/25)*Calculateur!V121*Calculateur!X121*VLOOKUP('Données projet'!$B$9,Paramètres!$A$1:$I$89,3,0)*0.475*44/12</f>
        <v>4.4083725424946048</v>
      </c>
      <c r="AB121" s="21">
        <f>EXP(-LN(2)/2)*AB120+(1-EXP(-LN(2)/2))/(LN(2)/2)*V121*Y121*VLOOKUP('Données projet'!$B$9,Paramètres!$A$1:$I$89,3,0)*0.475*44/12</f>
        <v>4.20596125572281E-14</v>
      </c>
      <c r="AC121" s="22">
        <f t="shared" si="57"/>
        <v>111.17696542633234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277.99999999999994</v>
      </c>
      <c r="AJ121" s="13">
        <f>AI121*VLOOKUP('Données projet'!$B$10,Paramètres!$A$1:$I$89,3,0)*VLOOKUP('Données projet'!$B$10,Paramètres!$A$1:$I$89,5,0)</f>
        <v>151.78799999999998</v>
      </c>
      <c r="AK121" s="13">
        <f t="shared" si="89"/>
        <v>38.984634390835623</v>
      </c>
      <c r="AL121" s="20">
        <f t="shared" si="58"/>
        <v>332.26233823070532</v>
      </c>
      <c r="AM121" s="59">
        <f t="shared" si="59"/>
        <v>625.59567156403864</v>
      </c>
      <c r="AN121" s="59">
        <f ca="1">AVERAGE(OFFSET($AM$3,0,0,'Données projet'!$E$10+1,1))-AVERAGE(OFFSET($H$3,0,0,'Données projet'!$E$10+1,1))</f>
        <v>159.92263609041913</v>
      </c>
      <c r="AO121" s="59">
        <f t="shared" si="90"/>
        <v>271.78119133009307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6.4248536192691104</v>
      </c>
      <c r="AV121" s="21">
        <f>EXP(-LN(2)/25)*AV120+(1-EXP(-LN(2)/25))/(LN(2)/25)*Calculateur!AQ121*Calculateur!AS121*VLOOKUP('Données projet'!$B$10,Paramètres!$A$1:$I$89,3,0)*0.475*44/12</f>
        <v>8.3720770308496704</v>
      </c>
      <c r="AW121" s="21">
        <f>EXP(-LN(2)/2)*AW120+(1-EXP(-LN(2)/2))/(LN(2)/2)*AQ121*AT121*VLOOKUP('Données projet'!$B$10,Paramètres!$A$1:$I$89,3,0)*0.475*44/12</f>
        <v>1.4413110175846518E-15</v>
      </c>
      <c r="AX121" s="21">
        <f t="shared" si="60"/>
        <v>14.796930650118783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243</v>
      </c>
      <c r="BE121" s="13">
        <f>BD121*VLOOKUP('Données projet'!$B$11,Paramètres!$A$1:$I$89,3,0)*VLOOKUP('Données projet'!$B$11,Paramètres!$A$1:$I$89,5,0)</f>
        <v>212.28480000000002</v>
      </c>
      <c r="BF121" s="13">
        <f t="shared" si="91"/>
        <v>52.434557099704193</v>
      </c>
      <c r="BG121" s="20">
        <f t="shared" si="61"/>
        <v>461.05288028198476</v>
      </c>
      <c r="BH121" s="59">
        <f t="shared" si="62"/>
        <v>754.38621361531807</v>
      </c>
      <c r="BI121" s="59">
        <f ca="1">AVERAGE(OFFSET($BH$3,0,0,'Données projet'!$E$11+1,1))-AVERAGE(OFFSET($H$3,0,0,'Données projet'!$E$11+1,1))</f>
        <v>268.27008134105046</v>
      </c>
      <c r="BJ121" s="59">
        <f t="shared" si="92"/>
        <v>252.36274686619709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39.305005898977591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39.305005898977591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0.8600000000003547</v>
      </c>
      <c r="O122" s="13">
        <f>N122*VLOOKUP('Données projet'!$B$9,Paramètres!$A$1:$I$89,3,0)*VLOOKUP('Données projet'!$B$9,Paramètres!$A$1:$I$89,5,0)</f>
        <v>0.48074000000019829</v>
      </c>
      <c r="P122" s="13">
        <f t="shared" si="87"/>
        <v>0.24126147010950588</v>
      </c>
      <c r="Q122" s="20">
        <f t="shared" si="107"/>
        <v>1.2574858937744013</v>
      </c>
      <c r="R122" s="59">
        <f t="shared" si="55"/>
        <v>294.59081922710772</v>
      </c>
      <c r="S122" s="59">
        <f ca="1">AVERAGE(OFFSET($R$3,0,0,'Données projet'!$E$9+1,1))-AVERAGE(OFFSET($H$3,0,0,'Données projet'!$E$9+1,1))</f>
        <v>350.01600895263641</v>
      </c>
      <c r="T122" s="59">
        <f t="shared" si="88"/>
        <v>464.08921044376882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104.67492589979699</v>
      </c>
      <c r="AA122" s="21">
        <f>EXP(-LN(2)/25)*AA121+(1-EXP(-LN(2)/25))/(LN(2)/25)*Calculateur!V122*Calculateur!X122*VLOOKUP('Données projet'!$B$9,Paramètres!$A$1:$I$89,3,0)*0.475*44/12</f>
        <v>4.2878253634938535</v>
      </c>
      <c r="AB122" s="21">
        <f>EXP(-LN(2)/2)*AB121+(1-EXP(-LN(2)/2))/(LN(2)/2)*V122*Y122*VLOOKUP('Données projet'!$B$9,Paramètres!$A$1:$I$89,3,0)*0.475*44/12</f>
        <v>2.9740637253294856E-14</v>
      </c>
      <c r="AC122" s="22">
        <f t="shared" si="57"/>
        <v>108.96275126329087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277.99999999999994</v>
      </c>
      <c r="AJ122" s="13">
        <f>AI122*VLOOKUP('Données projet'!$B$10,Paramètres!$A$1:$I$89,3,0)*VLOOKUP('Données projet'!$B$10,Paramètres!$A$1:$I$89,5,0)</f>
        <v>151.78799999999998</v>
      </c>
      <c r="AK122" s="13">
        <f t="shared" si="89"/>
        <v>38.984634390835623</v>
      </c>
      <c r="AL122" s="20">
        <f t="shared" si="58"/>
        <v>332.26233823070532</v>
      </c>
      <c r="AM122" s="59">
        <f t="shared" si="59"/>
        <v>625.59567156403864</v>
      </c>
      <c r="AN122" s="59">
        <f ca="1">AVERAGE(OFFSET($AM$3,0,0,'Données projet'!$E$10+1,1))-AVERAGE(OFFSET($H$3,0,0,'Données projet'!$E$10+1,1))</f>
        <v>159.92263609041913</v>
      </c>
      <c r="AO122" s="59">
        <f t="shared" si="90"/>
        <v>271.78119133009307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6.2988661585690044</v>
      </c>
      <c r="AV122" s="21">
        <f>EXP(-LN(2)/25)*AV121+(1-EXP(-LN(2)/25))/(LN(2)/25)*Calculateur!AQ122*Calculateur!AS122*VLOOKUP('Données projet'!$B$10,Paramètres!$A$1:$I$89,3,0)*0.475*44/12</f>
        <v>8.143142144172689</v>
      </c>
      <c r="AW122" s="21">
        <f>EXP(-LN(2)/2)*AW121+(1-EXP(-LN(2)/2))/(LN(2)/2)*AQ122*AT122*VLOOKUP('Données projet'!$B$10,Paramètres!$A$1:$I$89,3,0)*0.475*44/12</f>
        <v>1.0191607943329905E-15</v>
      </c>
      <c r="AX122" s="21">
        <f t="shared" si="60"/>
        <v>14.442008302741696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243</v>
      </c>
      <c r="BE122" s="13">
        <f>BD122*VLOOKUP('Données projet'!$B$11,Paramètres!$A$1:$I$89,3,0)*VLOOKUP('Données projet'!$B$11,Paramètres!$A$1:$I$89,5,0)</f>
        <v>212.28480000000002</v>
      </c>
      <c r="BF122" s="13">
        <f t="shared" si="91"/>
        <v>52.434557099704193</v>
      </c>
      <c r="BG122" s="20">
        <f t="shared" si="61"/>
        <v>461.05288028198476</v>
      </c>
      <c r="BH122" s="59">
        <f t="shared" si="62"/>
        <v>754.38621361531807</v>
      </c>
      <c r="BI122" s="59">
        <f ca="1">AVERAGE(OFFSET($BH$3,0,0,'Données projet'!$E$11+1,1))-AVERAGE(OFFSET($H$3,0,0,'Données projet'!$E$11+1,1))</f>
        <v>268.27008134105046</v>
      </c>
      <c r="BJ122" s="59">
        <f t="shared" si="92"/>
        <v>252.36274686619709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38.534258706985035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38.534258706985035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0.8600000000003547</v>
      </c>
      <c r="O123" s="13">
        <f>N123*VLOOKUP('Données projet'!$B$9,Paramètres!$A$1:$I$89,3,0)*VLOOKUP('Données projet'!$B$9,Paramètres!$A$1:$I$89,5,0)</f>
        <v>0.48074000000019829</v>
      </c>
      <c r="P123" s="13">
        <f t="shared" si="87"/>
        <v>0.24126147010950588</v>
      </c>
      <c r="Q123" s="20">
        <f t="shared" si="107"/>
        <v>1.2574858937744013</v>
      </c>
      <c r="R123" s="59">
        <f t="shared" si="55"/>
        <v>294.59081922710772</v>
      </c>
      <c r="S123" s="59">
        <f ca="1">AVERAGE(OFFSET($R$3,0,0,'Données projet'!$E$9+1,1))-AVERAGE(OFFSET($H$3,0,0,'Données projet'!$E$9+1,1))</f>
        <v>350.01600895263641</v>
      </c>
      <c r="T123" s="59">
        <f t="shared" si="88"/>
        <v>464.08921044376882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102.62231444830256</v>
      </c>
      <c r="AA123" s="21">
        <f>EXP(-LN(2)/25)*AA122+(1-EXP(-LN(2)/25))/(LN(2)/25)*Calculateur!V123*Calculateur!X123*VLOOKUP('Données projet'!$B$9,Paramètres!$A$1:$I$89,3,0)*0.475*44/12</f>
        <v>4.1705745534421785</v>
      </c>
      <c r="AB123" s="21">
        <f>EXP(-LN(2)/2)*AB122+(1-EXP(-LN(2)/2))/(LN(2)/2)*V123*Y123*VLOOKUP('Données projet'!$B$9,Paramètres!$A$1:$I$89,3,0)*0.475*44/12</f>
        <v>2.102980627861405E-14</v>
      </c>
      <c r="AC123" s="22">
        <f t="shared" si="57"/>
        <v>106.79288900174475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277.99999999999994</v>
      </c>
      <c r="AJ123" s="13">
        <f>AI123*VLOOKUP('Données projet'!$B$10,Paramètres!$A$1:$I$89,3,0)*VLOOKUP('Données projet'!$B$10,Paramètres!$A$1:$I$89,5,0)</f>
        <v>151.78799999999998</v>
      </c>
      <c r="AK123" s="13">
        <f t="shared" si="89"/>
        <v>38.984634390835623</v>
      </c>
      <c r="AL123" s="20">
        <f t="shared" si="58"/>
        <v>332.26233823070532</v>
      </c>
      <c r="AM123" s="59">
        <f t="shared" si="59"/>
        <v>625.59567156403864</v>
      </c>
      <c r="AN123" s="59">
        <f ca="1">AVERAGE(OFFSET($AM$3,0,0,'Données projet'!$E$10+1,1))-AVERAGE(OFFSET($H$3,0,0,'Données projet'!$E$10+1,1))</f>
        <v>159.92263609041913</v>
      </c>
      <c r="AO123" s="59">
        <f t="shared" si="90"/>
        <v>271.78119133009307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6.175349235128464</v>
      </c>
      <c r="AV123" s="21">
        <f>EXP(-LN(2)/25)*AV122+(1-EXP(-LN(2)/25))/(LN(2)/25)*Calculateur!AQ123*Calculateur!AS123*VLOOKUP('Données projet'!$B$10,Paramètres!$A$1:$I$89,3,0)*0.475*44/12</f>
        <v>7.9204674940110529</v>
      </c>
      <c r="AW123" s="21">
        <f>EXP(-LN(2)/2)*AW122+(1-EXP(-LN(2)/2))/(LN(2)/2)*AQ123*AT123*VLOOKUP('Données projet'!$B$10,Paramètres!$A$1:$I$89,3,0)*0.475*44/12</f>
        <v>7.2065550879232592E-16</v>
      </c>
      <c r="AX123" s="21">
        <f t="shared" si="60"/>
        <v>14.095816729139518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243</v>
      </c>
      <c r="BE123" s="13">
        <f>BD123*VLOOKUP('Données projet'!$B$11,Paramètres!$A$1:$I$89,3,0)*VLOOKUP('Données projet'!$B$11,Paramètres!$A$1:$I$89,5,0)</f>
        <v>212.28480000000002</v>
      </c>
      <c r="BF123" s="13">
        <f t="shared" si="91"/>
        <v>52.434557099704193</v>
      </c>
      <c r="BG123" s="20">
        <f t="shared" si="61"/>
        <v>461.05288028198476</v>
      </c>
      <c r="BH123" s="59">
        <f t="shared" si="62"/>
        <v>754.38621361531807</v>
      </c>
      <c r="BI123" s="59">
        <f ca="1">AVERAGE(OFFSET($BH$3,0,0,'Données projet'!$E$11+1,1))-AVERAGE(OFFSET($H$3,0,0,'Données projet'!$E$11+1,1))</f>
        <v>268.27008134105046</v>
      </c>
      <c r="BJ123" s="59">
        <f t="shared" si="92"/>
        <v>252.36274686619709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37.778625397318088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37.778625397318088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0.8600000000003547</v>
      </c>
      <c r="O124" s="13">
        <f>N124*VLOOKUP('Données projet'!$B$9,Paramètres!$A$1:$I$89,3,0)*VLOOKUP('Données projet'!$B$9,Paramètres!$A$1:$I$89,5,0)</f>
        <v>0.48074000000019829</v>
      </c>
      <c r="P124" s="13">
        <f t="shared" si="87"/>
        <v>0.24126147010950588</v>
      </c>
      <c r="Q124" s="20">
        <f t="shared" si="107"/>
        <v>1.2574858937744013</v>
      </c>
      <c r="R124" s="59">
        <f t="shared" si="55"/>
        <v>294.59081922710772</v>
      </c>
      <c r="S124" s="59">
        <f ca="1">AVERAGE(OFFSET($R$3,0,0,'Données projet'!$E$9+1,1))-AVERAGE(OFFSET($H$3,0,0,'Données projet'!$E$9+1,1))</f>
        <v>350.01600895263641</v>
      </c>
      <c r="T124" s="59">
        <f t="shared" si="88"/>
        <v>464.08921044376882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100.60995345540258</v>
      </c>
      <c r="AA124" s="21">
        <f>EXP(-LN(2)/25)*AA123+(1-EXP(-LN(2)/25))/(LN(2)/25)*Calculateur!V124*Calculateur!X124*VLOOKUP('Données projet'!$B$9,Paramètres!$A$1:$I$89,3,0)*0.475*44/12</f>
        <v>4.0565299729573185</v>
      </c>
      <c r="AB124" s="21">
        <f>EXP(-LN(2)/2)*AB123+(1-EXP(-LN(2)/2))/(LN(2)/2)*V124*Y124*VLOOKUP('Données projet'!$B$9,Paramètres!$A$1:$I$89,3,0)*0.475*44/12</f>
        <v>1.4870318626647428E-14</v>
      </c>
      <c r="AC124" s="22">
        <f t="shared" si="57"/>
        <v>104.66648342835991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277.99999999999994</v>
      </c>
      <c r="AJ124" s="13">
        <f>AI124*VLOOKUP('Données projet'!$B$10,Paramètres!$A$1:$I$89,3,0)*VLOOKUP('Données projet'!$B$10,Paramètres!$A$1:$I$89,5,0)</f>
        <v>151.78799999999998</v>
      </c>
      <c r="AK124" s="13">
        <f t="shared" si="89"/>
        <v>38.984634390835623</v>
      </c>
      <c r="AL124" s="20">
        <f t="shared" si="58"/>
        <v>332.26233823070532</v>
      </c>
      <c r="AM124" s="59">
        <f t="shared" si="59"/>
        <v>625.59567156403864</v>
      </c>
      <c r="AN124" s="59">
        <f ca="1">AVERAGE(OFFSET($AM$3,0,0,'Données projet'!$E$10+1,1))-AVERAGE(OFFSET($H$3,0,0,'Données projet'!$E$10+1,1))</f>
        <v>159.92263609041913</v>
      </c>
      <c r="AO124" s="59">
        <f t="shared" si="90"/>
        <v>271.78119133009307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6.0542544032187084</v>
      </c>
      <c r="AV124" s="21">
        <f>EXP(-LN(2)/25)*AV123+(1-EXP(-LN(2)/25))/(LN(2)/25)*Calculateur!AQ124*Calculateur!AS124*VLOOKUP('Données projet'!$B$10,Paramètres!$A$1:$I$89,3,0)*0.475*44/12</f>
        <v>7.7038818938680373</v>
      </c>
      <c r="AW124" s="21">
        <f>EXP(-LN(2)/2)*AW123+(1-EXP(-LN(2)/2))/(LN(2)/2)*AQ124*AT124*VLOOKUP('Données projet'!$B$10,Paramètres!$A$1:$I$89,3,0)*0.475*44/12</f>
        <v>5.0958039716649526E-16</v>
      </c>
      <c r="AX124" s="21">
        <f t="shared" si="60"/>
        <v>13.758136297086747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243</v>
      </c>
      <c r="BE124" s="13">
        <f>BD124*VLOOKUP('Données projet'!$B$11,Paramètres!$A$1:$I$89,3,0)*VLOOKUP('Données projet'!$B$11,Paramètres!$A$1:$I$89,5,0)</f>
        <v>212.28480000000002</v>
      </c>
      <c r="BF124" s="13">
        <f t="shared" si="91"/>
        <v>52.434557099704193</v>
      </c>
      <c r="BG124" s="20">
        <f t="shared" si="61"/>
        <v>461.05288028198476</v>
      </c>
      <c r="BH124" s="59">
        <f t="shared" si="62"/>
        <v>754.38621361531807</v>
      </c>
      <c r="BI124" s="59">
        <f ca="1">AVERAGE(OFFSET($BH$3,0,0,'Données projet'!$E$11+1,1))-AVERAGE(OFFSET($H$3,0,0,'Données projet'!$E$11+1,1))</f>
        <v>268.27008134105046</v>
      </c>
      <c r="BJ124" s="59">
        <f t="shared" si="92"/>
        <v>252.36274686619709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37.037809595962898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37.037809595962898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0.8600000000003547</v>
      </c>
      <c r="O125" s="13">
        <f>N125*VLOOKUP('Données projet'!$B$9,Paramètres!$A$1:$I$89,3,0)*VLOOKUP('Données projet'!$B$9,Paramètres!$A$1:$I$89,5,0)</f>
        <v>0.48074000000019829</v>
      </c>
      <c r="P125" s="13">
        <f t="shared" si="87"/>
        <v>0.24126147010950588</v>
      </c>
      <c r="Q125" s="20">
        <f t="shared" si="107"/>
        <v>1.2574858937744013</v>
      </c>
      <c r="R125" s="59">
        <f t="shared" si="55"/>
        <v>294.59081922710772</v>
      </c>
      <c r="S125" s="59">
        <f ca="1">AVERAGE(OFFSET($R$3,0,0,'Données projet'!$E$9+1,1))-AVERAGE(OFFSET($H$3,0,0,'Données projet'!$E$9+1,1))</f>
        <v>350.01600895263641</v>
      </c>
      <c r="T125" s="59">
        <f t="shared" si="88"/>
        <v>464.08921044376882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98.637053634154341</v>
      </c>
      <c r="AA125" s="21">
        <f>EXP(-LN(2)/25)*AA124+(1-EXP(-LN(2)/25))/(LN(2)/25)*Calculateur!V125*Calculateur!X125*VLOOKUP('Données projet'!$B$9,Paramètres!$A$1:$I$89,3,0)*0.475*44/12</f>
        <v>3.9456039475231606</v>
      </c>
      <c r="AB125" s="21">
        <f>EXP(-LN(2)/2)*AB124+(1-EXP(-LN(2)/2))/(LN(2)/2)*V125*Y125*VLOOKUP('Données projet'!$B$9,Paramètres!$A$1:$I$89,3,0)*0.475*44/12</f>
        <v>1.0514903139307025E-14</v>
      </c>
      <c r="AC125" s="22">
        <f t="shared" si="57"/>
        <v>102.58265758167751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277.99999999999994</v>
      </c>
      <c r="AJ125" s="13">
        <f>AI125*VLOOKUP('Données projet'!$B$10,Paramètres!$A$1:$I$89,3,0)*VLOOKUP('Données projet'!$B$10,Paramètres!$A$1:$I$89,5,0)</f>
        <v>151.78799999999998</v>
      </c>
      <c r="AK125" s="13">
        <f t="shared" si="89"/>
        <v>38.984634390835623</v>
      </c>
      <c r="AL125" s="20">
        <f t="shared" si="58"/>
        <v>332.26233823070532</v>
      </c>
      <c r="AM125" s="59">
        <f t="shared" si="59"/>
        <v>625.59567156403864</v>
      </c>
      <c r="AN125" s="59">
        <f ca="1">AVERAGE(OFFSET($AM$3,0,0,'Données projet'!$E$10+1,1))-AVERAGE(OFFSET($H$3,0,0,'Données projet'!$E$10+1,1))</f>
        <v>159.92263609041913</v>
      </c>
      <c r="AO125" s="59">
        <f t="shared" si="90"/>
        <v>271.78119133009307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5.9355341671021487</v>
      </c>
      <c r="AV125" s="21">
        <f>EXP(-LN(2)/25)*AV124+(1-EXP(-LN(2)/25))/(LN(2)/25)*Calculateur!AQ125*Calculateur!AS125*VLOOKUP('Données projet'!$B$10,Paramètres!$A$1:$I$89,3,0)*0.475*44/12</f>
        <v>7.4932188383506748</v>
      </c>
      <c r="AW125" s="21">
        <f>EXP(-LN(2)/2)*AW124+(1-EXP(-LN(2)/2))/(LN(2)/2)*AQ125*AT125*VLOOKUP('Données projet'!$B$10,Paramètres!$A$1:$I$89,3,0)*0.475*44/12</f>
        <v>3.6032775439616296E-16</v>
      </c>
      <c r="AX125" s="21">
        <f t="shared" si="60"/>
        <v>13.428753005452823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243</v>
      </c>
      <c r="BE125" s="13">
        <f>BD125*VLOOKUP('Données projet'!$B$11,Paramètres!$A$1:$I$89,3,0)*VLOOKUP('Données projet'!$B$11,Paramètres!$A$1:$I$89,5,0)</f>
        <v>212.28480000000002</v>
      </c>
      <c r="BF125" s="13">
        <f t="shared" si="91"/>
        <v>52.434557099704193</v>
      </c>
      <c r="BG125" s="20">
        <f t="shared" si="61"/>
        <v>461.05288028198476</v>
      </c>
      <c r="BH125" s="59">
        <f t="shared" si="62"/>
        <v>754.38621361531807</v>
      </c>
      <c r="BI125" s="59">
        <f ca="1">AVERAGE(OFFSET($BH$3,0,0,'Données projet'!$E$11+1,1))-AVERAGE(OFFSET($H$3,0,0,'Données projet'!$E$11+1,1))</f>
        <v>268.27008134105046</v>
      </c>
      <c r="BJ125" s="59">
        <f t="shared" si="92"/>
        <v>252.36274686619709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36.311520740619258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36.311520740619258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0.8600000000003547</v>
      </c>
      <c r="O126" s="13">
        <f>N126*VLOOKUP('Données projet'!$B$9,Paramètres!$A$1:$I$89,3,0)*VLOOKUP('Données projet'!$B$9,Paramètres!$A$1:$I$89,5,0)</f>
        <v>0.48074000000019829</v>
      </c>
      <c r="P126" s="13">
        <f t="shared" si="87"/>
        <v>0.24126147010950588</v>
      </c>
      <c r="Q126" s="20">
        <f t="shared" si="107"/>
        <v>1.2574858937744013</v>
      </c>
      <c r="R126" s="59">
        <f t="shared" si="55"/>
        <v>294.59081922710772</v>
      </c>
      <c r="S126" s="59">
        <f ca="1">AVERAGE(OFFSET($R$3,0,0,'Données projet'!$E$9+1,1))-AVERAGE(OFFSET($H$3,0,0,'Données projet'!$E$9+1,1))</f>
        <v>350.01600895263641</v>
      </c>
      <c r="T126" s="59">
        <f t="shared" si="88"/>
        <v>464.08921044376882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96.702841175050722</v>
      </c>
      <c r="AA126" s="21">
        <f>EXP(-LN(2)/25)*AA125+(1-EXP(-LN(2)/25))/(LN(2)/25)*Calculateur!V126*Calculateur!X126*VLOOKUP('Données projet'!$B$9,Paramètres!$A$1:$I$89,3,0)*0.475*44/12</f>
        <v>3.8377112000878459</v>
      </c>
      <c r="AB126" s="21">
        <f>EXP(-LN(2)/2)*AB125+(1-EXP(-LN(2)/2))/(LN(2)/2)*V126*Y126*VLOOKUP('Données projet'!$B$9,Paramètres!$A$1:$I$89,3,0)*0.475*44/12</f>
        <v>7.435159313323714E-15</v>
      </c>
      <c r="AC126" s="22">
        <f t="shared" si="57"/>
        <v>100.54055237513859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277.99999999999994</v>
      </c>
      <c r="AJ126" s="13">
        <f>AI126*VLOOKUP('Données projet'!$B$10,Paramètres!$A$1:$I$89,3,0)*VLOOKUP('Données projet'!$B$10,Paramètres!$A$1:$I$89,5,0)</f>
        <v>151.78799999999998</v>
      </c>
      <c r="AK126" s="13">
        <f t="shared" si="89"/>
        <v>38.984634390835623</v>
      </c>
      <c r="AL126" s="20">
        <f t="shared" si="58"/>
        <v>332.26233823070532</v>
      </c>
      <c r="AM126" s="59">
        <f t="shared" si="59"/>
        <v>625.59567156403864</v>
      </c>
      <c r="AN126" s="59">
        <f ca="1">AVERAGE(OFFSET($AM$3,0,0,'Données projet'!$E$10+1,1))-AVERAGE(OFFSET($H$3,0,0,'Données projet'!$E$10+1,1))</f>
        <v>159.92263609041913</v>
      </c>
      <c r="AO126" s="59">
        <f t="shared" si="90"/>
        <v>271.78119133009307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5.8191419624036405</v>
      </c>
      <c r="AV126" s="21">
        <f>EXP(-LN(2)/25)*AV125+(1-EXP(-LN(2)/25))/(LN(2)/25)*Calculateur!AQ126*Calculateur!AS126*VLOOKUP('Données projet'!$B$10,Paramètres!$A$1:$I$89,3,0)*0.475*44/12</f>
        <v>7.2883163751647233</v>
      </c>
      <c r="AW126" s="21">
        <f>EXP(-LN(2)/2)*AW125+(1-EXP(-LN(2)/2))/(LN(2)/2)*AQ126*AT126*VLOOKUP('Données projet'!$B$10,Paramètres!$A$1:$I$89,3,0)*0.475*44/12</f>
        <v>2.5479019858324763E-16</v>
      </c>
      <c r="AX126" s="21">
        <f t="shared" si="60"/>
        <v>13.107458337568364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243</v>
      </c>
      <c r="BE126" s="13">
        <f>BD126*VLOOKUP('Données projet'!$B$11,Paramètres!$A$1:$I$89,3,0)*VLOOKUP('Données projet'!$B$11,Paramètres!$A$1:$I$89,5,0)</f>
        <v>212.28480000000002</v>
      </c>
      <c r="BF126" s="13">
        <f t="shared" si="91"/>
        <v>52.434557099704193</v>
      </c>
      <c r="BG126" s="20">
        <f t="shared" si="61"/>
        <v>461.05288028198476</v>
      </c>
      <c r="BH126" s="59">
        <f t="shared" si="62"/>
        <v>754.38621361531807</v>
      </c>
      <c r="BI126" s="59">
        <f ca="1">AVERAGE(OFFSET($BH$3,0,0,'Données projet'!$E$11+1,1))-AVERAGE(OFFSET($H$3,0,0,'Données projet'!$E$11+1,1))</f>
        <v>268.27008134105046</v>
      </c>
      <c r="BJ126" s="59">
        <f t="shared" si="92"/>
        <v>252.36274686619709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35.599473966736447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35.599473966736447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0.8600000000003547</v>
      </c>
      <c r="O127" s="13">
        <f>N127*VLOOKUP('Données projet'!$B$9,Paramètres!$A$1:$I$89,3,0)*VLOOKUP('Données projet'!$B$9,Paramètres!$A$1:$I$89,5,0)</f>
        <v>0.48074000000019829</v>
      </c>
      <c r="P127" s="13">
        <f t="shared" si="87"/>
        <v>0.24126147010950588</v>
      </c>
      <c r="Q127" s="20">
        <f t="shared" si="107"/>
        <v>1.2574858937744013</v>
      </c>
      <c r="R127" s="59">
        <f t="shared" si="55"/>
        <v>294.59081922710772</v>
      </c>
      <c r="S127" s="59">
        <f ca="1">AVERAGE(OFFSET($R$3,0,0,'Données projet'!$E$9+1,1))-AVERAGE(OFFSET($H$3,0,0,'Données projet'!$E$9+1,1))</f>
        <v>350.01600895263641</v>
      </c>
      <c r="T127" s="59">
        <f t="shared" si="88"/>
        <v>464.08921044376882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94.806557442517018</v>
      </c>
      <c r="AA127" s="21">
        <f>EXP(-LN(2)/25)*AA126+(1-EXP(-LN(2)/25))/(LN(2)/25)*Calculateur!V127*Calculateur!X127*VLOOKUP('Données projet'!$B$9,Paramètres!$A$1:$I$89,3,0)*0.475*44/12</f>
        <v>3.7327687855049829</v>
      </c>
      <c r="AB127" s="21">
        <f>EXP(-LN(2)/2)*AB126+(1-EXP(-LN(2)/2))/(LN(2)/2)*V127*Y127*VLOOKUP('Données projet'!$B$9,Paramètres!$A$1:$I$89,3,0)*0.475*44/12</f>
        <v>5.2574515696535125E-15</v>
      </c>
      <c r="AC127" s="22">
        <f t="shared" si="57"/>
        <v>98.539326228022006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277.99999999999994</v>
      </c>
      <c r="AJ127" s="13">
        <f>AI127*VLOOKUP('Données projet'!$B$10,Paramètres!$A$1:$I$89,3,0)*VLOOKUP('Données projet'!$B$10,Paramètres!$A$1:$I$89,5,0)</f>
        <v>151.78799999999998</v>
      </c>
      <c r="AK127" s="13">
        <f t="shared" si="89"/>
        <v>38.984634390835623</v>
      </c>
      <c r="AL127" s="20">
        <f t="shared" si="58"/>
        <v>332.26233823070532</v>
      </c>
      <c r="AM127" s="59">
        <f t="shared" si="59"/>
        <v>625.59567156403864</v>
      </c>
      <c r="AN127" s="59">
        <f ca="1">AVERAGE(OFFSET($AM$3,0,0,'Données projet'!$E$10+1,1))-AVERAGE(OFFSET($H$3,0,0,'Données projet'!$E$10+1,1))</f>
        <v>159.92263609041913</v>
      </c>
      <c r="AO127" s="59">
        <f t="shared" si="90"/>
        <v>271.78119133009307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5.7050321378470352</v>
      </c>
      <c r="AV127" s="21">
        <f>EXP(-LN(2)/25)*AV126+(1-EXP(-LN(2)/25))/(LN(2)/25)*Calculateur!AQ127*Calculateur!AS127*VLOOKUP('Données projet'!$B$10,Paramètres!$A$1:$I$89,3,0)*0.475*44/12</f>
        <v>7.0890169806099435</v>
      </c>
      <c r="AW127" s="21">
        <f>EXP(-LN(2)/2)*AW126+(1-EXP(-LN(2)/2))/(LN(2)/2)*AQ127*AT127*VLOOKUP('Données projet'!$B$10,Paramètres!$A$1:$I$89,3,0)*0.475*44/12</f>
        <v>1.8016387719808148E-16</v>
      </c>
      <c r="AX127" s="21">
        <f t="shared" si="60"/>
        <v>12.794049118456979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243</v>
      </c>
      <c r="BE127" s="13">
        <f>BD127*VLOOKUP('Données projet'!$B$11,Paramètres!$A$1:$I$89,3,0)*VLOOKUP('Données projet'!$B$11,Paramètres!$A$1:$I$89,5,0)</f>
        <v>212.28480000000002</v>
      </c>
      <c r="BF127" s="13">
        <f t="shared" si="91"/>
        <v>52.434557099704193</v>
      </c>
      <c r="BG127" s="20">
        <f t="shared" si="61"/>
        <v>461.05288028198476</v>
      </c>
      <c r="BH127" s="59">
        <f t="shared" si="62"/>
        <v>754.38621361531807</v>
      </c>
      <c r="BI127" s="59">
        <f ca="1">AVERAGE(OFFSET($BH$3,0,0,'Données projet'!$E$11+1,1))-AVERAGE(OFFSET($H$3,0,0,'Données projet'!$E$11+1,1))</f>
        <v>268.27008134105046</v>
      </c>
      <c r="BJ127" s="59">
        <f t="shared" si="92"/>
        <v>252.36274686619709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34.90138999578383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34.90138999578383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0.8600000000003547</v>
      </c>
      <c r="O128" s="13">
        <f>N128*VLOOKUP('Données projet'!$B$9,Paramètres!$A$1:$I$89,3,0)*VLOOKUP('Données projet'!$B$9,Paramètres!$A$1:$I$89,5,0)</f>
        <v>0.48074000000019829</v>
      </c>
      <c r="P128" s="13">
        <f t="shared" si="87"/>
        <v>0.24126147010950588</v>
      </c>
      <c r="Q128" s="20">
        <f t="shared" si="107"/>
        <v>1.2574858937744013</v>
      </c>
      <c r="R128" s="59">
        <f t="shared" si="55"/>
        <v>294.59081922710772</v>
      </c>
      <c r="S128" s="59">
        <f ca="1">AVERAGE(OFFSET($R$3,0,0,'Données projet'!$E$9+1,1))-AVERAGE(OFFSET($H$3,0,0,'Données projet'!$E$9+1,1))</f>
        <v>350.01600895263641</v>
      </c>
      <c r="T128" s="59">
        <f t="shared" si="88"/>
        <v>464.08921044376882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92.947458677359421</v>
      </c>
      <c r="AA128" s="21">
        <f>EXP(-LN(2)/25)*AA127+(1-EXP(-LN(2)/25))/(LN(2)/25)*Calculateur!V128*Calculateur!X128*VLOOKUP('Données projet'!$B$9,Paramètres!$A$1:$I$89,3,0)*0.475*44/12</f>
        <v>3.6306960267675703</v>
      </c>
      <c r="AB128" s="21">
        <f>EXP(-LN(2)/2)*AB127+(1-EXP(-LN(2)/2))/(LN(2)/2)*V128*Y128*VLOOKUP('Données projet'!$B$9,Paramètres!$A$1:$I$89,3,0)*0.475*44/12</f>
        <v>3.717579656661857E-15</v>
      </c>
      <c r="AC128" s="22">
        <f t="shared" si="57"/>
        <v>96.578154704126987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277.99999999999994</v>
      </c>
      <c r="AJ128" s="13">
        <f>AI128*VLOOKUP('Données projet'!$B$10,Paramètres!$A$1:$I$89,3,0)*VLOOKUP('Données projet'!$B$10,Paramètres!$A$1:$I$89,5,0)</f>
        <v>151.78799999999998</v>
      </c>
      <c r="AK128" s="13">
        <f t="shared" si="89"/>
        <v>38.984634390835623</v>
      </c>
      <c r="AL128" s="20">
        <f t="shared" si="58"/>
        <v>332.26233823070532</v>
      </c>
      <c r="AM128" s="59">
        <f t="shared" si="59"/>
        <v>625.59567156403864</v>
      </c>
      <c r="AN128" s="59">
        <f ca="1">AVERAGE(OFFSET($AM$3,0,0,'Données projet'!$E$10+1,1))-AVERAGE(OFFSET($H$3,0,0,'Données projet'!$E$10+1,1))</f>
        <v>159.92263609041913</v>
      </c>
      <c r="AO128" s="59">
        <f t="shared" si="90"/>
        <v>271.78119133009307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5.5931599373498644</v>
      </c>
      <c r="AV128" s="21">
        <f>EXP(-LN(2)/25)*AV127+(1-EXP(-LN(2)/25))/(LN(2)/25)*Calculateur!AQ128*Calculateur!AS128*VLOOKUP('Données projet'!$B$10,Paramètres!$A$1:$I$89,3,0)*0.475*44/12</f>
        <v>6.8951674384799633</v>
      </c>
      <c r="AW128" s="21">
        <f>EXP(-LN(2)/2)*AW127+(1-EXP(-LN(2)/2))/(LN(2)/2)*AQ128*AT128*VLOOKUP('Données projet'!$B$10,Paramètres!$A$1:$I$89,3,0)*0.475*44/12</f>
        <v>1.2739509929162382E-16</v>
      </c>
      <c r="AX128" s="21">
        <f t="shared" si="60"/>
        <v>12.488327375829828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243</v>
      </c>
      <c r="BE128" s="13">
        <f>BD128*VLOOKUP('Données projet'!$B$11,Paramètres!$A$1:$I$89,3,0)*VLOOKUP('Données projet'!$B$11,Paramètres!$A$1:$I$89,5,0)</f>
        <v>212.28480000000002</v>
      </c>
      <c r="BF128" s="13">
        <f t="shared" si="91"/>
        <v>52.434557099704193</v>
      </c>
      <c r="BG128" s="20">
        <f t="shared" si="61"/>
        <v>461.05288028198476</v>
      </c>
      <c r="BH128" s="59">
        <f t="shared" si="62"/>
        <v>754.38621361531807</v>
      </c>
      <c r="BI128" s="59">
        <f ca="1">AVERAGE(OFFSET($BH$3,0,0,'Données projet'!$E$11+1,1))-AVERAGE(OFFSET($H$3,0,0,'Données projet'!$E$11+1,1))</f>
        <v>268.27008134105046</v>
      </c>
      <c r="BJ128" s="59">
        <f t="shared" si="92"/>
        <v>252.36274686619709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34.216995025712414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34.216995025712414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0.8600000000003547</v>
      </c>
      <c r="O129" s="13">
        <f>N129*VLOOKUP('Données projet'!$B$9,Paramètres!$A$1:$I$89,3,0)*VLOOKUP('Données projet'!$B$9,Paramètres!$A$1:$I$89,5,0)</f>
        <v>0.48074000000019829</v>
      </c>
      <c r="P129" s="13">
        <f t="shared" si="87"/>
        <v>0.24126147010950588</v>
      </c>
      <c r="Q129" s="20">
        <f t="shared" si="107"/>
        <v>1.2574858937744013</v>
      </c>
      <c r="R129" s="59">
        <f t="shared" si="55"/>
        <v>294.59081922710772</v>
      </c>
      <c r="S129" s="59">
        <f ca="1">AVERAGE(OFFSET($R$3,0,0,'Données projet'!$E$9+1,1))-AVERAGE(OFFSET($H$3,0,0,'Données projet'!$E$9+1,1))</f>
        <v>350.01600895263641</v>
      </c>
      <c r="T129" s="59">
        <f t="shared" si="88"/>
        <v>464.08921044376882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91.124815705048292</v>
      </c>
      <c r="AA129" s="21">
        <f>EXP(-LN(2)/25)*AA128+(1-EXP(-LN(2)/25))/(LN(2)/25)*Calculateur!V129*Calculateur!X129*VLOOKUP('Données projet'!$B$9,Paramètres!$A$1:$I$89,3,0)*0.475*44/12</f>
        <v>3.5314144529856053</v>
      </c>
      <c r="AB129" s="21">
        <f>EXP(-LN(2)/2)*AB128+(1-EXP(-LN(2)/2))/(LN(2)/2)*V129*Y129*VLOOKUP('Données projet'!$B$9,Paramètres!$A$1:$I$89,3,0)*0.475*44/12</f>
        <v>2.6287257848267563E-15</v>
      </c>
      <c r="AC129" s="22">
        <f t="shared" si="57"/>
        <v>94.656230158033893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277.99999999999994</v>
      </c>
      <c r="AJ129" s="13">
        <f>AI129*VLOOKUP('Données projet'!$B$10,Paramètres!$A$1:$I$89,3,0)*VLOOKUP('Données projet'!$B$10,Paramètres!$A$1:$I$89,5,0)</f>
        <v>151.78799999999998</v>
      </c>
      <c r="AK129" s="13">
        <f t="shared" si="89"/>
        <v>38.984634390835623</v>
      </c>
      <c r="AL129" s="20">
        <f t="shared" si="58"/>
        <v>332.26233823070532</v>
      </c>
      <c r="AM129" s="59">
        <f t="shared" si="59"/>
        <v>625.59567156403864</v>
      </c>
      <c r="AN129" s="59">
        <f ca="1">AVERAGE(OFFSET($AM$3,0,0,'Données projet'!$E$10+1,1))-AVERAGE(OFFSET($H$3,0,0,'Données projet'!$E$10+1,1))</f>
        <v>159.92263609041913</v>
      </c>
      <c r="AO129" s="59">
        <f t="shared" si="90"/>
        <v>271.78119133009307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5.4834814824691387</v>
      </c>
      <c r="AV129" s="21">
        <f>EXP(-LN(2)/25)*AV128+(1-EXP(-LN(2)/25))/(LN(2)/25)*Calculateur!AQ129*Calculateur!AS129*VLOOKUP('Données projet'!$B$10,Paramètres!$A$1:$I$89,3,0)*0.475*44/12</f>
        <v>6.7066187222736326</v>
      </c>
      <c r="AW129" s="21">
        <f>EXP(-LN(2)/2)*AW128+(1-EXP(-LN(2)/2))/(LN(2)/2)*AQ129*AT129*VLOOKUP('Données projet'!$B$10,Paramètres!$A$1:$I$89,3,0)*0.475*44/12</f>
        <v>9.008193859904074E-17</v>
      </c>
      <c r="AX129" s="21">
        <f t="shared" si="60"/>
        <v>12.190100204742771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243</v>
      </c>
      <c r="BE129" s="13">
        <f>BD129*VLOOKUP('Données projet'!$B$11,Paramètres!$A$1:$I$89,3,0)*VLOOKUP('Données projet'!$B$11,Paramètres!$A$1:$I$89,5,0)</f>
        <v>212.28480000000002</v>
      </c>
      <c r="BF129" s="13">
        <f t="shared" si="91"/>
        <v>52.434557099704193</v>
      </c>
      <c r="BG129" s="20">
        <f t="shared" si="61"/>
        <v>461.05288028198476</v>
      </c>
      <c r="BH129" s="59">
        <f t="shared" si="62"/>
        <v>754.38621361531807</v>
      </c>
      <c r="BI129" s="59">
        <f ca="1">AVERAGE(OFFSET($BH$3,0,0,'Données projet'!$E$11+1,1))-AVERAGE(OFFSET($H$3,0,0,'Données projet'!$E$11+1,1))</f>
        <v>268.27008134105046</v>
      </c>
      <c r="BJ129" s="59">
        <f t="shared" si="92"/>
        <v>252.36274686619709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33.546020623564388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33.546020623564388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0.8600000000003547</v>
      </c>
      <c r="O130" s="13">
        <f>N130*VLOOKUP('Données projet'!$B$9,Paramètres!$A$1:$I$89,3,0)*VLOOKUP('Données projet'!$B$9,Paramètres!$A$1:$I$89,5,0)</f>
        <v>0.48074000000019829</v>
      </c>
      <c r="P130" s="13">
        <f t="shared" si="87"/>
        <v>0.24126147010950588</v>
      </c>
      <c r="Q130" s="20">
        <f t="shared" si="107"/>
        <v>1.2574858937744013</v>
      </c>
      <c r="R130" s="59">
        <f t="shared" si="55"/>
        <v>294.59081922710772</v>
      </c>
      <c r="S130" s="59">
        <f ca="1">AVERAGE(OFFSET($R$3,0,0,'Données projet'!$E$9+1,1))-AVERAGE(OFFSET($H$3,0,0,'Données projet'!$E$9+1,1))</f>
        <v>350.01600895263641</v>
      </c>
      <c r="T130" s="59">
        <f t="shared" si="88"/>
        <v>464.08921044376882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89.337913649721742</v>
      </c>
      <c r="AA130" s="21">
        <f>EXP(-LN(2)/25)*AA129+(1-EXP(-LN(2)/25))/(LN(2)/25)*Calculateur!V130*Calculateur!X130*VLOOKUP('Données projet'!$B$9,Paramètres!$A$1:$I$89,3,0)*0.475*44/12</f>
        <v>3.4348477390596992</v>
      </c>
      <c r="AB130" s="21">
        <f>EXP(-LN(2)/2)*AB129+(1-EXP(-LN(2)/2))/(LN(2)/2)*V130*Y130*VLOOKUP('Données projet'!$B$9,Paramètres!$A$1:$I$89,3,0)*0.475*44/12</f>
        <v>1.8587898283309285E-15</v>
      </c>
      <c r="AC130" s="22">
        <f t="shared" si="57"/>
        <v>92.772761388781447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277.99999999999994</v>
      </c>
      <c r="AJ130" s="13">
        <f>AI130*VLOOKUP('Données projet'!$B$10,Paramètres!$A$1:$I$89,3,0)*VLOOKUP('Données projet'!$B$10,Paramètres!$A$1:$I$89,5,0)</f>
        <v>151.78799999999998</v>
      </c>
      <c r="AK130" s="13">
        <f t="shared" si="89"/>
        <v>38.984634390835623</v>
      </c>
      <c r="AL130" s="20">
        <f t="shared" si="58"/>
        <v>332.26233823070532</v>
      </c>
      <c r="AM130" s="59">
        <f t="shared" si="59"/>
        <v>625.59567156403864</v>
      </c>
      <c r="AN130" s="59">
        <f ca="1">AVERAGE(OFFSET($AM$3,0,0,'Données projet'!$E$10+1,1))-AVERAGE(OFFSET($H$3,0,0,'Données projet'!$E$10+1,1))</f>
        <v>159.92263609041913</v>
      </c>
      <c r="AO130" s="59">
        <f t="shared" si="90"/>
        <v>271.78119133009307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5.3759537551913716</v>
      </c>
      <c r="AV130" s="21">
        <f>EXP(-LN(2)/25)*AV129+(1-EXP(-LN(2)/25))/(LN(2)/25)*Calculateur!AQ130*Calculateur!AS130*VLOOKUP('Données projet'!$B$10,Paramètres!$A$1:$I$89,3,0)*0.475*44/12</f>
        <v>6.5232258806273098</v>
      </c>
      <c r="AW130" s="21">
        <f>EXP(-LN(2)/2)*AW129+(1-EXP(-LN(2)/2))/(LN(2)/2)*AQ130*AT130*VLOOKUP('Données projet'!$B$10,Paramètres!$A$1:$I$89,3,0)*0.475*44/12</f>
        <v>6.3697549645811908E-17</v>
      </c>
      <c r="AX130" s="21">
        <f t="shared" si="60"/>
        <v>11.899179635818681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243</v>
      </c>
      <c r="BE130" s="13">
        <f>BD130*VLOOKUP('Données projet'!$B$11,Paramètres!$A$1:$I$89,3,0)*VLOOKUP('Données projet'!$B$11,Paramètres!$A$1:$I$89,5,0)</f>
        <v>212.28480000000002</v>
      </c>
      <c r="BF130" s="13">
        <f t="shared" si="91"/>
        <v>52.434557099704193</v>
      </c>
      <c r="BG130" s="20">
        <f t="shared" si="61"/>
        <v>461.05288028198476</v>
      </c>
      <c r="BH130" s="59">
        <f t="shared" si="62"/>
        <v>754.38621361531807</v>
      </c>
      <c r="BI130" s="59">
        <f ca="1">AVERAGE(OFFSET($BH$3,0,0,'Données projet'!$E$11+1,1))-AVERAGE(OFFSET($H$3,0,0,'Données projet'!$E$11+1,1))</f>
        <v>268.27008134105046</v>
      </c>
      <c r="BJ130" s="59">
        <f t="shared" si="92"/>
        <v>252.36274686619709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32.888203620188513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32.888203620188513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0.8600000000003547</v>
      </c>
      <c r="O131" s="13">
        <f>N131*VLOOKUP('Données projet'!$B$9,Paramètres!$A$1:$I$89,3,0)*VLOOKUP('Données projet'!$B$9,Paramètres!$A$1:$I$89,5,0)</f>
        <v>0.48074000000019829</v>
      </c>
      <c r="P131" s="13">
        <f t="shared" si="87"/>
        <v>0.24126147010950588</v>
      </c>
      <c r="Q131" s="20">
        <f t="shared" ref="Q131:Q153" si="108">(O131+P131)*0.475*44/12</f>
        <v>1.2574858937744013</v>
      </c>
      <c r="R131" s="59">
        <f t="shared" ref="R131:R194" si="109">Q131+(I131+J131)*44/12</f>
        <v>294.59081922710772</v>
      </c>
      <c r="S131" s="59">
        <f ca="1">AVERAGE(OFFSET($R$3,0,0,'Données projet'!$E$9+1,1))-AVERAGE(OFFSET($H$3,0,0,'Données projet'!$E$9+1,1))</f>
        <v>350.01600895263641</v>
      </c>
      <c r="T131" s="59">
        <f t="shared" si="88"/>
        <v>464.08921044376882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87.586051653797512</v>
      </c>
      <c r="AA131" s="21">
        <f>EXP(-LN(2)/25)*AA130+(1-EXP(-LN(2)/25))/(LN(2)/25)*Calculateur!V131*Calculateur!X131*VLOOKUP('Données projet'!$B$9,Paramètres!$A$1:$I$89,3,0)*0.475*44/12</f>
        <v>3.3409216470043197</v>
      </c>
      <c r="AB131" s="21">
        <f>EXP(-LN(2)/2)*AB130+(1-EXP(-LN(2)/2))/(LN(2)/2)*V131*Y131*VLOOKUP('Données projet'!$B$9,Paramètres!$A$1:$I$89,3,0)*0.475*44/12</f>
        <v>1.3143628924133781E-15</v>
      </c>
      <c r="AC131" s="22">
        <f t="shared" si="57"/>
        <v>90.926973300801833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277.99999999999994</v>
      </c>
      <c r="AJ131" s="13">
        <f>AI131*VLOOKUP('Données projet'!$B$10,Paramètres!$A$1:$I$89,3,0)*VLOOKUP('Données projet'!$B$10,Paramètres!$A$1:$I$89,5,0)</f>
        <v>151.78799999999998</v>
      </c>
      <c r="AK131" s="13">
        <f t="shared" si="89"/>
        <v>38.984634390835623</v>
      </c>
      <c r="AL131" s="20">
        <f t="shared" si="58"/>
        <v>332.26233823070532</v>
      </c>
      <c r="AM131" s="59">
        <f t="shared" si="59"/>
        <v>625.59567156403864</v>
      </c>
      <c r="AN131" s="59">
        <f ca="1">AVERAGE(OFFSET($AM$3,0,0,'Données projet'!$E$10+1,1))-AVERAGE(OFFSET($H$3,0,0,'Données projet'!$E$10+1,1))</f>
        <v>159.92263609041913</v>
      </c>
      <c r="AO131" s="59">
        <f t="shared" si="90"/>
        <v>271.78119133009307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5.2705345810600841</v>
      </c>
      <c r="AV131" s="21">
        <f>EXP(-LN(2)/25)*AV130+(1-EXP(-LN(2)/25))/(LN(2)/25)*Calculateur!AQ131*Calculateur!AS131*VLOOKUP('Données projet'!$B$10,Paramètres!$A$1:$I$89,3,0)*0.475*44/12</f>
        <v>6.3448479258800159</v>
      </c>
      <c r="AW131" s="21">
        <f>EXP(-LN(2)/2)*AW130+(1-EXP(-LN(2)/2))/(LN(2)/2)*AQ131*AT131*VLOOKUP('Données projet'!$B$10,Paramètres!$A$1:$I$89,3,0)*0.475*44/12</f>
        <v>4.504096929952037E-17</v>
      </c>
      <c r="AX131" s="21">
        <f t="shared" si="60"/>
        <v>11.615382506940101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243</v>
      </c>
      <c r="BE131" s="13">
        <f>BD131*VLOOKUP('Données projet'!$B$11,Paramètres!$A$1:$I$89,3,0)*VLOOKUP('Données projet'!$B$11,Paramètres!$A$1:$I$89,5,0)</f>
        <v>212.28480000000002</v>
      </c>
      <c r="BF131" s="13">
        <f t="shared" si="91"/>
        <v>52.434557099704193</v>
      </c>
      <c r="BG131" s="20">
        <f t="shared" si="61"/>
        <v>461.05288028198476</v>
      </c>
      <c r="BH131" s="59">
        <f t="shared" si="62"/>
        <v>754.38621361531807</v>
      </c>
      <c r="BI131" s="59">
        <f ca="1">AVERAGE(OFFSET($BH$3,0,0,'Données projet'!$E$11+1,1))-AVERAGE(OFFSET($H$3,0,0,'Données projet'!$E$11+1,1))</f>
        <v>268.27008134105046</v>
      </c>
      <c r="BJ131" s="59">
        <f t="shared" si="92"/>
        <v>252.36274686619709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32.243286007020082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32.243286007020082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0.8600000000003547</v>
      </c>
      <c r="O132" s="13">
        <f>N132*VLOOKUP('Données projet'!$B$9,Paramètres!$A$1:$I$89,3,0)*VLOOKUP('Données projet'!$B$9,Paramètres!$A$1:$I$89,5,0)</f>
        <v>0.48074000000019829</v>
      </c>
      <c r="P132" s="13">
        <f t="shared" si="87"/>
        <v>0.24126147010950588</v>
      </c>
      <c r="Q132" s="20">
        <f t="shared" si="108"/>
        <v>1.2574858937744013</v>
      </c>
      <c r="R132" s="59">
        <f t="shared" si="109"/>
        <v>294.59081922710772</v>
      </c>
      <c r="S132" s="59">
        <f ca="1">AVERAGE(OFFSET($R$3,0,0,'Données projet'!$E$9+1,1))-AVERAGE(OFFSET($H$3,0,0,'Données projet'!$E$9+1,1))</f>
        <v>350.01600895263641</v>
      </c>
      <c r="T132" s="59">
        <f t="shared" si="88"/>
        <v>464.08921044376882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85.868542603083043</v>
      </c>
      <c r="AA132" s="21">
        <f>EXP(-LN(2)/25)*AA131+(1-EXP(-LN(2)/25))/(LN(2)/25)*Calculateur!V132*Calculateur!X132*VLOOKUP('Données projet'!$B$9,Paramètres!$A$1:$I$89,3,0)*0.475*44/12</f>
        <v>3.2495639688755529</v>
      </c>
      <c r="AB132" s="21">
        <f>EXP(-LN(2)/2)*AB131+(1-EXP(-LN(2)/2))/(LN(2)/2)*V132*Y132*VLOOKUP('Données projet'!$B$9,Paramètres!$A$1:$I$89,3,0)*0.475*44/12</f>
        <v>9.2939491416546425E-16</v>
      </c>
      <c r="AC132" s="22">
        <f t="shared" ref="AC132:AC153" si="111">SUM(Z132:AB132)</f>
        <v>89.118106571958592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277.99999999999994</v>
      </c>
      <c r="AJ132" s="13">
        <f>AI132*VLOOKUP('Données projet'!$B$10,Paramètres!$A$1:$I$89,3,0)*VLOOKUP('Données projet'!$B$10,Paramètres!$A$1:$I$89,5,0)</f>
        <v>151.78799999999998</v>
      </c>
      <c r="AK132" s="13">
        <f t="shared" si="89"/>
        <v>38.984634390835623</v>
      </c>
      <c r="AL132" s="20">
        <f t="shared" ref="AL132:AL153" si="112">(AJ132+AK132)*0.475*44/12</f>
        <v>332.26233823070532</v>
      </c>
      <c r="AM132" s="59">
        <f t="shared" ref="AM132:AM195" si="113">AL132+(AD132+AE132)*44/12</f>
        <v>625.59567156403864</v>
      </c>
      <c r="AN132" s="59">
        <f ca="1">AVERAGE(OFFSET($AM$3,0,0,'Données projet'!$E$10+1,1))-AVERAGE(OFFSET($H$3,0,0,'Données projet'!$E$10+1,1))</f>
        <v>159.92263609041913</v>
      </c>
      <c r="AO132" s="59">
        <f t="shared" si="90"/>
        <v>271.78119133009307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5.1671826126341642</v>
      </c>
      <c r="AV132" s="21">
        <f>EXP(-LN(2)/25)*AV131+(1-EXP(-LN(2)/25))/(LN(2)/25)*Calculateur!AQ132*Calculateur!AS132*VLOOKUP('Données projet'!$B$10,Paramètres!$A$1:$I$89,3,0)*0.475*44/12</f>
        <v>6.1713477256857754</v>
      </c>
      <c r="AW132" s="21">
        <f>EXP(-LN(2)/2)*AW131+(1-EXP(-LN(2)/2))/(LN(2)/2)*AQ132*AT132*VLOOKUP('Données projet'!$B$10,Paramètres!$A$1:$I$89,3,0)*0.475*44/12</f>
        <v>3.1848774822905954E-17</v>
      </c>
      <c r="AX132" s="21">
        <f t="shared" ref="AX132:AX153" si="114">SUM(AU132:AW132)</f>
        <v>11.33853033831994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243</v>
      </c>
      <c r="BE132" s="13">
        <f>BD132*VLOOKUP('Données projet'!$B$11,Paramètres!$A$1:$I$89,3,0)*VLOOKUP('Données projet'!$B$11,Paramètres!$A$1:$I$89,5,0)</f>
        <v>212.28480000000002</v>
      </c>
      <c r="BF132" s="13">
        <f t="shared" si="91"/>
        <v>52.434557099704193</v>
      </c>
      <c r="BG132" s="20">
        <f t="shared" ref="BG132:BG153" si="115">(BE132+BF132)*0.475*44/12</f>
        <v>461.05288028198476</v>
      </c>
      <c r="BH132" s="59">
        <f t="shared" ref="BH132:BH195" si="116">BG132+(AY132+AZ132)*44/12</f>
        <v>754.38621361531807</v>
      </c>
      <c r="BI132" s="59">
        <f ca="1">AVERAGE(OFFSET($BH$3,0,0,'Données projet'!$E$11+1,1))-AVERAGE(OFFSET($H$3,0,0,'Données projet'!$E$11+1,1))</f>
        <v>268.27008134105046</v>
      </c>
      <c r="BJ132" s="59">
        <f t="shared" si="92"/>
        <v>252.36274686619709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31.61101483488498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31.61101483488498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0.8600000000003547</v>
      </c>
      <c r="O133" s="13">
        <f>N133*VLOOKUP('Données projet'!$B$9,Paramètres!$A$1:$I$89,3,0)*VLOOKUP('Données projet'!$B$9,Paramètres!$A$1:$I$89,5,0)</f>
        <v>0.48074000000019829</v>
      </c>
      <c r="P133" s="13">
        <f t="shared" ref="P133:P196" si="141">EXP(-1.0587+0.8836*LN(O133)+0.284)</f>
        <v>0.24126147010950588</v>
      </c>
      <c r="Q133" s="20">
        <f t="shared" si="108"/>
        <v>1.2574858937744013</v>
      </c>
      <c r="R133" s="59">
        <f t="shared" si="109"/>
        <v>294.59081922710772</v>
      </c>
      <c r="S133" s="59">
        <f ca="1">AVERAGE(OFFSET($R$3,0,0,'Données projet'!$E$9+1,1))-AVERAGE(OFFSET($H$3,0,0,'Données projet'!$E$9+1,1))</f>
        <v>350.01600895263641</v>
      </c>
      <c r="T133" s="59">
        <f t="shared" ref="T133:T196" si="142">$T$3</f>
        <v>464.08921044376882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84.184712857276011</v>
      </c>
      <c r="AA133" s="21">
        <f>EXP(-LN(2)/25)*AA132+(1-EXP(-LN(2)/25))/(LN(2)/25)*Calculateur!V133*Calculateur!X133*VLOOKUP('Données projet'!$B$9,Paramètres!$A$1:$I$89,3,0)*0.475*44/12</f>
        <v>3.1607044712595087</v>
      </c>
      <c r="AB133" s="21">
        <f>EXP(-LN(2)/2)*AB132+(1-EXP(-LN(2)/2))/(LN(2)/2)*V133*Y133*VLOOKUP('Données projet'!$B$9,Paramètres!$A$1:$I$89,3,0)*0.475*44/12</f>
        <v>6.5718144620668907E-16</v>
      </c>
      <c r="AC133" s="22">
        <f t="shared" si="111"/>
        <v>87.345417328535518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277.99999999999994</v>
      </c>
      <c r="AJ133" s="13">
        <f>AI133*VLOOKUP('Données projet'!$B$10,Paramètres!$A$1:$I$89,3,0)*VLOOKUP('Données projet'!$B$10,Paramètres!$A$1:$I$89,5,0)</f>
        <v>151.78799999999998</v>
      </c>
      <c r="AK133" s="13">
        <f t="shared" ref="AK133:AK153" si="143">EXP(-1.0587+0.8836*LN(AJ133)+0.284)</f>
        <v>38.984634390835623</v>
      </c>
      <c r="AL133" s="20">
        <f t="shared" si="112"/>
        <v>332.26233823070532</v>
      </c>
      <c r="AM133" s="59">
        <f t="shared" si="113"/>
        <v>625.59567156403864</v>
      </c>
      <c r="AN133" s="59">
        <f ca="1">AVERAGE(OFFSET($AM$3,0,0,'Données projet'!$E$10+1,1))-AVERAGE(OFFSET($H$3,0,0,'Données projet'!$E$10+1,1))</f>
        <v>159.92263609041913</v>
      </c>
      <c r="AO133" s="59">
        <f t="shared" ref="AO133:AO196" si="144">$AO$3</f>
        <v>271.78119133009307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5.0658573132706</v>
      </c>
      <c r="AV133" s="21">
        <f>EXP(-LN(2)/25)*AV132+(1-EXP(-LN(2)/25))/(LN(2)/25)*Calculateur!AQ133*Calculateur!AS133*VLOOKUP('Données projet'!$B$10,Paramètres!$A$1:$I$89,3,0)*0.475*44/12</f>
        <v>6.0025918975898254</v>
      </c>
      <c r="AW133" s="21">
        <f>EXP(-LN(2)/2)*AW132+(1-EXP(-LN(2)/2))/(LN(2)/2)*AQ133*AT133*VLOOKUP('Données projet'!$B$10,Paramètres!$A$1:$I$89,3,0)*0.475*44/12</f>
        <v>2.2520484649760185E-17</v>
      </c>
      <c r="AX133" s="21">
        <f t="shared" si="114"/>
        <v>11.068449210860425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243</v>
      </c>
      <c r="BE133" s="13">
        <f>BD133*VLOOKUP('Données projet'!$B$11,Paramètres!$A$1:$I$89,3,0)*VLOOKUP('Données projet'!$B$11,Paramètres!$A$1:$I$89,5,0)</f>
        <v>212.28480000000002</v>
      </c>
      <c r="BF133" s="13">
        <f t="shared" ref="BF133:BF153" si="145">EXP(-1.0587+0.8836*LN(BE133)+0.284)</f>
        <v>52.434557099704193</v>
      </c>
      <c r="BG133" s="20">
        <f t="shared" si="115"/>
        <v>461.05288028198476</v>
      </c>
      <c r="BH133" s="59">
        <f t="shared" si="116"/>
        <v>754.38621361531807</v>
      </c>
      <c r="BI133" s="59">
        <f ca="1">AVERAGE(OFFSET($BH$3,0,0,'Données projet'!$E$11+1,1))-AVERAGE(OFFSET($H$3,0,0,'Données projet'!$E$11+1,1))</f>
        <v>268.27008134105046</v>
      </c>
      <c r="BJ133" s="59">
        <f t="shared" ref="BJ133:BJ196" si="146">$BJ$3</f>
        <v>252.36274686619709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30.991142114788111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30.991142114788111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0.8600000000003547</v>
      </c>
      <c r="O134" s="13">
        <f>N134*VLOOKUP('Données projet'!$B$9,Paramètres!$A$1:$I$89,3,0)*VLOOKUP('Données projet'!$B$9,Paramètres!$A$1:$I$89,5,0)</f>
        <v>0.48074000000019829</v>
      </c>
      <c r="P134" s="13">
        <f t="shared" si="141"/>
        <v>0.24126147010950588</v>
      </c>
      <c r="Q134" s="20">
        <f t="shared" si="108"/>
        <v>1.2574858937744013</v>
      </c>
      <c r="R134" s="59">
        <f t="shared" si="109"/>
        <v>294.59081922710772</v>
      </c>
      <c r="S134" s="59">
        <f ca="1">AVERAGE(OFFSET($R$3,0,0,'Données projet'!$E$9+1,1))-AVERAGE(OFFSET($H$3,0,0,'Données projet'!$E$9+1,1))</f>
        <v>350.01600895263641</v>
      </c>
      <c r="T134" s="59">
        <f t="shared" si="142"/>
        <v>464.08921044376882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82.533901985749523</v>
      </c>
      <c r="AA134" s="21">
        <f>EXP(-LN(2)/25)*AA133+(1-EXP(-LN(2)/25))/(LN(2)/25)*Calculateur!V134*Calculateur!X134*VLOOKUP('Données projet'!$B$9,Paramètres!$A$1:$I$89,3,0)*0.475*44/12</f>
        <v>3.0742748412786933</v>
      </c>
      <c r="AB134" s="21">
        <f>EXP(-LN(2)/2)*AB133+(1-EXP(-LN(2)/2))/(LN(2)/2)*V134*Y134*VLOOKUP('Données projet'!$B$9,Paramètres!$A$1:$I$89,3,0)*0.475*44/12</f>
        <v>4.6469745708273212E-16</v>
      </c>
      <c r="AC134" s="22">
        <f t="shared" si="111"/>
        <v>85.608176827028217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277.99999999999994</v>
      </c>
      <c r="AJ134" s="13">
        <f>AI134*VLOOKUP('Données projet'!$B$10,Paramètres!$A$1:$I$89,3,0)*VLOOKUP('Données projet'!$B$10,Paramètres!$A$1:$I$89,5,0)</f>
        <v>151.78799999999998</v>
      </c>
      <c r="AK134" s="13">
        <f t="shared" si="143"/>
        <v>38.984634390835623</v>
      </c>
      <c r="AL134" s="20">
        <f t="shared" si="112"/>
        <v>332.26233823070532</v>
      </c>
      <c r="AM134" s="59">
        <f t="shared" si="113"/>
        <v>625.59567156403864</v>
      </c>
      <c r="AN134" s="59">
        <f ca="1">AVERAGE(OFFSET($AM$3,0,0,'Données projet'!$E$10+1,1))-AVERAGE(OFFSET($H$3,0,0,'Données projet'!$E$10+1,1))</f>
        <v>159.92263609041913</v>
      </c>
      <c r="AO134" s="59">
        <f t="shared" si="144"/>
        <v>271.78119133009307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4.9665189412252255</v>
      </c>
      <c r="AV134" s="21">
        <f>EXP(-LN(2)/25)*AV133+(1-EXP(-LN(2)/25))/(LN(2)/25)*Calculateur!AQ134*Calculateur!AS134*VLOOKUP('Données projet'!$B$10,Paramètres!$A$1:$I$89,3,0)*0.475*44/12</f>
        <v>5.8384507064876425</v>
      </c>
      <c r="AW134" s="21">
        <f>EXP(-LN(2)/2)*AW133+(1-EXP(-LN(2)/2))/(LN(2)/2)*AQ134*AT134*VLOOKUP('Données projet'!$B$10,Paramètres!$A$1:$I$89,3,0)*0.475*44/12</f>
        <v>1.5924387411452977E-17</v>
      </c>
      <c r="AX134" s="21">
        <f t="shared" si="114"/>
        <v>10.804969647712868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243</v>
      </c>
      <c r="BE134" s="13">
        <f>BD134*VLOOKUP('Données projet'!$B$11,Paramètres!$A$1:$I$89,3,0)*VLOOKUP('Données projet'!$B$11,Paramètres!$A$1:$I$89,5,0)</f>
        <v>212.28480000000002</v>
      </c>
      <c r="BF134" s="13">
        <f t="shared" si="145"/>
        <v>52.434557099704193</v>
      </c>
      <c r="BG134" s="20">
        <f t="shared" si="115"/>
        <v>461.05288028198476</v>
      </c>
      <c r="BH134" s="59">
        <f t="shared" si="116"/>
        <v>754.38621361531807</v>
      </c>
      <c r="BI134" s="59">
        <f ca="1">AVERAGE(OFFSET($BH$3,0,0,'Données projet'!$E$11+1,1))-AVERAGE(OFFSET($H$3,0,0,'Données projet'!$E$11+1,1))</f>
        <v>268.27008134105046</v>
      </c>
      <c r="BJ134" s="59">
        <f t="shared" si="146"/>
        <v>252.36274686619709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30.383424720647316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30.383424720647316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0.8600000000003547</v>
      </c>
      <c r="O135" s="13">
        <f>N135*VLOOKUP('Données projet'!$B$9,Paramètres!$A$1:$I$89,3,0)*VLOOKUP('Données projet'!$B$9,Paramètres!$A$1:$I$89,5,0)</f>
        <v>0.48074000000019829</v>
      </c>
      <c r="P135" s="13">
        <f t="shared" si="141"/>
        <v>0.24126147010950588</v>
      </c>
      <c r="Q135" s="20">
        <f t="shared" si="108"/>
        <v>1.2574858937744013</v>
      </c>
      <c r="R135" s="59">
        <f t="shared" si="109"/>
        <v>294.59081922710772</v>
      </c>
      <c r="S135" s="59">
        <f ca="1">AVERAGE(OFFSET($R$3,0,0,'Données projet'!$E$9+1,1))-AVERAGE(OFFSET($H$3,0,0,'Données projet'!$E$9+1,1))</f>
        <v>350.01600895263641</v>
      </c>
      <c r="T135" s="59">
        <f t="shared" si="142"/>
        <v>464.08921044376882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80.915462508518459</v>
      </c>
      <c r="AA135" s="21">
        <f>EXP(-LN(2)/25)*AA134+(1-EXP(-LN(2)/25))/(LN(2)/25)*Calculateur!V135*Calculateur!X135*VLOOKUP('Données projet'!$B$9,Paramètres!$A$1:$I$89,3,0)*0.475*44/12</f>
        <v>2.9902086340748397</v>
      </c>
      <c r="AB135" s="21">
        <f>EXP(-LN(2)/2)*AB134+(1-EXP(-LN(2)/2))/(LN(2)/2)*V135*Y135*VLOOKUP('Données projet'!$B$9,Paramètres!$A$1:$I$89,3,0)*0.475*44/12</f>
        <v>3.2859072310334453E-16</v>
      </c>
      <c r="AC135" s="22">
        <f t="shared" si="111"/>
        <v>83.905671142593292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277.99999999999994</v>
      </c>
      <c r="AJ135" s="13">
        <f>AI135*VLOOKUP('Données projet'!$B$10,Paramètres!$A$1:$I$89,3,0)*VLOOKUP('Données projet'!$B$10,Paramètres!$A$1:$I$89,5,0)</f>
        <v>151.78799999999998</v>
      </c>
      <c r="AK135" s="13">
        <f t="shared" si="143"/>
        <v>38.984634390835623</v>
      </c>
      <c r="AL135" s="20">
        <f t="shared" si="112"/>
        <v>332.26233823070532</v>
      </c>
      <c r="AM135" s="59">
        <f t="shared" si="113"/>
        <v>625.59567156403864</v>
      </c>
      <c r="AN135" s="59">
        <f ca="1">AVERAGE(OFFSET($AM$3,0,0,'Données projet'!$E$10+1,1))-AVERAGE(OFFSET($H$3,0,0,'Données projet'!$E$10+1,1))</f>
        <v>159.92263609041913</v>
      </c>
      <c r="AO135" s="59">
        <f t="shared" si="144"/>
        <v>271.78119133009307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4.8691285340652364</v>
      </c>
      <c r="AV135" s="21">
        <f>EXP(-LN(2)/25)*AV134+(1-EXP(-LN(2)/25))/(LN(2)/25)*Calculateur!AQ135*Calculateur!AS135*VLOOKUP('Données projet'!$B$10,Paramètres!$A$1:$I$89,3,0)*0.475*44/12</f>
        <v>5.6787979648879592</v>
      </c>
      <c r="AW135" s="21">
        <f>EXP(-LN(2)/2)*AW134+(1-EXP(-LN(2)/2))/(LN(2)/2)*AQ135*AT135*VLOOKUP('Données projet'!$B$10,Paramètres!$A$1:$I$89,3,0)*0.475*44/12</f>
        <v>1.1260242324880092E-17</v>
      </c>
      <c r="AX135" s="21">
        <f t="shared" si="114"/>
        <v>10.547926498953196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243</v>
      </c>
      <c r="BE135" s="13">
        <f>BD135*VLOOKUP('Données projet'!$B$11,Paramètres!$A$1:$I$89,3,0)*VLOOKUP('Données projet'!$B$11,Paramètres!$A$1:$I$89,5,0)</f>
        <v>212.28480000000002</v>
      </c>
      <c r="BF135" s="13">
        <f t="shared" si="145"/>
        <v>52.434557099704193</v>
      </c>
      <c r="BG135" s="20">
        <f t="shared" si="115"/>
        <v>461.05288028198476</v>
      </c>
      <c r="BH135" s="59">
        <f t="shared" si="116"/>
        <v>754.38621361531807</v>
      </c>
      <c r="BI135" s="59">
        <f ca="1">AVERAGE(OFFSET($BH$3,0,0,'Données projet'!$E$11+1,1))-AVERAGE(OFFSET($H$3,0,0,'Données projet'!$E$11+1,1))</f>
        <v>268.27008134105046</v>
      </c>
      <c r="BJ135" s="59">
        <f t="shared" si="146"/>
        <v>252.36274686619709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29.787624293934613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29.787624293934613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0.8600000000003547</v>
      </c>
      <c r="O136" s="13">
        <f>N136*VLOOKUP('Données projet'!$B$9,Paramètres!$A$1:$I$89,3,0)*VLOOKUP('Données projet'!$B$9,Paramètres!$A$1:$I$89,5,0)</f>
        <v>0.48074000000019829</v>
      </c>
      <c r="P136" s="13">
        <f t="shared" si="141"/>
        <v>0.24126147010950588</v>
      </c>
      <c r="Q136" s="20">
        <f t="shared" si="108"/>
        <v>1.2574858937744013</v>
      </c>
      <c r="R136" s="59">
        <f t="shared" si="109"/>
        <v>294.59081922710772</v>
      </c>
      <c r="S136" s="59">
        <f ca="1">AVERAGE(OFFSET($R$3,0,0,'Données projet'!$E$9+1,1))-AVERAGE(OFFSET($H$3,0,0,'Données projet'!$E$9+1,1))</f>
        <v>350.01600895263641</v>
      </c>
      <c r="T136" s="59">
        <f t="shared" si="142"/>
        <v>464.08921044376882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79.328759642285277</v>
      </c>
      <c r="AA136" s="21">
        <f>EXP(-LN(2)/25)*AA135+(1-EXP(-LN(2)/25))/(LN(2)/25)*Calculateur!V136*Calculateur!X136*VLOOKUP('Données projet'!$B$9,Paramètres!$A$1:$I$89,3,0)*0.475*44/12</f>
        <v>2.9084412217278253</v>
      </c>
      <c r="AB136" s="21">
        <f>EXP(-LN(2)/2)*AB135+(1-EXP(-LN(2)/2))/(LN(2)/2)*V136*Y136*VLOOKUP('Données projet'!$B$9,Paramètres!$A$1:$I$89,3,0)*0.475*44/12</f>
        <v>2.3234872854136606E-16</v>
      </c>
      <c r="AC136" s="22">
        <f t="shared" si="111"/>
        <v>82.237200864013104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277.99999999999994</v>
      </c>
      <c r="AJ136" s="13">
        <f>AI136*VLOOKUP('Données projet'!$B$10,Paramètres!$A$1:$I$89,3,0)*VLOOKUP('Données projet'!$B$10,Paramètres!$A$1:$I$89,5,0)</f>
        <v>151.78799999999998</v>
      </c>
      <c r="AK136" s="13">
        <f t="shared" si="143"/>
        <v>38.984634390835623</v>
      </c>
      <c r="AL136" s="20">
        <f t="shared" si="112"/>
        <v>332.26233823070532</v>
      </c>
      <c r="AM136" s="59">
        <f t="shared" si="113"/>
        <v>625.59567156403864</v>
      </c>
      <c r="AN136" s="59">
        <f ca="1">AVERAGE(OFFSET($AM$3,0,0,'Données projet'!$E$10+1,1))-AVERAGE(OFFSET($H$3,0,0,'Données projet'!$E$10+1,1))</f>
        <v>159.92263609041913</v>
      </c>
      <c r="AO136" s="59">
        <f t="shared" si="144"/>
        <v>271.78119133009307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4.7736478933873725</v>
      </c>
      <c r="AV136" s="21">
        <f>EXP(-LN(2)/25)*AV135+(1-EXP(-LN(2)/25))/(LN(2)/25)*Calculateur!AQ136*Calculateur!AS136*VLOOKUP('Données projet'!$B$10,Paramètres!$A$1:$I$89,3,0)*0.475*44/12</f>
        <v>5.5235109359030918</v>
      </c>
      <c r="AW136" s="21">
        <f>EXP(-LN(2)/2)*AW135+(1-EXP(-LN(2)/2))/(LN(2)/2)*AQ136*AT136*VLOOKUP('Données projet'!$B$10,Paramètres!$A$1:$I$89,3,0)*0.475*44/12</f>
        <v>7.9621937057264885E-18</v>
      </c>
      <c r="AX136" s="21">
        <f t="shared" si="114"/>
        <v>10.297158829290463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243</v>
      </c>
      <c r="BE136" s="13">
        <f>BD136*VLOOKUP('Données projet'!$B$11,Paramètres!$A$1:$I$89,3,0)*VLOOKUP('Données projet'!$B$11,Paramètres!$A$1:$I$89,5,0)</f>
        <v>212.28480000000002</v>
      </c>
      <c r="BF136" s="13">
        <f t="shared" si="145"/>
        <v>52.434557099704193</v>
      </c>
      <c r="BG136" s="20">
        <f t="shared" si="115"/>
        <v>461.05288028198476</v>
      </c>
      <c r="BH136" s="59">
        <f t="shared" si="116"/>
        <v>754.38621361531807</v>
      </c>
      <c r="BI136" s="59">
        <f ca="1">AVERAGE(OFFSET($BH$3,0,0,'Données projet'!$E$11+1,1))-AVERAGE(OFFSET($H$3,0,0,'Données projet'!$E$11+1,1))</f>
        <v>268.27008134105046</v>
      </c>
      <c r="BJ136" s="59">
        <f t="shared" si="146"/>
        <v>252.36274686619709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29.20350715018737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29.20350715018737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0.8600000000003547</v>
      </c>
      <c r="O137" s="13">
        <f>N137*VLOOKUP('Données projet'!$B$9,Paramètres!$A$1:$I$89,3,0)*VLOOKUP('Données projet'!$B$9,Paramètres!$A$1:$I$89,5,0)</f>
        <v>0.48074000000019829</v>
      </c>
      <c r="P137" s="13">
        <f t="shared" si="141"/>
        <v>0.24126147010950588</v>
      </c>
      <c r="Q137" s="20">
        <f t="shared" si="108"/>
        <v>1.2574858937744013</v>
      </c>
      <c r="R137" s="59">
        <f t="shared" si="109"/>
        <v>294.59081922710772</v>
      </c>
      <c r="S137" s="59">
        <f ca="1">AVERAGE(OFFSET($R$3,0,0,'Données projet'!$E$9+1,1))-AVERAGE(OFFSET($H$3,0,0,'Données projet'!$E$9+1,1))</f>
        <v>350.01600895263641</v>
      </c>
      <c r="T137" s="59">
        <f t="shared" si="142"/>
        <v>464.08921044376882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77.773171051465752</v>
      </c>
      <c r="AA137" s="21">
        <f>EXP(-LN(2)/25)*AA136+(1-EXP(-LN(2)/25))/(LN(2)/25)*Calculateur!V137*Calculateur!X137*VLOOKUP('Données projet'!$B$9,Paramètres!$A$1:$I$89,3,0)*0.475*44/12</f>
        <v>2.8289097435714012</v>
      </c>
      <c r="AB137" s="21">
        <f>EXP(-LN(2)/2)*AB136+(1-EXP(-LN(2)/2))/(LN(2)/2)*V137*Y137*VLOOKUP('Données projet'!$B$9,Paramètres!$A$1:$I$89,3,0)*0.475*44/12</f>
        <v>1.6429536155167227E-16</v>
      </c>
      <c r="AC137" s="22">
        <f t="shared" si="111"/>
        <v>80.602080795037153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277.99999999999994</v>
      </c>
      <c r="AJ137" s="13">
        <f>AI137*VLOOKUP('Données projet'!$B$10,Paramètres!$A$1:$I$89,3,0)*VLOOKUP('Données projet'!$B$10,Paramètres!$A$1:$I$89,5,0)</f>
        <v>151.78799999999998</v>
      </c>
      <c r="AK137" s="13">
        <f t="shared" si="143"/>
        <v>38.984634390835623</v>
      </c>
      <c r="AL137" s="20">
        <f t="shared" si="112"/>
        <v>332.26233823070532</v>
      </c>
      <c r="AM137" s="59">
        <f t="shared" si="113"/>
        <v>625.59567156403864</v>
      </c>
      <c r="AN137" s="59">
        <f ca="1">AVERAGE(OFFSET($AM$3,0,0,'Données projet'!$E$10+1,1))-AVERAGE(OFFSET($H$3,0,0,'Données projet'!$E$10+1,1))</f>
        <v>159.92263609041913</v>
      </c>
      <c r="AO137" s="59">
        <f t="shared" si="144"/>
        <v>271.78119133009307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4.6800395698357606</v>
      </c>
      <c r="AV137" s="21">
        <f>EXP(-LN(2)/25)*AV136+(1-EXP(-LN(2)/25))/(LN(2)/25)*Calculateur!AQ137*Calculateur!AS137*VLOOKUP('Données projet'!$B$10,Paramètres!$A$1:$I$89,3,0)*0.475*44/12</f>
        <v>5.3724702388920056</v>
      </c>
      <c r="AW137" s="21">
        <f>EXP(-LN(2)/2)*AW136+(1-EXP(-LN(2)/2))/(LN(2)/2)*AQ137*AT137*VLOOKUP('Données projet'!$B$10,Paramètres!$A$1:$I$89,3,0)*0.475*44/12</f>
        <v>5.6301211624400462E-18</v>
      </c>
      <c r="AX137" s="21">
        <f t="shared" si="114"/>
        <v>10.052509808727766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243</v>
      </c>
      <c r="BE137" s="13">
        <f>BD137*VLOOKUP('Données projet'!$B$11,Paramètres!$A$1:$I$89,3,0)*VLOOKUP('Données projet'!$B$11,Paramètres!$A$1:$I$89,5,0)</f>
        <v>212.28480000000002</v>
      </c>
      <c r="BF137" s="13">
        <f t="shared" si="145"/>
        <v>52.434557099704193</v>
      </c>
      <c r="BG137" s="20">
        <f t="shared" si="115"/>
        <v>461.05288028198476</v>
      </c>
      <c r="BH137" s="59">
        <f t="shared" si="116"/>
        <v>754.38621361531807</v>
      </c>
      <c r="BI137" s="59">
        <f ca="1">AVERAGE(OFFSET($BH$3,0,0,'Données projet'!$E$11+1,1))-AVERAGE(OFFSET($H$3,0,0,'Données projet'!$E$11+1,1))</f>
        <v>268.27008134105046</v>
      </c>
      <c r="BJ137" s="59">
        <f t="shared" si="146"/>
        <v>252.36274686619709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28.630844187352732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28.630844187352732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0.8600000000003547</v>
      </c>
      <c r="O138" s="13">
        <f>N138*VLOOKUP('Données projet'!$B$9,Paramètres!$A$1:$I$89,3,0)*VLOOKUP('Données projet'!$B$9,Paramètres!$A$1:$I$89,5,0)</f>
        <v>0.48074000000019829</v>
      </c>
      <c r="P138" s="13">
        <f t="shared" si="141"/>
        <v>0.24126147010950588</v>
      </c>
      <c r="Q138" s="20">
        <f t="shared" si="108"/>
        <v>1.2574858937744013</v>
      </c>
      <c r="R138" s="59">
        <f t="shared" si="109"/>
        <v>294.59081922710772</v>
      </c>
      <c r="S138" s="59">
        <f ca="1">AVERAGE(OFFSET($R$3,0,0,'Données projet'!$E$9+1,1))-AVERAGE(OFFSET($H$3,0,0,'Données projet'!$E$9+1,1))</f>
        <v>350.01600895263641</v>
      </c>
      <c r="T138" s="59">
        <f t="shared" si="142"/>
        <v>464.08921044376882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76.248086604096841</v>
      </c>
      <c r="AA138" s="21">
        <f>EXP(-LN(2)/25)*AA137+(1-EXP(-LN(2)/25))/(LN(2)/25)*Calculateur!V138*Calculateur!X138*VLOOKUP('Données projet'!$B$9,Paramètres!$A$1:$I$89,3,0)*0.475*44/12</f>
        <v>2.7515530578675436</v>
      </c>
      <c r="AB138" s="21">
        <f>EXP(-LN(2)/2)*AB137+(1-EXP(-LN(2)/2))/(LN(2)/2)*V138*Y138*VLOOKUP('Données projet'!$B$9,Paramètres!$A$1:$I$89,3,0)*0.475*44/12</f>
        <v>1.1617436427068303E-16</v>
      </c>
      <c r="AC138" s="22">
        <f t="shared" si="111"/>
        <v>78.99963966196438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277.99999999999994</v>
      </c>
      <c r="AJ138" s="13">
        <f>AI138*VLOOKUP('Données projet'!$B$10,Paramètres!$A$1:$I$89,3,0)*VLOOKUP('Données projet'!$B$10,Paramètres!$A$1:$I$89,5,0)</f>
        <v>151.78799999999998</v>
      </c>
      <c r="AK138" s="13">
        <f t="shared" si="143"/>
        <v>38.984634390835623</v>
      </c>
      <c r="AL138" s="20">
        <f t="shared" si="112"/>
        <v>332.26233823070532</v>
      </c>
      <c r="AM138" s="59">
        <f t="shared" si="113"/>
        <v>625.59567156403864</v>
      </c>
      <c r="AN138" s="59">
        <f ca="1">AVERAGE(OFFSET($AM$3,0,0,'Données projet'!$E$10+1,1))-AVERAGE(OFFSET($H$3,0,0,'Données projet'!$E$10+1,1))</f>
        <v>159.92263609041913</v>
      </c>
      <c r="AO138" s="59">
        <f t="shared" si="144"/>
        <v>271.78119133009307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4.5882668484135563</v>
      </c>
      <c r="AV138" s="21">
        <f>EXP(-LN(2)/25)*AV137+(1-EXP(-LN(2)/25))/(LN(2)/25)*Calculateur!AQ138*Calculateur!AS138*VLOOKUP('Données projet'!$B$10,Paramètres!$A$1:$I$89,3,0)*0.475*44/12</f>
        <v>5.2255597576835724</v>
      </c>
      <c r="AW138" s="21">
        <f>EXP(-LN(2)/2)*AW137+(1-EXP(-LN(2)/2))/(LN(2)/2)*AQ138*AT138*VLOOKUP('Données projet'!$B$10,Paramètres!$A$1:$I$89,3,0)*0.475*44/12</f>
        <v>3.9810968528632442E-18</v>
      </c>
      <c r="AX138" s="21">
        <f t="shared" si="114"/>
        <v>9.8138266060971286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243</v>
      </c>
      <c r="BE138" s="13">
        <f>BD138*VLOOKUP('Données projet'!$B$11,Paramètres!$A$1:$I$89,3,0)*VLOOKUP('Données projet'!$B$11,Paramètres!$A$1:$I$89,5,0)</f>
        <v>212.28480000000002</v>
      </c>
      <c r="BF138" s="13">
        <f t="shared" si="145"/>
        <v>52.434557099704193</v>
      </c>
      <c r="BG138" s="20">
        <f t="shared" si="115"/>
        <v>461.05288028198476</v>
      </c>
      <c r="BH138" s="59">
        <f t="shared" si="116"/>
        <v>754.38621361531807</v>
      </c>
      <c r="BI138" s="59">
        <f ca="1">AVERAGE(OFFSET($BH$3,0,0,'Données projet'!$E$11+1,1))-AVERAGE(OFFSET($H$3,0,0,'Données projet'!$E$11+1,1))</f>
        <v>268.27008134105046</v>
      </c>
      <c r="BJ138" s="59">
        <f t="shared" si="146"/>
        <v>252.36274686619709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28.069410795929361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28.069410795929361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0.8600000000003547</v>
      </c>
      <c r="O139" s="13">
        <f>N139*VLOOKUP('Données projet'!$B$9,Paramètres!$A$1:$I$89,3,0)*VLOOKUP('Données projet'!$B$9,Paramètres!$A$1:$I$89,5,0)</f>
        <v>0.48074000000019829</v>
      </c>
      <c r="P139" s="13">
        <f t="shared" si="141"/>
        <v>0.24126147010950588</v>
      </c>
      <c r="Q139" s="20">
        <f t="shared" si="108"/>
        <v>1.2574858937744013</v>
      </c>
      <c r="R139" s="59">
        <f t="shared" si="109"/>
        <v>294.59081922710772</v>
      </c>
      <c r="S139" s="59">
        <f ca="1">AVERAGE(OFFSET($R$3,0,0,'Données projet'!$E$9+1,1))-AVERAGE(OFFSET($H$3,0,0,'Données projet'!$E$9+1,1))</f>
        <v>350.01600895263641</v>
      </c>
      <c r="T139" s="59">
        <f t="shared" si="142"/>
        <v>464.08921044376882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74.752908132531175</v>
      </c>
      <c r="AA139" s="21">
        <f>EXP(-LN(2)/25)*AA138+(1-EXP(-LN(2)/25))/(LN(2)/25)*Calculateur!V139*Calculateur!X139*VLOOKUP('Données projet'!$B$9,Paramètres!$A$1:$I$89,3,0)*0.475*44/12</f>
        <v>2.6763116948022692</v>
      </c>
      <c r="AB139" s="21">
        <f>EXP(-LN(2)/2)*AB138+(1-EXP(-LN(2)/2))/(LN(2)/2)*V139*Y139*VLOOKUP('Données projet'!$B$9,Paramètres!$A$1:$I$89,3,0)*0.475*44/12</f>
        <v>8.2147680775836134E-17</v>
      </c>
      <c r="AC139" s="22">
        <f t="shared" si="111"/>
        <v>77.429219827333441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277.99999999999994</v>
      </c>
      <c r="AJ139" s="13">
        <f>AI139*VLOOKUP('Données projet'!$B$10,Paramètres!$A$1:$I$89,3,0)*VLOOKUP('Données projet'!$B$10,Paramètres!$A$1:$I$89,5,0)</f>
        <v>151.78799999999998</v>
      </c>
      <c r="AK139" s="13">
        <f t="shared" si="143"/>
        <v>38.984634390835623</v>
      </c>
      <c r="AL139" s="20">
        <f t="shared" si="112"/>
        <v>332.26233823070532</v>
      </c>
      <c r="AM139" s="59">
        <f t="shared" si="113"/>
        <v>625.59567156403864</v>
      </c>
      <c r="AN139" s="59">
        <f ca="1">AVERAGE(OFFSET($AM$3,0,0,'Données projet'!$E$10+1,1))-AVERAGE(OFFSET($H$3,0,0,'Données projet'!$E$10+1,1))</f>
        <v>159.92263609041913</v>
      </c>
      <c r="AO139" s="59">
        <f t="shared" si="144"/>
        <v>271.78119133009307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4.4982937340826084</v>
      </c>
      <c r="AV139" s="21">
        <f>EXP(-LN(2)/25)*AV138+(1-EXP(-LN(2)/25))/(LN(2)/25)*Calculateur!AQ139*Calculateur!AS139*VLOOKUP('Données projet'!$B$10,Paramètres!$A$1:$I$89,3,0)*0.475*44/12</f>
        <v>5.0826665513094706</v>
      </c>
      <c r="AW139" s="21">
        <f>EXP(-LN(2)/2)*AW138+(1-EXP(-LN(2)/2))/(LN(2)/2)*AQ139*AT139*VLOOKUP('Données projet'!$B$10,Paramètres!$A$1:$I$89,3,0)*0.475*44/12</f>
        <v>2.8150605812200231E-18</v>
      </c>
      <c r="AX139" s="21">
        <f t="shared" si="114"/>
        <v>9.580960285392079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243</v>
      </c>
      <c r="BE139" s="13">
        <f>BD139*VLOOKUP('Données projet'!$B$11,Paramètres!$A$1:$I$89,3,0)*VLOOKUP('Données projet'!$B$11,Paramètres!$A$1:$I$89,5,0)</f>
        <v>212.28480000000002</v>
      </c>
      <c r="BF139" s="13">
        <f t="shared" si="145"/>
        <v>52.434557099704193</v>
      </c>
      <c r="BG139" s="20">
        <f t="shared" si="115"/>
        <v>461.05288028198476</v>
      </c>
      <c r="BH139" s="59">
        <f t="shared" si="116"/>
        <v>754.38621361531807</v>
      </c>
      <c r="BI139" s="59">
        <f ca="1">AVERAGE(OFFSET($BH$3,0,0,'Données projet'!$E$11+1,1))-AVERAGE(OFFSET($H$3,0,0,'Données projet'!$E$11+1,1))</f>
        <v>268.27008134105046</v>
      </c>
      <c r="BJ139" s="59">
        <f t="shared" si="146"/>
        <v>252.36274686619709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27.518986770871248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27.518986770871248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0.8600000000003547</v>
      </c>
      <c r="O140" s="13">
        <f>N140*VLOOKUP('Données projet'!$B$9,Paramètres!$A$1:$I$89,3,0)*VLOOKUP('Données projet'!$B$9,Paramètres!$A$1:$I$89,5,0)</f>
        <v>0.48074000000019829</v>
      </c>
      <c r="P140" s="13">
        <f t="shared" si="141"/>
        <v>0.24126147010950588</v>
      </c>
      <c r="Q140" s="20">
        <f t="shared" si="108"/>
        <v>1.2574858937744013</v>
      </c>
      <c r="R140" s="59">
        <f t="shared" si="109"/>
        <v>294.59081922710772</v>
      </c>
      <c r="S140" s="59">
        <f ca="1">AVERAGE(OFFSET($R$3,0,0,'Données projet'!$E$9+1,1))-AVERAGE(OFFSET($H$3,0,0,'Données projet'!$E$9+1,1))</f>
        <v>350.01600895263641</v>
      </c>
      <c r="T140" s="59">
        <f t="shared" si="142"/>
        <v>464.08921044376882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73.287049198824093</v>
      </c>
      <c r="AA140" s="21">
        <f>EXP(-LN(2)/25)*AA139+(1-EXP(-LN(2)/25))/(LN(2)/25)*Calculateur!V140*Calculateur!X140*VLOOKUP('Données projet'!$B$9,Paramètres!$A$1:$I$89,3,0)*0.475*44/12</f>
        <v>2.6031278107667859</v>
      </c>
      <c r="AB140" s="21">
        <f>EXP(-LN(2)/2)*AB139+(1-EXP(-LN(2)/2))/(LN(2)/2)*V140*Y140*VLOOKUP('Données projet'!$B$9,Paramètres!$A$1:$I$89,3,0)*0.475*44/12</f>
        <v>5.8087182135341516E-17</v>
      </c>
      <c r="AC140" s="22">
        <f t="shared" si="111"/>
        <v>75.890177009590872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277.99999999999994</v>
      </c>
      <c r="AJ140" s="13">
        <f>AI140*VLOOKUP('Données projet'!$B$10,Paramètres!$A$1:$I$89,3,0)*VLOOKUP('Données projet'!$B$10,Paramètres!$A$1:$I$89,5,0)</f>
        <v>151.78799999999998</v>
      </c>
      <c r="AK140" s="13">
        <f t="shared" si="143"/>
        <v>38.984634390835623</v>
      </c>
      <c r="AL140" s="20">
        <f t="shared" si="112"/>
        <v>332.26233823070532</v>
      </c>
      <c r="AM140" s="59">
        <f t="shared" si="113"/>
        <v>625.59567156403864</v>
      </c>
      <c r="AN140" s="59">
        <f ca="1">AVERAGE(OFFSET($AM$3,0,0,'Données projet'!$E$10+1,1))-AVERAGE(OFFSET($H$3,0,0,'Données projet'!$E$10+1,1))</f>
        <v>159.92263609041913</v>
      </c>
      <c r="AO140" s="59">
        <f t="shared" si="144"/>
        <v>271.78119133009307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4.4100849376455091</v>
      </c>
      <c r="AV140" s="21">
        <f>EXP(-LN(2)/25)*AV139+(1-EXP(-LN(2)/25))/(LN(2)/25)*Calculateur!AQ140*Calculateur!AS140*VLOOKUP('Données projet'!$B$10,Paramètres!$A$1:$I$89,3,0)*0.475*44/12</f>
        <v>4.9436807671780958</v>
      </c>
      <c r="AW140" s="21">
        <f>EXP(-LN(2)/2)*AW139+(1-EXP(-LN(2)/2))/(LN(2)/2)*AQ140*AT140*VLOOKUP('Données projet'!$B$10,Paramètres!$A$1:$I$89,3,0)*0.475*44/12</f>
        <v>1.9905484264316221E-18</v>
      </c>
      <c r="AX140" s="21">
        <f t="shared" si="114"/>
        <v>9.3537657048236049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243</v>
      </c>
      <c r="BE140" s="13">
        <f>BD140*VLOOKUP('Données projet'!$B$11,Paramètres!$A$1:$I$89,3,0)*VLOOKUP('Données projet'!$B$11,Paramètres!$A$1:$I$89,5,0)</f>
        <v>212.28480000000002</v>
      </c>
      <c r="BF140" s="13">
        <f t="shared" si="145"/>
        <v>52.434557099704193</v>
      </c>
      <c r="BG140" s="20">
        <f t="shared" si="115"/>
        <v>461.05288028198476</v>
      </c>
      <c r="BH140" s="59">
        <f t="shared" si="116"/>
        <v>754.38621361531807</v>
      </c>
      <c r="BI140" s="59">
        <f ca="1">AVERAGE(OFFSET($BH$3,0,0,'Données projet'!$E$11+1,1))-AVERAGE(OFFSET($H$3,0,0,'Données projet'!$E$11+1,1))</f>
        <v>268.27008134105046</v>
      </c>
      <c r="BJ140" s="59">
        <f t="shared" si="146"/>
        <v>252.36274686619709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26.979356225219018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26.979356225219018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0.8600000000003547</v>
      </c>
      <c r="O141" s="13">
        <f>N141*VLOOKUP('Données projet'!$B$9,Paramètres!$A$1:$I$89,3,0)*VLOOKUP('Données projet'!$B$9,Paramètres!$A$1:$I$89,5,0)</f>
        <v>0.48074000000019829</v>
      </c>
      <c r="P141" s="13">
        <f t="shared" si="141"/>
        <v>0.24126147010950588</v>
      </c>
      <c r="Q141" s="20">
        <f t="shared" si="108"/>
        <v>1.2574858937744013</v>
      </c>
      <c r="R141" s="59">
        <f t="shared" si="109"/>
        <v>294.59081922710772</v>
      </c>
      <c r="S141" s="59">
        <f ca="1">AVERAGE(OFFSET($R$3,0,0,'Données projet'!$E$9+1,1))-AVERAGE(OFFSET($H$3,0,0,'Données projet'!$E$9+1,1))</f>
        <v>350.01600895263641</v>
      </c>
      <c r="T141" s="59">
        <f t="shared" si="142"/>
        <v>464.08921044376882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71.849934864721334</v>
      </c>
      <c r="AA141" s="21">
        <f>EXP(-LN(2)/25)*AA140+(1-EXP(-LN(2)/25))/(LN(2)/25)*Calculateur!V141*Calculateur!X141*VLOOKUP('Données projet'!$B$9,Paramètres!$A$1:$I$89,3,0)*0.475*44/12</f>
        <v>2.5319451438888261</v>
      </c>
      <c r="AB141" s="21">
        <f>EXP(-LN(2)/2)*AB140+(1-EXP(-LN(2)/2))/(LN(2)/2)*V141*Y141*VLOOKUP('Données projet'!$B$9,Paramètres!$A$1:$I$89,3,0)*0.475*44/12</f>
        <v>4.1073840387918067E-17</v>
      </c>
      <c r="AC141" s="22">
        <f t="shared" si="111"/>
        <v>74.381880008610153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277.99999999999994</v>
      </c>
      <c r="AJ141" s="13">
        <f>AI141*VLOOKUP('Données projet'!$B$10,Paramètres!$A$1:$I$89,3,0)*VLOOKUP('Données projet'!$B$10,Paramètres!$A$1:$I$89,5,0)</f>
        <v>151.78799999999998</v>
      </c>
      <c r="AK141" s="13">
        <f t="shared" si="143"/>
        <v>38.984634390835623</v>
      </c>
      <c r="AL141" s="20">
        <f t="shared" si="112"/>
        <v>332.26233823070532</v>
      </c>
      <c r="AM141" s="59">
        <f t="shared" si="113"/>
        <v>625.59567156403864</v>
      </c>
      <c r="AN141" s="59">
        <f ca="1">AVERAGE(OFFSET($AM$3,0,0,'Données projet'!$E$10+1,1))-AVERAGE(OFFSET($H$3,0,0,'Données projet'!$E$10+1,1))</f>
        <v>159.92263609041913</v>
      </c>
      <c r="AO141" s="59">
        <f t="shared" si="144"/>
        <v>271.78119133009307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4.3236058619044888</v>
      </c>
      <c r="AV141" s="21">
        <f>EXP(-LN(2)/25)*AV140+(1-EXP(-LN(2)/25))/(LN(2)/25)*Calculateur!AQ141*Calculateur!AS141*VLOOKUP('Données projet'!$B$10,Paramètres!$A$1:$I$89,3,0)*0.475*44/12</f>
        <v>4.8084955566227379</v>
      </c>
      <c r="AW141" s="21">
        <f>EXP(-LN(2)/2)*AW140+(1-EXP(-LN(2)/2))/(LN(2)/2)*AQ141*AT141*VLOOKUP('Données projet'!$B$10,Paramètres!$A$1:$I$89,3,0)*0.475*44/12</f>
        <v>1.4075302906100116E-18</v>
      </c>
      <c r="AX141" s="21">
        <f t="shared" si="114"/>
        <v>9.1321014185272276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243</v>
      </c>
      <c r="BE141" s="13">
        <f>BD141*VLOOKUP('Données projet'!$B$11,Paramètres!$A$1:$I$89,3,0)*VLOOKUP('Données projet'!$B$11,Paramètres!$A$1:$I$89,5,0)</f>
        <v>212.28480000000002</v>
      </c>
      <c r="BF141" s="13">
        <f t="shared" si="145"/>
        <v>52.434557099704193</v>
      </c>
      <c r="BG141" s="20">
        <f t="shared" si="115"/>
        <v>461.05288028198476</v>
      </c>
      <c r="BH141" s="59">
        <f t="shared" si="116"/>
        <v>754.38621361531807</v>
      </c>
      <c r="BI141" s="59">
        <f ca="1">AVERAGE(OFFSET($BH$3,0,0,'Données projet'!$E$11+1,1))-AVERAGE(OFFSET($H$3,0,0,'Données projet'!$E$11+1,1))</f>
        <v>268.27008134105046</v>
      </c>
      <c r="BJ141" s="59">
        <f t="shared" si="146"/>
        <v>252.36274686619709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26.450307505424895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26.450307505424895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0.8600000000003547</v>
      </c>
      <c r="O142" s="13">
        <f>N142*VLOOKUP('Données projet'!$B$9,Paramètres!$A$1:$I$89,3,0)*VLOOKUP('Données projet'!$B$9,Paramètres!$A$1:$I$89,5,0)</f>
        <v>0.48074000000019829</v>
      </c>
      <c r="P142" s="13">
        <f t="shared" si="141"/>
        <v>0.24126147010950588</v>
      </c>
      <c r="Q142" s="20">
        <f t="shared" si="108"/>
        <v>1.2574858937744013</v>
      </c>
      <c r="R142" s="59">
        <f t="shared" si="109"/>
        <v>294.59081922710772</v>
      </c>
      <c r="S142" s="59">
        <f ca="1">AVERAGE(OFFSET($R$3,0,0,'Données projet'!$E$9+1,1))-AVERAGE(OFFSET($H$3,0,0,'Données projet'!$E$9+1,1))</f>
        <v>350.01600895263641</v>
      </c>
      <c r="T142" s="59">
        <f t="shared" si="142"/>
        <v>464.08921044376882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70.441001466157147</v>
      </c>
      <c r="AA142" s="21">
        <f>EXP(-LN(2)/25)*AA141+(1-EXP(-LN(2)/25))/(LN(2)/25)*Calculateur!V142*Calculateur!X142*VLOOKUP('Données projet'!$B$9,Paramètres!$A$1:$I$89,3,0)*0.475*44/12</f>
        <v>2.4627089707799779</v>
      </c>
      <c r="AB142" s="21">
        <f>EXP(-LN(2)/2)*AB141+(1-EXP(-LN(2)/2))/(LN(2)/2)*V142*Y142*VLOOKUP('Données projet'!$B$9,Paramètres!$A$1:$I$89,3,0)*0.475*44/12</f>
        <v>2.9043591067670758E-17</v>
      </c>
      <c r="AC142" s="22">
        <f t="shared" si="111"/>
        <v>72.903710436937118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277.99999999999994</v>
      </c>
      <c r="AJ142" s="13">
        <f>AI142*VLOOKUP('Données projet'!$B$10,Paramètres!$A$1:$I$89,3,0)*VLOOKUP('Données projet'!$B$10,Paramètres!$A$1:$I$89,5,0)</f>
        <v>151.78799999999998</v>
      </c>
      <c r="AK142" s="13">
        <f t="shared" si="143"/>
        <v>38.984634390835623</v>
      </c>
      <c r="AL142" s="20">
        <f t="shared" si="112"/>
        <v>332.26233823070532</v>
      </c>
      <c r="AM142" s="59">
        <f t="shared" si="113"/>
        <v>625.59567156403864</v>
      </c>
      <c r="AN142" s="59">
        <f ca="1">AVERAGE(OFFSET($AM$3,0,0,'Données projet'!$E$10+1,1))-AVERAGE(OFFSET($H$3,0,0,'Données projet'!$E$10+1,1))</f>
        <v>159.92263609041913</v>
      </c>
      <c r="AO142" s="59">
        <f t="shared" si="144"/>
        <v>271.78119133009307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4.2388225880917219</v>
      </c>
      <c r="AV142" s="21">
        <f>EXP(-LN(2)/25)*AV141+(1-EXP(-LN(2)/25))/(LN(2)/25)*Calculateur!AQ142*Calculateur!AS142*VLOOKUP('Données projet'!$B$10,Paramètres!$A$1:$I$89,3,0)*0.475*44/12</f>
        <v>4.6770069927590976</v>
      </c>
      <c r="AW142" s="21">
        <f>EXP(-LN(2)/2)*AW141+(1-EXP(-LN(2)/2))/(LN(2)/2)*AQ142*AT142*VLOOKUP('Données projet'!$B$10,Paramètres!$A$1:$I$89,3,0)*0.475*44/12</f>
        <v>9.9527421321581106E-19</v>
      </c>
      <c r="AX142" s="21">
        <f t="shared" si="114"/>
        <v>8.9158295808508186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243</v>
      </c>
      <c r="BE142" s="13">
        <f>BD142*VLOOKUP('Données projet'!$B$11,Paramètres!$A$1:$I$89,3,0)*VLOOKUP('Données projet'!$B$11,Paramètres!$A$1:$I$89,5,0)</f>
        <v>212.28480000000002</v>
      </c>
      <c r="BF142" s="13">
        <f t="shared" si="145"/>
        <v>52.434557099704193</v>
      </c>
      <c r="BG142" s="20">
        <f t="shared" si="115"/>
        <v>461.05288028198476</v>
      </c>
      <c r="BH142" s="59">
        <f t="shared" si="116"/>
        <v>754.38621361531807</v>
      </c>
      <c r="BI142" s="59">
        <f ca="1">AVERAGE(OFFSET($BH$3,0,0,'Données projet'!$E$11+1,1))-AVERAGE(OFFSET($H$3,0,0,'Données projet'!$E$11+1,1))</f>
        <v>268.27008134105046</v>
      </c>
      <c r="BJ142" s="59">
        <f t="shared" si="146"/>
        <v>252.36274686619709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25.93163310833808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25.93163310833808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0.8600000000003547</v>
      </c>
      <c r="O143" s="13">
        <f>N143*VLOOKUP('Données projet'!$B$9,Paramètres!$A$1:$I$89,3,0)*VLOOKUP('Données projet'!$B$9,Paramètres!$A$1:$I$89,5,0)</f>
        <v>0.48074000000019829</v>
      </c>
      <c r="P143" s="13">
        <f t="shared" si="141"/>
        <v>0.24126147010950588</v>
      </c>
      <c r="Q143" s="20">
        <f t="shared" si="108"/>
        <v>1.2574858937744013</v>
      </c>
      <c r="R143" s="59">
        <f t="shared" si="109"/>
        <v>294.59081922710772</v>
      </c>
      <c r="S143" s="59">
        <f ca="1">AVERAGE(OFFSET($R$3,0,0,'Données projet'!$E$9+1,1))-AVERAGE(OFFSET($H$3,0,0,'Données projet'!$E$9+1,1))</f>
        <v>350.01600895263641</v>
      </c>
      <c r="T143" s="59">
        <f t="shared" si="142"/>
        <v>464.08921044376882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69.059696392174274</v>
      </c>
      <c r="AA143" s="21">
        <f>EXP(-LN(2)/25)*AA142+(1-EXP(-LN(2)/25))/(LN(2)/25)*Calculateur!V143*Calculateur!X143*VLOOKUP('Données projet'!$B$9,Paramètres!$A$1:$I$89,3,0)*0.475*44/12</f>
        <v>2.3953660644657631</v>
      </c>
      <c r="AB143" s="21">
        <f>EXP(-LN(2)/2)*AB142+(1-EXP(-LN(2)/2))/(LN(2)/2)*V143*Y143*VLOOKUP('Données projet'!$B$9,Paramètres!$A$1:$I$89,3,0)*0.475*44/12</f>
        <v>2.0536920193959033E-17</v>
      </c>
      <c r="AC143" s="22">
        <f t="shared" si="111"/>
        <v>71.455062456640036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277.99999999999994</v>
      </c>
      <c r="AJ143" s="13">
        <f>AI143*VLOOKUP('Données projet'!$B$10,Paramètres!$A$1:$I$89,3,0)*VLOOKUP('Données projet'!$B$10,Paramètres!$A$1:$I$89,5,0)</f>
        <v>151.78799999999998</v>
      </c>
      <c r="AK143" s="13">
        <f t="shared" si="143"/>
        <v>38.984634390835623</v>
      </c>
      <c r="AL143" s="20">
        <f t="shared" si="112"/>
        <v>332.26233823070532</v>
      </c>
      <c r="AM143" s="59">
        <f t="shared" si="113"/>
        <v>625.59567156403864</v>
      </c>
      <c r="AN143" s="59">
        <f ca="1">AVERAGE(OFFSET($AM$3,0,0,'Données projet'!$E$10+1,1))-AVERAGE(OFFSET($H$3,0,0,'Données projet'!$E$10+1,1))</f>
        <v>159.92263609041913</v>
      </c>
      <c r="AO143" s="59">
        <f t="shared" si="144"/>
        <v>271.78119133009307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4.1557018625657323</v>
      </c>
      <c r="AV143" s="21">
        <f>EXP(-LN(2)/25)*AV142+(1-EXP(-LN(2)/25))/(LN(2)/25)*Calculateur!AQ143*Calculateur!AS143*VLOOKUP('Données projet'!$B$10,Paramètres!$A$1:$I$89,3,0)*0.475*44/12</f>
        <v>4.5491139905889915</v>
      </c>
      <c r="AW143" s="21">
        <f>EXP(-LN(2)/2)*AW142+(1-EXP(-LN(2)/2))/(LN(2)/2)*AQ143*AT143*VLOOKUP('Données projet'!$B$10,Paramètres!$A$1:$I$89,3,0)*0.475*44/12</f>
        <v>7.0376514530500578E-19</v>
      </c>
      <c r="AX143" s="21">
        <f t="shared" si="114"/>
        <v>8.7048158531547237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243</v>
      </c>
      <c r="BE143" s="13">
        <f>BD143*VLOOKUP('Données projet'!$B$11,Paramètres!$A$1:$I$89,3,0)*VLOOKUP('Données projet'!$B$11,Paramètres!$A$1:$I$89,5,0)</f>
        <v>212.28480000000002</v>
      </c>
      <c r="BF143" s="13">
        <f t="shared" si="145"/>
        <v>52.434557099704193</v>
      </c>
      <c r="BG143" s="20">
        <f t="shared" si="115"/>
        <v>461.05288028198476</v>
      </c>
      <c r="BH143" s="59">
        <f t="shared" si="116"/>
        <v>754.38621361531807</v>
      </c>
      <c r="BI143" s="59">
        <f ca="1">AVERAGE(OFFSET($BH$3,0,0,'Données projet'!$E$11+1,1))-AVERAGE(OFFSET($H$3,0,0,'Données projet'!$E$11+1,1))</f>
        <v>268.27008134105046</v>
      </c>
      <c r="BJ143" s="59">
        <f t="shared" si="146"/>
        <v>252.36274686619709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25.423129599817994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25.423129599817994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0.8600000000003547</v>
      </c>
      <c r="O144" s="13">
        <f>N144*VLOOKUP('Données projet'!$B$9,Paramètres!$A$1:$I$89,3,0)*VLOOKUP('Données projet'!$B$9,Paramètres!$A$1:$I$89,5,0)</f>
        <v>0.48074000000019829</v>
      </c>
      <c r="P144" s="13">
        <f t="shared" si="141"/>
        <v>0.24126147010950588</v>
      </c>
      <c r="Q144" s="20">
        <f t="shared" si="108"/>
        <v>1.2574858937744013</v>
      </c>
      <c r="R144" s="59">
        <f t="shared" si="109"/>
        <v>294.59081922710772</v>
      </c>
      <c r="S144" s="59">
        <f ca="1">AVERAGE(OFFSET($R$3,0,0,'Données projet'!$E$9+1,1))-AVERAGE(OFFSET($H$3,0,0,'Données projet'!$E$9+1,1))</f>
        <v>350.01600895263641</v>
      </c>
      <c r="T144" s="59">
        <f t="shared" si="142"/>
        <v>464.08921044376882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67.705477868179315</v>
      </c>
      <c r="AA144" s="21">
        <f>EXP(-LN(2)/25)*AA143+(1-EXP(-LN(2)/25))/(LN(2)/25)*Calculateur!V144*Calculateur!X144*VLOOKUP('Données projet'!$B$9,Paramètres!$A$1:$I$89,3,0)*0.475*44/12</f>
        <v>2.32986465346612</v>
      </c>
      <c r="AB144" s="21">
        <f>EXP(-LN(2)/2)*AB143+(1-EXP(-LN(2)/2))/(LN(2)/2)*V144*Y144*VLOOKUP('Données projet'!$B$9,Paramètres!$A$1:$I$89,3,0)*0.475*44/12</f>
        <v>1.4521795533835379E-17</v>
      </c>
      <c r="AC144" s="22">
        <f t="shared" si="111"/>
        <v>70.035342521645433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277.99999999999994</v>
      </c>
      <c r="AJ144" s="13">
        <f>AI144*VLOOKUP('Données projet'!$B$10,Paramètres!$A$1:$I$89,3,0)*VLOOKUP('Données projet'!$B$10,Paramètres!$A$1:$I$89,5,0)</f>
        <v>151.78799999999998</v>
      </c>
      <c r="AK144" s="13">
        <f t="shared" si="143"/>
        <v>38.984634390835623</v>
      </c>
      <c r="AL144" s="20">
        <f t="shared" si="112"/>
        <v>332.26233823070532</v>
      </c>
      <c r="AM144" s="59">
        <f t="shared" si="113"/>
        <v>625.59567156403864</v>
      </c>
      <c r="AN144" s="59">
        <f ca="1">AVERAGE(OFFSET($AM$3,0,0,'Données projet'!$E$10+1,1))-AVERAGE(OFFSET($H$3,0,0,'Données projet'!$E$10+1,1))</f>
        <v>159.92263609041913</v>
      </c>
      <c r="AO144" s="59">
        <f t="shared" si="144"/>
        <v>271.78119133009307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4.0742110837686711</v>
      </c>
      <c r="AV144" s="21">
        <f>EXP(-LN(2)/25)*AV143+(1-EXP(-LN(2)/25))/(LN(2)/25)*Calculateur!AQ144*Calculateur!AS144*VLOOKUP('Données projet'!$B$10,Paramètres!$A$1:$I$89,3,0)*0.475*44/12</f>
        <v>4.4247182292888283</v>
      </c>
      <c r="AW144" s="21">
        <f>EXP(-LN(2)/2)*AW143+(1-EXP(-LN(2)/2))/(LN(2)/2)*AQ144*AT144*VLOOKUP('Données projet'!$B$10,Paramètres!$A$1:$I$89,3,0)*0.475*44/12</f>
        <v>4.9763710660790553E-19</v>
      </c>
      <c r="AX144" s="21">
        <f t="shared" si="114"/>
        <v>8.4989293130574985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243</v>
      </c>
      <c r="BE144" s="13">
        <f>BD144*VLOOKUP('Données projet'!$B$11,Paramètres!$A$1:$I$89,3,0)*VLOOKUP('Données projet'!$B$11,Paramètres!$A$1:$I$89,5,0)</f>
        <v>212.28480000000002</v>
      </c>
      <c r="BF144" s="13">
        <f t="shared" si="145"/>
        <v>52.434557099704193</v>
      </c>
      <c r="BG144" s="20">
        <f t="shared" si="115"/>
        <v>461.05288028198476</v>
      </c>
      <c r="BH144" s="59">
        <f t="shared" si="116"/>
        <v>754.38621361531807</v>
      </c>
      <c r="BI144" s="59">
        <f ca="1">AVERAGE(OFFSET($BH$3,0,0,'Données projet'!$E$11+1,1))-AVERAGE(OFFSET($H$3,0,0,'Données projet'!$E$11+1,1))</f>
        <v>268.27008134105046</v>
      </c>
      <c r="BJ144" s="59">
        <f t="shared" si="146"/>
        <v>252.36274686619709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24.924597534943473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24.924597534943473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0.8600000000003547</v>
      </c>
      <c r="O145" s="13">
        <f>N145*VLOOKUP('Données projet'!$B$9,Paramètres!$A$1:$I$89,3,0)*VLOOKUP('Données projet'!$B$9,Paramètres!$A$1:$I$89,5,0)</f>
        <v>0.48074000000019829</v>
      </c>
      <c r="P145" s="13">
        <f t="shared" si="141"/>
        <v>0.24126147010950588</v>
      </c>
      <c r="Q145" s="20">
        <f t="shared" si="108"/>
        <v>1.2574858937744013</v>
      </c>
      <c r="R145" s="59">
        <f t="shared" si="109"/>
        <v>294.59081922710772</v>
      </c>
      <c r="S145" s="59">
        <f ca="1">AVERAGE(OFFSET($R$3,0,0,'Données projet'!$E$9+1,1))-AVERAGE(OFFSET($H$3,0,0,'Données projet'!$E$9+1,1))</f>
        <v>350.01600895263641</v>
      </c>
      <c r="T145" s="59">
        <f t="shared" si="142"/>
        <v>464.08921044376882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66.377814743448155</v>
      </c>
      <c r="AA145" s="21">
        <f>EXP(-LN(2)/25)*AA144+(1-EXP(-LN(2)/25))/(LN(2)/25)*Calculateur!V145*Calculateur!X145*VLOOKUP('Données projet'!$B$9,Paramètres!$A$1:$I$89,3,0)*0.475*44/12</f>
        <v>2.266154381994832</v>
      </c>
      <c r="AB145" s="21">
        <f>EXP(-LN(2)/2)*AB144+(1-EXP(-LN(2)/2))/(LN(2)/2)*V145*Y145*VLOOKUP('Données projet'!$B$9,Paramètres!$A$1:$I$89,3,0)*0.475*44/12</f>
        <v>1.0268460096979517E-17</v>
      </c>
      <c r="AC145" s="22">
        <f t="shared" si="111"/>
        <v>68.643969125442993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277.99999999999994</v>
      </c>
      <c r="AJ145" s="13">
        <f>AI145*VLOOKUP('Données projet'!$B$10,Paramètres!$A$1:$I$89,3,0)*VLOOKUP('Données projet'!$B$10,Paramètres!$A$1:$I$89,5,0)</f>
        <v>151.78799999999998</v>
      </c>
      <c r="AK145" s="13">
        <f t="shared" si="143"/>
        <v>38.984634390835623</v>
      </c>
      <c r="AL145" s="20">
        <f t="shared" si="112"/>
        <v>332.26233823070532</v>
      </c>
      <c r="AM145" s="59">
        <f t="shared" si="113"/>
        <v>625.59567156403864</v>
      </c>
      <c r="AN145" s="59">
        <f ca="1">AVERAGE(OFFSET($AM$3,0,0,'Données projet'!$E$10+1,1))-AVERAGE(OFFSET($H$3,0,0,'Données projet'!$E$10+1,1))</f>
        <v>159.92263609041913</v>
      </c>
      <c r="AO145" s="59">
        <f t="shared" si="144"/>
        <v>271.78119133009307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3.9943182894393527</v>
      </c>
      <c r="AV145" s="21">
        <f>EXP(-LN(2)/25)*AV144+(1-EXP(-LN(2)/25))/(LN(2)/25)*Calculateur!AQ145*Calculateur!AS145*VLOOKUP('Données projet'!$B$10,Paramètres!$A$1:$I$89,3,0)*0.475*44/12</f>
        <v>4.3037240766231069</v>
      </c>
      <c r="AW145" s="21">
        <f>EXP(-LN(2)/2)*AW144+(1-EXP(-LN(2)/2))/(LN(2)/2)*AQ145*AT145*VLOOKUP('Données projet'!$B$10,Paramètres!$A$1:$I$89,3,0)*0.475*44/12</f>
        <v>3.5188257265250289E-19</v>
      </c>
      <c r="AX145" s="21">
        <f t="shared" si="114"/>
        <v>8.2980423660624592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243</v>
      </c>
      <c r="BE145" s="13">
        <f>BD145*VLOOKUP('Données projet'!$B$11,Paramètres!$A$1:$I$89,3,0)*VLOOKUP('Données projet'!$B$11,Paramètres!$A$1:$I$89,5,0)</f>
        <v>212.28480000000002</v>
      </c>
      <c r="BF145" s="13">
        <f t="shared" si="145"/>
        <v>52.434557099704193</v>
      </c>
      <c r="BG145" s="20">
        <f t="shared" si="115"/>
        <v>461.05288028198476</v>
      </c>
      <c r="BH145" s="59">
        <f t="shared" si="116"/>
        <v>754.38621361531807</v>
      </c>
      <c r="BI145" s="59">
        <f ca="1">AVERAGE(OFFSET($BH$3,0,0,'Données projet'!$E$11+1,1))-AVERAGE(OFFSET($H$3,0,0,'Données projet'!$E$11+1,1))</f>
        <v>268.27008134105046</v>
      </c>
      <c r="BJ145" s="59">
        <f t="shared" si="146"/>
        <v>252.36274686619709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24.435841379786606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24.435841379786606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0.8600000000003547</v>
      </c>
      <c r="O146" s="13">
        <f>N146*VLOOKUP('Données projet'!$B$9,Paramètres!$A$1:$I$89,3,0)*VLOOKUP('Données projet'!$B$9,Paramètres!$A$1:$I$89,5,0)</f>
        <v>0.48074000000019829</v>
      </c>
      <c r="P146" s="13">
        <f t="shared" si="141"/>
        <v>0.24126147010950588</v>
      </c>
      <c r="Q146" s="20">
        <f t="shared" si="108"/>
        <v>1.2574858937744013</v>
      </c>
      <c r="R146" s="59">
        <f t="shared" si="109"/>
        <v>294.59081922710772</v>
      </c>
      <c r="S146" s="59">
        <f ca="1">AVERAGE(OFFSET($R$3,0,0,'Données projet'!$E$9+1,1))-AVERAGE(OFFSET($H$3,0,0,'Données projet'!$E$9+1,1))</f>
        <v>350.01600895263641</v>
      </c>
      <c r="T146" s="59">
        <f t="shared" si="142"/>
        <v>464.08921044376882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65.076186282798417</v>
      </c>
      <c r="AA146" s="21">
        <f>EXP(-LN(2)/25)*AA145+(1-EXP(-LN(2)/25))/(LN(2)/25)*Calculateur!V146*Calculateur!X146*VLOOKUP('Données projet'!$B$9,Paramètres!$A$1:$I$89,3,0)*0.475*44/12</f>
        <v>2.2041862712473037</v>
      </c>
      <c r="AB146" s="21">
        <f>EXP(-LN(2)/2)*AB145+(1-EXP(-LN(2)/2))/(LN(2)/2)*V146*Y146*VLOOKUP('Données projet'!$B$9,Paramètres!$A$1:$I$89,3,0)*0.475*44/12</f>
        <v>7.2608977669176894E-18</v>
      </c>
      <c r="AC146" s="22">
        <f t="shared" si="111"/>
        <v>67.280372554045726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277.99999999999994</v>
      </c>
      <c r="AJ146" s="13">
        <f>AI146*VLOOKUP('Données projet'!$B$10,Paramètres!$A$1:$I$89,3,0)*VLOOKUP('Données projet'!$B$10,Paramètres!$A$1:$I$89,5,0)</f>
        <v>151.78799999999998</v>
      </c>
      <c r="AK146" s="13">
        <f t="shared" si="143"/>
        <v>38.984634390835623</v>
      </c>
      <c r="AL146" s="20">
        <f t="shared" si="112"/>
        <v>332.26233823070532</v>
      </c>
      <c r="AM146" s="59">
        <f t="shared" si="113"/>
        <v>625.59567156403864</v>
      </c>
      <c r="AN146" s="59">
        <f ca="1">AVERAGE(OFFSET($AM$3,0,0,'Données projet'!$E$10+1,1))-AVERAGE(OFFSET($H$3,0,0,'Données projet'!$E$10+1,1))</f>
        <v>159.92263609041913</v>
      </c>
      <c r="AO146" s="59">
        <f t="shared" si="144"/>
        <v>271.78119133009307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3.9159921440770398</v>
      </c>
      <c r="AV146" s="21">
        <f>EXP(-LN(2)/25)*AV145+(1-EXP(-LN(2)/25))/(LN(2)/25)*Calculateur!AQ146*Calculateur!AS146*VLOOKUP('Données projet'!$B$10,Paramètres!$A$1:$I$89,3,0)*0.475*44/12</f>
        <v>4.1860385154248352</v>
      </c>
      <c r="AW146" s="21">
        <f>EXP(-LN(2)/2)*AW145+(1-EXP(-LN(2)/2))/(LN(2)/2)*AQ146*AT146*VLOOKUP('Données projet'!$B$10,Paramètres!$A$1:$I$89,3,0)*0.475*44/12</f>
        <v>2.4881855330395277E-19</v>
      </c>
      <c r="AX146" s="21">
        <f t="shared" si="114"/>
        <v>8.1020306595018745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243</v>
      </c>
      <c r="BE146" s="13">
        <f>BD146*VLOOKUP('Données projet'!$B$11,Paramètres!$A$1:$I$89,3,0)*VLOOKUP('Données projet'!$B$11,Paramètres!$A$1:$I$89,5,0)</f>
        <v>212.28480000000002</v>
      </c>
      <c r="BF146" s="13">
        <f t="shared" si="145"/>
        <v>52.434557099704193</v>
      </c>
      <c r="BG146" s="20">
        <f t="shared" si="115"/>
        <v>461.05288028198476</v>
      </c>
      <c r="BH146" s="59">
        <f t="shared" si="116"/>
        <v>754.38621361531807</v>
      </c>
      <c r="BI146" s="59">
        <f ca="1">AVERAGE(OFFSET($BH$3,0,0,'Données projet'!$E$11+1,1))-AVERAGE(OFFSET($H$3,0,0,'Données projet'!$E$11+1,1))</f>
        <v>268.27008134105046</v>
      </c>
      <c r="BJ146" s="59">
        <f t="shared" si="146"/>
        <v>252.36274686619709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23.956669434720546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23.956669434720546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0.8600000000003547</v>
      </c>
      <c r="O147" s="13">
        <f>N147*VLOOKUP('Données projet'!$B$9,Paramètres!$A$1:$I$89,3,0)*VLOOKUP('Données projet'!$B$9,Paramètres!$A$1:$I$89,5,0)</f>
        <v>0.48074000000019829</v>
      </c>
      <c r="P147" s="13">
        <f t="shared" si="141"/>
        <v>0.24126147010950588</v>
      </c>
      <c r="Q147" s="20">
        <f t="shared" si="108"/>
        <v>1.2574858937744013</v>
      </c>
      <c r="R147" s="59">
        <f t="shared" si="109"/>
        <v>294.59081922710772</v>
      </c>
      <c r="S147" s="59">
        <f ca="1">AVERAGE(OFFSET($R$3,0,0,'Données projet'!$E$9+1,1))-AVERAGE(OFFSET($H$3,0,0,'Données projet'!$E$9+1,1))</f>
        <v>350.01600895263641</v>
      </c>
      <c r="T147" s="59">
        <f t="shared" si="142"/>
        <v>464.08921044376882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63.800081962347058</v>
      </c>
      <c r="AA147" s="21">
        <f>EXP(-LN(2)/25)*AA146+(1-EXP(-LN(2)/25))/(LN(2)/25)*Calculateur!V147*Calculateur!X147*VLOOKUP('Données projet'!$B$9,Paramètres!$A$1:$I$89,3,0)*0.475*44/12</f>
        <v>2.1439126817469281</v>
      </c>
      <c r="AB147" s="21">
        <f>EXP(-LN(2)/2)*AB146+(1-EXP(-LN(2)/2))/(LN(2)/2)*V147*Y147*VLOOKUP('Données projet'!$B$9,Paramètres!$A$1:$I$89,3,0)*0.475*44/12</f>
        <v>5.1342300484897583E-18</v>
      </c>
      <c r="AC147" s="22">
        <f t="shared" si="111"/>
        <v>65.943994644093991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277.99999999999994</v>
      </c>
      <c r="AJ147" s="13">
        <f>AI147*VLOOKUP('Données projet'!$B$10,Paramètres!$A$1:$I$89,3,0)*VLOOKUP('Données projet'!$B$10,Paramètres!$A$1:$I$89,5,0)</f>
        <v>151.78799999999998</v>
      </c>
      <c r="AK147" s="13">
        <f t="shared" si="143"/>
        <v>38.984634390835623</v>
      </c>
      <c r="AL147" s="20">
        <f t="shared" si="112"/>
        <v>332.26233823070532</v>
      </c>
      <c r="AM147" s="59">
        <f t="shared" si="113"/>
        <v>625.59567156403864</v>
      </c>
      <c r="AN147" s="59">
        <f ca="1">AVERAGE(OFFSET($AM$3,0,0,'Données projet'!$E$10+1,1))-AVERAGE(OFFSET($H$3,0,0,'Données projet'!$E$10+1,1))</f>
        <v>159.92263609041913</v>
      </c>
      <c r="AO147" s="59">
        <f t="shared" si="144"/>
        <v>271.78119133009307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3.8392019266510502</v>
      </c>
      <c r="AV147" s="21">
        <f>EXP(-LN(2)/25)*AV146+(1-EXP(-LN(2)/25))/(LN(2)/25)*Calculateur!AQ147*Calculateur!AS147*VLOOKUP('Données projet'!$B$10,Paramètres!$A$1:$I$89,3,0)*0.475*44/12</f>
        <v>4.0715710720863445</v>
      </c>
      <c r="AW147" s="21">
        <f>EXP(-LN(2)/2)*AW146+(1-EXP(-LN(2)/2))/(LN(2)/2)*AQ147*AT147*VLOOKUP('Données projet'!$B$10,Paramètres!$A$1:$I$89,3,0)*0.475*44/12</f>
        <v>1.7594128632625144E-19</v>
      </c>
      <c r="AX147" s="21">
        <f t="shared" si="114"/>
        <v>7.9107729987373947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243</v>
      </c>
      <c r="BE147" s="13">
        <f>BD147*VLOOKUP('Données projet'!$B$11,Paramètres!$A$1:$I$89,3,0)*VLOOKUP('Données projet'!$B$11,Paramètres!$A$1:$I$89,5,0)</f>
        <v>212.28480000000002</v>
      </c>
      <c r="BF147" s="13">
        <f t="shared" si="145"/>
        <v>52.434557099704193</v>
      </c>
      <c r="BG147" s="20">
        <f t="shared" si="115"/>
        <v>461.05288028198476</v>
      </c>
      <c r="BH147" s="59">
        <f t="shared" si="116"/>
        <v>754.38621361531807</v>
      </c>
      <c r="BI147" s="59">
        <f ca="1">AVERAGE(OFFSET($BH$3,0,0,'Données projet'!$E$11+1,1))-AVERAGE(OFFSET($H$3,0,0,'Données projet'!$E$11+1,1))</f>
        <v>268.27008134105046</v>
      </c>
      <c r="BJ147" s="59">
        <f t="shared" si="146"/>
        <v>252.36274686619709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23.486893759231204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23.486893759231204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0.8600000000003547</v>
      </c>
      <c r="O148" s="13">
        <f>N148*VLOOKUP('Données projet'!$B$9,Paramètres!$A$1:$I$89,3,0)*VLOOKUP('Données projet'!$B$9,Paramètres!$A$1:$I$89,5,0)</f>
        <v>0.48074000000019829</v>
      </c>
      <c r="P148" s="13">
        <f t="shared" si="141"/>
        <v>0.24126147010950588</v>
      </c>
      <c r="Q148" s="20">
        <f t="shared" si="108"/>
        <v>1.2574858937744013</v>
      </c>
      <c r="R148" s="59">
        <f t="shared" si="109"/>
        <v>294.59081922710772</v>
      </c>
      <c r="S148" s="59">
        <f ca="1">AVERAGE(OFFSET($R$3,0,0,'Données projet'!$E$9+1,1))-AVERAGE(OFFSET($H$3,0,0,'Données projet'!$E$9+1,1))</f>
        <v>350.01600895263641</v>
      </c>
      <c r="T148" s="59">
        <f t="shared" si="142"/>
        <v>464.08921044376882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62.549001269272971</v>
      </c>
      <c r="AA148" s="21">
        <f>EXP(-LN(2)/25)*AA147+(1-EXP(-LN(2)/25))/(LN(2)/25)*Calculateur!V148*Calculateur!X148*VLOOKUP('Données projet'!$B$9,Paramètres!$A$1:$I$89,3,0)*0.475*44/12</f>
        <v>2.0852872767210902</v>
      </c>
      <c r="AB148" s="21">
        <f>EXP(-LN(2)/2)*AB147+(1-EXP(-LN(2)/2))/(LN(2)/2)*V148*Y148*VLOOKUP('Données projet'!$B$9,Paramètres!$A$1:$I$89,3,0)*0.475*44/12</f>
        <v>3.6304488834588447E-18</v>
      </c>
      <c r="AC148" s="22">
        <f t="shared" si="111"/>
        <v>64.634288545994067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277.99999999999994</v>
      </c>
      <c r="AJ148" s="13">
        <f>AI148*VLOOKUP('Données projet'!$B$10,Paramètres!$A$1:$I$89,3,0)*VLOOKUP('Données projet'!$B$10,Paramètres!$A$1:$I$89,5,0)</f>
        <v>151.78799999999998</v>
      </c>
      <c r="AK148" s="13">
        <f t="shared" si="143"/>
        <v>38.984634390835623</v>
      </c>
      <c r="AL148" s="20">
        <f t="shared" si="112"/>
        <v>332.26233823070532</v>
      </c>
      <c r="AM148" s="59">
        <f t="shared" si="113"/>
        <v>625.59567156403864</v>
      </c>
      <c r="AN148" s="59">
        <f ca="1">AVERAGE(OFFSET($AM$3,0,0,'Données projet'!$E$10+1,1))-AVERAGE(OFFSET($H$3,0,0,'Données projet'!$E$10+1,1))</f>
        <v>159.92263609041913</v>
      </c>
      <c r="AO148" s="59">
        <f t="shared" si="144"/>
        <v>271.78119133009307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3.7639175185513767</v>
      </c>
      <c r="AV148" s="21">
        <f>EXP(-LN(2)/25)*AV147+(1-EXP(-LN(2)/25))/(LN(2)/25)*Calculateur!AQ148*Calculateur!AS148*VLOOKUP('Données projet'!$B$10,Paramètres!$A$1:$I$89,3,0)*0.475*44/12</f>
        <v>3.9602337470055264</v>
      </c>
      <c r="AW148" s="21">
        <f>EXP(-LN(2)/2)*AW147+(1-EXP(-LN(2)/2))/(LN(2)/2)*AQ148*AT148*VLOOKUP('Données projet'!$B$10,Paramètres!$A$1:$I$89,3,0)*0.475*44/12</f>
        <v>1.2440927665197638E-19</v>
      </c>
      <c r="AX148" s="21">
        <f t="shared" si="114"/>
        <v>7.7241512655569036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243</v>
      </c>
      <c r="BE148" s="13">
        <f>BD148*VLOOKUP('Données projet'!$B$11,Paramètres!$A$1:$I$89,3,0)*VLOOKUP('Données projet'!$B$11,Paramètres!$A$1:$I$89,5,0)</f>
        <v>212.28480000000002</v>
      </c>
      <c r="BF148" s="13">
        <f t="shared" si="145"/>
        <v>52.434557099704193</v>
      </c>
      <c r="BG148" s="20">
        <f t="shared" si="115"/>
        <v>461.05288028198476</v>
      </c>
      <c r="BH148" s="59">
        <f t="shared" si="116"/>
        <v>754.38621361531807</v>
      </c>
      <c r="BI148" s="59">
        <f ca="1">AVERAGE(OFFSET($BH$3,0,0,'Données projet'!$E$11+1,1))-AVERAGE(OFFSET($H$3,0,0,'Données projet'!$E$11+1,1))</f>
        <v>268.27008134105046</v>
      </c>
      <c r="BJ148" s="59">
        <f t="shared" si="146"/>
        <v>252.36274686619709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23.026330098203339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23.026330098203339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0.8600000000003547</v>
      </c>
      <c r="O149" s="13">
        <f>N149*VLOOKUP('Données projet'!$B$9,Paramètres!$A$1:$I$89,3,0)*VLOOKUP('Données projet'!$B$9,Paramètres!$A$1:$I$89,5,0)</f>
        <v>0.48074000000019829</v>
      </c>
      <c r="P149" s="13">
        <f t="shared" si="141"/>
        <v>0.24126147010950588</v>
      </c>
      <c r="Q149" s="20">
        <f t="shared" si="108"/>
        <v>1.2574858937744013</v>
      </c>
      <c r="R149" s="59">
        <f t="shared" si="109"/>
        <v>294.59081922710772</v>
      </c>
      <c r="S149" s="59">
        <f ca="1">AVERAGE(OFFSET($R$3,0,0,'Données projet'!$E$9+1,1))-AVERAGE(OFFSET($H$3,0,0,'Données projet'!$E$9+1,1))</f>
        <v>350.01600895263641</v>
      </c>
      <c r="T149" s="59">
        <f t="shared" si="142"/>
        <v>464.08921044376882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61.322453505506189</v>
      </c>
      <c r="AA149" s="21">
        <f>EXP(-LN(2)/25)*AA148+(1-EXP(-LN(2)/25))/(LN(2)/25)*Calculateur!V149*Calculateur!X149*VLOOKUP('Données projet'!$B$9,Paramètres!$A$1:$I$89,3,0)*0.475*44/12</f>
        <v>2.0282649864786602</v>
      </c>
      <c r="AB149" s="21">
        <f>EXP(-LN(2)/2)*AB148+(1-EXP(-LN(2)/2))/(LN(2)/2)*V149*Y149*VLOOKUP('Données projet'!$B$9,Paramètres!$A$1:$I$89,3,0)*0.475*44/12</f>
        <v>2.5671150242448792E-18</v>
      </c>
      <c r="AC149" s="22">
        <f t="shared" si="111"/>
        <v>63.35071849198485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277.99999999999994</v>
      </c>
      <c r="AJ149" s="13">
        <f>AI149*VLOOKUP('Données projet'!$B$10,Paramètres!$A$1:$I$89,3,0)*VLOOKUP('Données projet'!$B$10,Paramètres!$A$1:$I$89,5,0)</f>
        <v>151.78799999999998</v>
      </c>
      <c r="AK149" s="13">
        <f t="shared" si="143"/>
        <v>38.984634390835623</v>
      </c>
      <c r="AL149" s="20">
        <f t="shared" si="112"/>
        <v>332.26233823070532</v>
      </c>
      <c r="AM149" s="59">
        <f t="shared" si="113"/>
        <v>625.59567156403864</v>
      </c>
      <c r="AN149" s="59">
        <f ca="1">AVERAGE(OFFSET($AM$3,0,0,'Données projet'!$E$10+1,1))-AVERAGE(OFFSET($H$3,0,0,'Données projet'!$E$10+1,1))</f>
        <v>159.92263609041913</v>
      </c>
      <c r="AO149" s="59">
        <f t="shared" si="144"/>
        <v>271.78119133009307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3.6901093917755827</v>
      </c>
      <c r="AV149" s="21">
        <f>EXP(-LN(2)/25)*AV148+(1-EXP(-LN(2)/25))/(LN(2)/25)*Calculateur!AQ149*Calculateur!AS149*VLOOKUP('Données projet'!$B$10,Paramètres!$A$1:$I$89,3,0)*0.475*44/12</f>
        <v>3.8519409469340187</v>
      </c>
      <c r="AW149" s="21">
        <f>EXP(-LN(2)/2)*AW148+(1-EXP(-LN(2)/2))/(LN(2)/2)*AQ149*AT149*VLOOKUP('Données projet'!$B$10,Paramètres!$A$1:$I$89,3,0)*0.475*44/12</f>
        <v>8.7970643163125722E-20</v>
      </c>
      <c r="AX149" s="21">
        <f t="shared" si="114"/>
        <v>7.5420503387096014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243</v>
      </c>
      <c r="BE149" s="13">
        <f>BD149*VLOOKUP('Données projet'!$B$11,Paramètres!$A$1:$I$89,3,0)*VLOOKUP('Données projet'!$B$11,Paramètres!$A$1:$I$89,5,0)</f>
        <v>212.28480000000002</v>
      </c>
      <c r="BF149" s="13">
        <f t="shared" si="145"/>
        <v>52.434557099704193</v>
      </c>
      <c r="BG149" s="20">
        <f t="shared" si="115"/>
        <v>461.05288028198476</v>
      </c>
      <c r="BH149" s="59">
        <f t="shared" si="116"/>
        <v>754.38621361531807</v>
      </c>
      <c r="BI149" s="59">
        <f ca="1">AVERAGE(OFFSET($BH$3,0,0,'Données projet'!$E$11+1,1))-AVERAGE(OFFSET($H$3,0,0,'Données projet'!$E$11+1,1))</f>
        <v>268.27008134105046</v>
      </c>
      <c r="BJ149" s="59">
        <f t="shared" si="146"/>
        <v>252.36274686619709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22.574797809652136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22.574797809652136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0.8600000000003547</v>
      </c>
      <c r="O150" s="13">
        <f>N150*VLOOKUP('Données projet'!$B$9,Paramètres!$A$1:$I$89,3,0)*VLOOKUP('Données projet'!$B$9,Paramètres!$A$1:$I$89,5,0)</f>
        <v>0.48074000000019829</v>
      </c>
      <c r="P150" s="13">
        <f t="shared" si="141"/>
        <v>0.24126147010950588</v>
      </c>
      <c r="Q150" s="20">
        <f t="shared" si="108"/>
        <v>1.2574858937744013</v>
      </c>
      <c r="R150" s="59">
        <f t="shared" si="109"/>
        <v>294.59081922710772</v>
      </c>
      <c r="S150" s="59">
        <f ca="1">AVERAGE(OFFSET($R$3,0,0,'Données projet'!$E$9+1,1))-AVERAGE(OFFSET($H$3,0,0,'Données projet'!$E$9+1,1))</f>
        <v>350.01600895263641</v>
      </c>
      <c r="T150" s="59">
        <f t="shared" si="142"/>
        <v>464.08921044376882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60.119957595266612</v>
      </c>
      <c r="AA150" s="21">
        <f>EXP(-LN(2)/25)*AA149+(1-EXP(-LN(2)/25))/(LN(2)/25)*Calculateur!V150*Calculateur!X150*VLOOKUP('Données projet'!$B$9,Paramètres!$A$1:$I$89,3,0)*0.475*44/12</f>
        <v>1.9728019737615812</v>
      </c>
      <c r="AB150" s="21">
        <f>EXP(-LN(2)/2)*AB149+(1-EXP(-LN(2)/2))/(LN(2)/2)*V150*Y150*VLOOKUP('Données projet'!$B$9,Paramètres!$A$1:$I$89,3,0)*0.475*44/12</f>
        <v>1.8152244417294224E-18</v>
      </c>
      <c r="AC150" s="22">
        <f t="shared" si="111"/>
        <v>62.092759569028196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277.99999999999994</v>
      </c>
      <c r="AJ150" s="13">
        <f>AI150*VLOOKUP('Données projet'!$B$10,Paramètres!$A$1:$I$89,3,0)*VLOOKUP('Données projet'!$B$10,Paramètres!$A$1:$I$89,5,0)</f>
        <v>151.78799999999998</v>
      </c>
      <c r="AK150" s="13">
        <f t="shared" si="143"/>
        <v>38.984634390835623</v>
      </c>
      <c r="AL150" s="20">
        <f t="shared" si="112"/>
        <v>332.26233823070532</v>
      </c>
      <c r="AM150" s="59">
        <f t="shared" si="113"/>
        <v>625.59567156403864</v>
      </c>
      <c r="AN150" s="59">
        <f ca="1">AVERAGE(OFFSET($AM$3,0,0,'Données projet'!$E$10+1,1))-AVERAGE(OFFSET($H$3,0,0,'Données projet'!$E$10+1,1))</f>
        <v>159.92263609041913</v>
      </c>
      <c r="AO150" s="59">
        <f t="shared" si="144"/>
        <v>271.78119133009307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3.61774859734735</v>
      </c>
      <c r="AV150" s="21">
        <f>EXP(-LN(2)/25)*AV149+(1-EXP(-LN(2)/25))/(LN(2)/25)*Calculateur!AQ150*Calculateur!AS150*VLOOKUP('Données projet'!$B$10,Paramètres!$A$1:$I$89,3,0)*0.475*44/12</f>
        <v>3.7466094191753374</v>
      </c>
      <c r="AW150" s="21">
        <f>EXP(-LN(2)/2)*AW149+(1-EXP(-LN(2)/2))/(LN(2)/2)*AQ150*AT150*VLOOKUP('Données projet'!$B$10,Paramètres!$A$1:$I$89,3,0)*0.475*44/12</f>
        <v>6.2204638325988191E-20</v>
      </c>
      <c r="AX150" s="21">
        <f t="shared" si="114"/>
        <v>7.3643580165226874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243</v>
      </c>
      <c r="BE150" s="13">
        <f>BD150*VLOOKUP('Données projet'!$B$11,Paramètres!$A$1:$I$89,3,0)*VLOOKUP('Données projet'!$B$11,Paramètres!$A$1:$I$89,5,0)</f>
        <v>212.28480000000002</v>
      </c>
      <c r="BF150" s="13">
        <f t="shared" si="145"/>
        <v>52.434557099704193</v>
      </c>
      <c r="BG150" s="20">
        <f t="shared" si="115"/>
        <v>461.05288028198476</v>
      </c>
      <c r="BH150" s="59">
        <f t="shared" si="116"/>
        <v>754.38621361531807</v>
      </c>
      <c r="BI150" s="59">
        <f ca="1">AVERAGE(OFFSET($BH$3,0,0,'Données projet'!$E$11+1,1))-AVERAGE(OFFSET($H$3,0,0,'Données projet'!$E$11+1,1))</f>
        <v>268.27008134105046</v>
      </c>
      <c r="BJ150" s="59">
        <f t="shared" si="146"/>
        <v>252.36274686619709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22.132119793871919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22.132119793871919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0.8600000000003547</v>
      </c>
      <c r="O151" s="13">
        <f>N151*VLOOKUP('Données projet'!$B$9,Paramètres!$A$1:$I$89,3,0)*VLOOKUP('Données projet'!$B$9,Paramètres!$A$1:$I$89,5,0)</f>
        <v>0.48074000000019829</v>
      </c>
      <c r="P151" s="13">
        <f t="shared" si="141"/>
        <v>0.24126147010950588</v>
      </c>
      <c r="Q151" s="20">
        <f t="shared" si="108"/>
        <v>1.2574858937744013</v>
      </c>
      <c r="R151" s="59">
        <f t="shared" si="109"/>
        <v>294.59081922710772</v>
      </c>
      <c r="S151" s="59">
        <f ca="1">AVERAGE(OFFSET($R$3,0,0,'Données projet'!$E$9+1,1))-AVERAGE(OFFSET($H$3,0,0,'Données projet'!$E$9+1,1))</f>
        <v>350.01600895263641</v>
      </c>
      <c r="T151" s="59">
        <f t="shared" si="142"/>
        <v>464.08921044376882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58.941041896376753</v>
      </c>
      <c r="AA151" s="21">
        <f>EXP(-LN(2)/25)*AA150+(1-EXP(-LN(2)/25))/(LN(2)/25)*Calculateur!V151*Calculateur!X151*VLOOKUP('Données projet'!$B$9,Paramètres!$A$1:$I$89,3,0)*0.475*44/12</f>
        <v>1.9188556000439239</v>
      </c>
      <c r="AB151" s="21">
        <f>EXP(-LN(2)/2)*AB150+(1-EXP(-LN(2)/2))/(LN(2)/2)*V151*Y151*VLOOKUP('Données projet'!$B$9,Paramètres!$A$1:$I$89,3,0)*0.475*44/12</f>
        <v>1.2835575121224396E-18</v>
      </c>
      <c r="AC151" s="22">
        <f t="shared" si="111"/>
        <v>60.859897496420679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277.99999999999994</v>
      </c>
      <c r="AJ151" s="13">
        <f>AI151*VLOOKUP('Données projet'!$B$10,Paramètres!$A$1:$I$89,3,0)*VLOOKUP('Données projet'!$B$10,Paramètres!$A$1:$I$89,5,0)</f>
        <v>151.78799999999998</v>
      </c>
      <c r="AK151" s="13">
        <f t="shared" si="143"/>
        <v>38.984634390835623</v>
      </c>
      <c r="AL151" s="20">
        <f t="shared" si="112"/>
        <v>332.26233823070532</v>
      </c>
      <c r="AM151" s="59">
        <f t="shared" si="113"/>
        <v>625.59567156403864</v>
      </c>
      <c r="AN151" s="59">
        <f ca="1">AVERAGE(OFFSET($AM$3,0,0,'Données projet'!$E$10+1,1))-AVERAGE(OFFSET($H$3,0,0,'Données projet'!$E$10+1,1))</f>
        <v>159.92263609041913</v>
      </c>
      <c r="AO151" s="59">
        <f t="shared" si="144"/>
        <v>271.78119133009307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3.5468067539621284</v>
      </c>
      <c r="AV151" s="21">
        <f>EXP(-LN(2)/25)*AV150+(1-EXP(-LN(2)/25))/(LN(2)/25)*Calculateur!AQ151*Calculateur!AS151*VLOOKUP('Données projet'!$B$10,Paramètres!$A$1:$I$89,3,0)*0.475*44/12</f>
        <v>3.6441581875823617</v>
      </c>
      <c r="AW151" s="21">
        <f>EXP(-LN(2)/2)*AW150+(1-EXP(-LN(2)/2))/(LN(2)/2)*AQ151*AT151*VLOOKUP('Données projet'!$B$10,Paramètres!$A$1:$I$89,3,0)*0.475*44/12</f>
        <v>4.3985321581562861E-20</v>
      </c>
      <c r="AX151" s="21">
        <f t="shared" si="114"/>
        <v>7.1909649415444896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243</v>
      </c>
      <c r="BE151" s="13">
        <f>BD151*VLOOKUP('Données projet'!$B$11,Paramètres!$A$1:$I$89,3,0)*VLOOKUP('Données projet'!$B$11,Paramètres!$A$1:$I$89,5,0)</f>
        <v>212.28480000000002</v>
      </c>
      <c r="BF151" s="13">
        <f t="shared" si="145"/>
        <v>52.434557099704193</v>
      </c>
      <c r="BG151" s="20">
        <f t="shared" si="115"/>
        <v>461.05288028198476</v>
      </c>
      <c r="BH151" s="59">
        <f t="shared" si="116"/>
        <v>754.38621361531807</v>
      </c>
      <c r="BI151" s="59">
        <f ca="1">AVERAGE(OFFSET($BH$3,0,0,'Données projet'!$E$11+1,1))-AVERAGE(OFFSET($H$3,0,0,'Données projet'!$E$11+1,1))</f>
        <v>268.27008134105046</v>
      </c>
      <c r="BJ151" s="59">
        <f t="shared" si="146"/>
        <v>252.36274686619709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21.698122423974223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21.698122423974223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0.8600000000003547</v>
      </c>
      <c r="O152" s="13">
        <f>N152*VLOOKUP('Données projet'!$B$9,Paramètres!$A$1:$I$89,3,0)*VLOOKUP('Données projet'!$B$9,Paramètres!$A$1:$I$89,5,0)</f>
        <v>0.48074000000019829</v>
      </c>
      <c r="P152" s="13">
        <f t="shared" si="141"/>
        <v>0.24126147010950588</v>
      </c>
      <c r="Q152" s="20">
        <f t="shared" si="108"/>
        <v>1.2574858937744013</v>
      </c>
      <c r="R152" s="59">
        <f t="shared" si="109"/>
        <v>294.59081922710772</v>
      </c>
      <c r="S152" s="59">
        <f ca="1">AVERAGE(OFFSET($R$3,0,0,'Données projet'!$E$9+1,1))-AVERAGE(OFFSET($H$3,0,0,'Données projet'!$E$9+1,1))</f>
        <v>350.01600895263641</v>
      </c>
      <c r="T152" s="59">
        <f t="shared" si="142"/>
        <v>464.08921044376882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57.785244015274543</v>
      </c>
      <c r="AA152" s="21">
        <f>EXP(-LN(2)/25)*AA151+(1-EXP(-LN(2)/25))/(LN(2)/25)*Calculateur!V152*Calculateur!X152*VLOOKUP('Données projet'!$B$9,Paramètres!$A$1:$I$89,3,0)*0.475*44/12</f>
        <v>1.8663843927524923</v>
      </c>
      <c r="AB152" s="21">
        <f>EXP(-LN(2)/2)*AB151+(1-EXP(-LN(2)/2))/(LN(2)/2)*V152*Y152*VLOOKUP('Données projet'!$B$9,Paramètres!$A$1:$I$89,3,0)*0.475*44/12</f>
        <v>9.0761222086471118E-19</v>
      </c>
      <c r="AC152" s="22">
        <f t="shared" si="111"/>
        <v>59.651628408027037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277.99999999999994</v>
      </c>
      <c r="AJ152" s="13">
        <f>AI152*VLOOKUP('Données projet'!$B$10,Paramètres!$A$1:$I$89,3,0)*VLOOKUP('Données projet'!$B$10,Paramètres!$A$1:$I$89,5,0)</f>
        <v>151.78799999999998</v>
      </c>
      <c r="AK152" s="13">
        <f t="shared" si="143"/>
        <v>38.984634390835623</v>
      </c>
      <c r="AL152" s="20">
        <f t="shared" si="112"/>
        <v>332.26233823070532</v>
      </c>
      <c r="AM152" s="59">
        <f t="shared" si="113"/>
        <v>625.59567156403864</v>
      </c>
      <c r="AN152" s="59">
        <f ca="1">AVERAGE(OFFSET($AM$3,0,0,'Données projet'!$E$10+1,1))-AVERAGE(OFFSET($H$3,0,0,'Données projet'!$E$10+1,1))</f>
        <v>159.92263609041913</v>
      </c>
      <c r="AO152" s="59">
        <f t="shared" si="144"/>
        <v>271.78119133009307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3.4772560368554393</v>
      </c>
      <c r="AV152" s="21">
        <f>EXP(-LN(2)/25)*AV151+(1-EXP(-LN(2)/25))/(LN(2)/25)*Calculateur!AQ152*Calculateur!AS152*VLOOKUP('Données projet'!$B$10,Paramètres!$A$1:$I$89,3,0)*0.475*44/12</f>
        <v>3.5445084903049717</v>
      </c>
      <c r="AW152" s="21">
        <f>EXP(-LN(2)/2)*AW151+(1-EXP(-LN(2)/2))/(LN(2)/2)*AQ152*AT152*VLOOKUP('Données projet'!$B$10,Paramètres!$A$1:$I$89,3,0)*0.475*44/12</f>
        <v>3.1102319162994096E-20</v>
      </c>
      <c r="AX152" s="21">
        <f t="shared" si="114"/>
        <v>7.0217645271604106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243</v>
      </c>
      <c r="BE152" s="13">
        <f>BD152*VLOOKUP('Données projet'!$B$11,Paramètres!$A$1:$I$89,3,0)*VLOOKUP('Données projet'!$B$11,Paramètres!$A$1:$I$89,5,0)</f>
        <v>212.28480000000002</v>
      </c>
      <c r="BF152" s="13">
        <f t="shared" si="145"/>
        <v>52.434557099704193</v>
      </c>
      <c r="BG152" s="20">
        <f t="shared" si="115"/>
        <v>461.05288028198476</v>
      </c>
      <c r="BH152" s="59">
        <f t="shared" si="116"/>
        <v>754.38621361531807</v>
      </c>
      <c r="BI152" s="59">
        <f ca="1">AVERAGE(OFFSET($BH$3,0,0,'Données projet'!$E$11+1,1))-AVERAGE(OFFSET($H$3,0,0,'Données projet'!$E$11+1,1))</f>
        <v>268.27008134105046</v>
      </c>
      <c r="BJ152" s="59">
        <f t="shared" si="146"/>
        <v>252.36274686619709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21.272635477787965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21.272635477787965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0.8600000000003547</v>
      </c>
      <c r="O153" s="13">
        <f>N153*VLOOKUP('Données projet'!$B$9,Paramètres!$A$1:$I$89,3,0)*VLOOKUP('Données projet'!$B$9,Paramètres!$A$1:$I$89,5,0)</f>
        <v>0.48074000000019829</v>
      </c>
      <c r="P153" s="13">
        <f t="shared" si="141"/>
        <v>0.24126147010950588</v>
      </c>
      <c r="Q153" s="20">
        <f t="shared" si="108"/>
        <v>1.2574858937744013</v>
      </c>
      <c r="R153" s="59">
        <f t="shared" si="109"/>
        <v>294.59081922710772</v>
      </c>
      <c r="S153" s="59">
        <f ca="1">AVERAGE(OFFSET($R$3,0,0,'Données projet'!$E$9+1,1))-AVERAGE(OFFSET($H$3,0,0,'Données projet'!$E$9+1,1))</f>
        <v>350.01600895263641</v>
      </c>
      <c r="T153" s="59">
        <f t="shared" si="142"/>
        <v>464.08921044376882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56.652110625653656</v>
      </c>
      <c r="AA153" s="21">
        <f>EXP(-LN(2)/25)*AA152+(1-EXP(-LN(2)/25))/(LN(2)/25)*Calculateur!V153*Calculateur!X153*VLOOKUP('Données projet'!$B$9,Paramètres!$A$1:$I$89,3,0)*0.475*44/12</f>
        <v>1.8153480133837858</v>
      </c>
      <c r="AB153" s="21">
        <f>EXP(-LN(2)/2)*AB152+(1-EXP(-LN(2)/2))/(LN(2)/2)*V153*Y153*VLOOKUP('Données projet'!$B$9,Paramètres!$A$1:$I$89,3,0)*0.475*44/12</f>
        <v>6.4177875606121979E-19</v>
      </c>
      <c r="AC153" s="22">
        <f t="shared" si="111"/>
        <v>58.467458639037439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277.99999999999994</v>
      </c>
      <c r="AJ153" s="13">
        <f>AI153*VLOOKUP('Données projet'!$B$10,Paramètres!$A$1:$I$89,3,0)*VLOOKUP('Données projet'!$B$10,Paramètres!$A$1:$I$89,5,0)</f>
        <v>151.78799999999998</v>
      </c>
      <c r="AK153" s="13">
        <f t="shared" si="143"/>
        <v>38.984634390835623</v>
      </c>
      <c r="AL153" s="20">
        <f t="shared" si="112"/>
        <v>332.26233823070532</v>
      </c>
      <c r="AM153" s="59">
        <f t="shared" si="113"/>
        <v>625.59567156403864</v>
      </c>
      <c r="AN153" s="59">
        <f ca="1">AVERAGE(OFFSET($AM$3,0,0,'Données projet'!$E$10+1,1))-AVERAGE(OFFSET($H$3,0,0,'Données projet'!$E$10+1,1))</f>
        <v>159.92263609041913</v>
      </c>
      <c r="AO153" s="59">
        <f t="shared" si="144"/>
        <v>271.78119133009307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3.4090691668894633</v>
      </c>
      <c r="AV153" s="21">
        <f>EXP(-LN(2)/25)*AV152+(1-EXP(-LN(2)/25))/(LN(2)/25)*Calculateur!AQ153*Calculateur!AS153*VLOOKUP('Données projet'!$B$10,Paramètres!$A$1:$I$89,3,0)*0.475*44/12</f>
        <v>3.4475837192399816</v>
      </c>
      <c r="AW153" s="21">
        <f>EXP(-LN(2)/2)*AW152+(1-EXP(-LN(2)/2))/(LN(2)/2)*AQ153*AT153*VLOOKUP('Données projet'!$B$10,Paramètres!$A$1:$I$89,3,0)*0.475*44/12</f>
        <v>2.1992660790781431E-20</v>
      </c>
      <c r="AX153" s="21">
        <f t="shared" si="114"/>
        <v>6.8566528861294449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243</v>
      </c>
      <c r="BE153" s="13">
        <f>BD153*VLOOKUP('Données projet'!$B$11,Paramètres!$A$1:$I$89,3,0)*VLOOKUP('Données projet'!$B$11,Paramètres!$A$1:$I$89,5,0)</f>
        <v>212.28480000000002</v>
      </c>
      <c r="BF153" s="13">
        <f t="shared" si="145"/>
        <v>52.434557099704193</v>
      </c>
      <c r="BG153" s="20">
        <f t="shared" si="115"/>
        <v>461.05288028198476</v>
      </c>
      <c r="BH153" s="59">
        <f t="shared" si="116"/>
        <v>754.38621361531807</v>
      </c>
      <c r="BI153" s="59">
        <f ca="1">AVERAGE(OFFSET($BH$3,0,0,'Données projet'!$E$11+1,1))-AVERAGE(OFFSET($H$3,0,0,'Données projet'!$E$11+1,1))</f>
        <v>268.27008134105046</v>
      </c>
      <c r="BJ153" s="59">
        <f t="shared" si="146"/>
        <v>252.36274686619709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20.855492071095007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20.855492071095007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0.8600000000003547</v>
      </c>
      <c r="O154" s="13">
        <f>N154*VLOOKUP('Données projet'!$B$9,Paramètres!$A$1:$I$89,3,0)*VLOOKUP('Données projet'!$B$9,Paramètres!$A$1:$I$89,5,0)</f>
        <v>0.48074000000019829</v>
      </c>
      <c r="P154" s="13">
        <f t="shared" si="141"/>
        <v>0.24126147010950588</v>
      </c>
      <c r="Q154" s="20">
        <f t="shared" ref="Q154:Q203" si="162">(O154+P154)*0.475*44/12</f>
        <v>1.2574858937744013</v>
      </c>
      <c r="R154" s="59">
        <f t="shared" si="109"/>
        <v>294.59081922710772</v>
      </c>
      <c r="S154" s="59">
        <f ca="1">AVERAGE(OFFSET($R$3,0,0,'Données projet'!$E$9+1,1))-AVERAGE(OFFSET($H$3,0,0,'Données projet'!$E$9+1,1))</f>
        <v>350.01600895263641</v>
      </c>
      <c r="T154" s="59">
        <f t="shared" si="142"/>
        <v>464.08921044376882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55.541197290660108</v>
      </c>
      <c r="AA154" s="21">
        <f>EXP(-LN(2)/25)*AA153+(1-EXP(-LN(2)/25))/(LN(2)/25)*Calculateur!V154*Calculateur!X154*VLOOKUP('Données projet'!$B$9,Paramètres!$A$1:$I$89,3,0)*0.475*44/12</f>
        <v>1.7657072264928033</v>
      </c>
      <c r="AB154" s="21">
        <f>EXP(-LN(2)/2)*AB153+(1-EXP(-LN(2)/2))/(LN(2)/2)*V154*Y154*VLOOKUP('Données projet'!$B$9,Paramètres!$A$1:$I$89,3,0)*0.475*44/12</f>
        <v>4.5380611043235559E-19</v>
      </c>
      <c r="AC154" s="22">
        <f t="shared" ref="AC154:AC203" si="163">SUM(Z154:AB154)</f>
        <v>57.306904517152908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277.99999999999994</v>
      </c>
      <c r="AJ154" s="13">
        <f>AI154*VLOOKUP('Données projet'!$B$10,Paramètres!$A$1:$I$89,3,0)*VLOOKUP('Données projet'!$B$10,Paramètres!$A$1:$I$89,5,0)</f>
        <v>151.78799999999998</v>
      </c>
      <c r="AK154" s="13">
        <f t="shared" ref="AK154:AK203" si="164">EXP(-1.0587+0.8836*LN(AJ154)+0.284)</f>
        <v>38.984634390835623</v>
      </c>
      <c r="AL154" s="20">
        <f t="shared" ref="AL154:AL203" si="165">(AJ154+AK154)*0.475*44/12</f>
        <v>332.26233823070532</v>
      </c>
      <c r="AM154" s="59">
        <f t="shared" si="113"/>
        <v>625.59567156403864</v>
      </c>
      <c r="AN154" s="59">
        <f ca="1">AVERAGE(OFFSET($AM$3,0,0,'Données projet'!$E$10+1,1))-AVERAGE(OFFSET($H$3,0,0,'Données projet'!$E$10+1,1))</f>
        <v>159.92263609041913</v>
      </c>
      <c r="AO154" s="59">
        <f t="shared" si="144"/>
        <v>271.78119133009307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3.342219399853636</v>
      </c>
      <c r="AV154" s="21">
        <f>EXP(-LN(2)/25)*AV153+(1-EXP(-LN(2)/25))/(LN(2)/25)*Calculateur!AQ154*Calculateur!AS154*VLOOKUP('Données projet'!$B$10,Paramètres!$A$1:$I$89,3,0)*0.475*44/12</f>
        <v>3.3533093611368163</v>
      </c>
      <c r="AW154" s="21">
        <f>EXP(-LN(2)/2)*AW153+(1-EXP(-LN(2)/2))/(LN(2)/2)*AQ154*AT154*VLOOKUP('Données projet'!$B$10,Paramètres!$A$1:$I$89,3,0)*0.475*44/12</f>
        <v>1.5551159581497048E-20</v>
      </c>
      <c r="AX154" s="21">
        <f t="shared" ref="AX154:AX203" si="166">SUM(AU154:AW154)</f>
        <v>6.6955287609904524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243</v>
      </c>
      <c r="BE154" s="13">
        <f>BD154*VLOOKUP('Données projet'!$B$11,Paramètres!$A$1:$I$89,3,0)*VLOOKUP('Données projet'!$B$11,Paramètres!$A$1:$I$89,5,0)</f>
        <v>212.28480000000002</v>
      </c>
      <c r="BF154" s="13">
        <f t="shared" ref="BF154:BF203" si="167">EXP(-1.0587+0.8836*LN(BE154)+0.284)</f>
        <v>52.434557099704193</v>
      </c>
      <c r="BG154" s="20">
        <f t="shared" ref="BG154:BG203" si="168">(BE154+BF154)*0.475*44/12</f>
        <v>461.05288028198476</v>
      </c>
      <c r="BH154" s="59">
        <f t="shared" si="116"/>
        <v>754.38621361531807</v>
      </c>
      <c r="BI154" s="59">
        <f ca="1">AVERAGE(OFFSET($BH$3,0,0,'Données projet'!$E$11+1,1))-AVERAGE(OFFSET($H$3,0,0,'Données projet'!$E$11+1,1))</f>
        <v>268.27008134105046</v>
      </c>
      <c r="BJ154" s="59">
        <f t="shared" si="146"/>
        <v>252.36274686619709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20.446528592174943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20.446528592174943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0.8600000000003547</v>
      </c>
      <c r="O155" s="13">
        <f>N155*VLOOKUP('Données projet'!$B$9,Paramètres!$A$1:$I$89,3,0)*VLOOKUP('Données projet'!$B$9,Paramètres!$A$1:$I$89,5,0)</f>
        <v>0.48074000000019829</v>
      </c>
      <c r="P155" s="13">
        <f t="shared" si="141"/>
        <v>0.24126147010950588</v>
      </c>
      <c r="Q155" s="20">
        <f t="shared" si="162"/>
        <v>1.2574858937744013</v>
      </c>
      <c r="R155" s="59">
        <f t="shared" si="109"/>
        <v>294.59081922710772</v>
      </c>
      <c r="S155" s="59">
        <f ca="1">AVERAGE(OFFSET($R$3,0,0,'Données projet'!$E$9+1,1))-AVERAGE(OFFSET($H$3,0,0,'Données projet'!$E$9+1,1))</f>
        <v>350.01600895263641</v>
      </c>
      <c r="T155" s="59">
        <f t="shared" si="142"/>
        <v>464.08921044376882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54.452068288575553</v>
      </c>
      <c r="AA155" s="21">
        <f>EXP(-LN(2)/25)*AA154+(1-EXP(-LN(2)/25))/(LN(2)/25)*Calculateur!V155*Calculateur!X155*VLOOKUP('Données projet'!$B$9,Paramètres!$A$1:$I$89,3,0)*0.475*44/12</f>
        <v>1.71742386952985</v>
      </c>
      <c r="AB155" s="21">
        <f>EXP(-LN(2)/2)*AB154+(1-EXP(-LN(2)/2))/(LN(2)/2)*V155*Y155*VLOOKUP('Données projet'!$B$9,Paramètres!$A$1:$I$89,3,0)*0.475*44/12</f>
        <v>3.208893780306099E-19</v>
      </c>
      <c r="AC155" s="22">
        <f t="shared" si="163"/>
        <v>56.169492158105406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277.99999999999994</v>
      </c>
      <c r="AJ155" s="13">
        <f>AI155*VLOOKUP('Données projet'!$B$10,Paramètres!$A$1:$I$89,3,0)*VLOOKUP('Données projet'!$B$10,Paramètres!$A$1:$I$89,5,0)</f>
        <v>151.78799999999998</v>
      </c>
      <c r="AK155" s="13">
        <f t="shared" si="164"/>
        <v>38.984634390835623</v>
      </c>
      <c r="AL155" s="20">
        <f t="shared" si="165"/>
        <v>332.26233823070532</v>
      </c>
      <c r="AM155" s="59">
        <f t="shared" si="113"/>
        <v>625.59567156403864</v>
      </c>
      <c r="AN155" s="59">
        <f ca="1">AVERAGE(OFFSET($AM$3,0,0,'Données projet'!$E$10+1,1))-AVERAGE(OFFSET($H$3,0,0,'Données projet'!$E$10+1,1))</f>
        <v>159.92263609041913</v>
      </c>
      <c r="AO155" s="59">
        <f t="shared" si="144"/>
        <v>271.78119133009307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3.2766805159750496</v>
      </c>
      <c r="AV155" s="21">
        <f>EXP(-LN(2)/25)*AV154+(1-EXP(-LN(2)/25))/(LN(2)/25)*Calculateur!AQ155*Calculateur!AS155*VLOOKUP('Données projet'!$B$10,Paramètres!$A$1:$I$89,3,0)*0.475*44/12</f>
        <v>3.2616129403136549</v>
      </c>
      <c r="AW155" s="21">
        <f>EXP(-LN(2)/2)*AW154+(1-EXP(-LN(2)/2))/(LN(2)/2)*AQ155*AT155*VLOOKUP('Données projet'!$B$10,Paramètres!$A$1:$I$89,3,0)*0.475*44/12</f>
        <v>1.0996330395390715E-20</v>
      </c>
      <c r="AX155" s="21">
        <f t="shared" si="166"/>
        <v>6.5382934562887041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243</v>
      </c>
      <c r="BE155" s="13">
        <f>BD155*VLOOKUP('Données projet'!$B$11,Paramètres!$A$1:$I$89,3,0)*VLOOKUP('Données projet'!$B$11,Paramètres!$A$1:$I$89,5,0)</f>
        <v>212.28480000000002</v>
      </c>
      <c r="BF155" s="13">
        <f t="shared" si="167"/>
        <v>52.434557099704193</v>
      </c>
      <c r="BG155" s="20">
        <f t="shared" si="168"/>
        <v>461.05288028198476</v>
      </c>
      <c r="BH155" s="59">
        <f t="shared" si="116"/>
        <v>754.38621361531807</v>
      </c>
      <c r="BI155" s="59">
        <f ca="1">AVERAGE(OFFSET($BH$3,0,0,'Données projet'!$E$11+1,1))-AVERAGE(OFFSET($H$3,0,0,'Données projet'!$E$11+1,1))</f>
        <v>268.27008134105046</v>
      </c>
      <c r="BJ155" s="59">
        <f t="shared" si="146"/>
        <v>252.36274686619709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20.045584637633411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20.045584637633411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0.8600000000003547</v>
      </c>
      <c r="O156" s="13">
        <f>N156*VLOOKUP('Données projet'!$B$9,Paramètres!$A$1:$I$89,3,0)*VLOOKUP('Données projet'!$B$9,Paramètres!$A$1:$I$89,5,0)</f>
        <v>0.48074000000019829</v>
      </c>
      <c r="P156" s="13">
        <f t="shared" si="141"/>
        <v>0.24126147010950588</v>
      </c>
      <c r="Q156" s="20">
        <f t="shared" si="162"/>
        <v>1.2574858937744013</v>
      </c>
      <c r="R156" s="59">
        <f t="shared" si="109"/>
        <v>294.59081922710772</v>
      </c>
      <c r="S156" s="59">
        <f ca="1">AVERAGE(OFFSET($R$3,0,0,'Données projet'!$E$9+1,1))-AVERAGE(OFFSET($H$3,0,0,'Données projet'!$E$9+1,1))</f>
        <v>350.01600895263641</v>
      </c>
      <c r="T156" s="59">
        <f t="shared" si="142"/>
        <v>464.08921044376882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53.384296441918785</v>
      </c>
      <c r="AA156" s="21">
        <f>EXP(-LN(2)/25)*AA155+(1-EXP(-LN(2)/25))/(LN(2)/25)*Calculateur!V156*Calculateur!X156*VLOOKUP('Données projet'!$B$9,Paramètres!$A$1:$I$89,3,0)*0.475*44/12</f>
        <v>1.6704608235021603</v>
      </c>
      <c r="AB156" s="21">
        <f>EXP(-LN(2)/2)*AB155+(1-EXP(-LN(2)/2))/(LN(2)/2)*V156*Y156*VLOOKUP('Données projet'!$B$9,Paramètres!$A$1:$I$89,3,0)*0.475*44/12</f>
        <v>2.269030552161778E-19</v>
      </c>
      <c r="AC156" s="22">
        <f t="shared" si="163"/>
        <v>55.054757265420946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277.99999999999994</v>
      </c>
      <c r="AJ156" s="13">
        <f>AI156*VLOOKUP('Données projet'!$B$10,Paramètres!$A$1:$I$89,3,0)*VLOOKUP('Données projet'!$B$10,Paramètres!$A$1:$I$89,5,0)</f>
        <v>151.78799999999998</v>
      </c>
      <c r="AK156" s="13">
        <f t="shared" si="164"/>
        <v>38.984634390835623</v>
      </c>
      <c r="AL156" s="20">
        <f t="shared" si="165"/>
        <v>332.26233823070532</v>
      </c>
      <c r="AM156" s="59">
        <f t="shared" si="113"/>
        <v>625.59567156403864</v>
      </c>
      <c r="AN156" s="59">
        <f ca="1">AVERAGE(OFFSET($AM$3,0,0,'Données projet'!$E$10+1,1))-AVERAGE(OFFSET($H$3,0,0,'Données projet'!$E$10+1,1))</f>
        <v>159.92263609041913</v>
      </c>
      <c r="AO156" s="59">
        <f t="shared" si="144"/>
        <v>271.78119133009307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3.2124268096345503</v>
      </c>
      <c r="AV156" s="21">
        <f>EXP(-LN(2)/25)*AV155+(1-EXP(-LN(2)/25))/(LN(2)/25)*Calculateur!AQ156*Calculateur!AS156*VLOOKUP('Données projet'!$B$10,Paramètres!$A$1:$I$89,3,0)*0.475*44/12</f>
        <v>3.1724239629400079</v>
      </c>
      <c r="AW156" s="21">
        <f>EXP(-LN(2)/2)*AW155+(1-EXP(-LN(2)/2))/(LN(2)/2)*AQ156*AT156*VLOOKUP('Données projet'!$B$10,Paramètres!$A$1:$I$89,3,0)*0.475*44/12</f>
        <v>7.7755797907485239E-21</v>
      </c>
      <c r="AX156" s="21">
        <f t="shared" si="166"/>
        <v>6.3848507725745582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243</v>
      </c>
      <c r="BE156" s="13">
        <f>BD156*VLOOKUP('Données projet'!$B$11,Paramètres!$A$1:$I$89,3,0)*VLOOKUP('Données projet'!$B$11,Paramètres!$A$1:$I$89,5,0)</f>
        <v>212.28480000000002</v>
      </c>
      <c r="BF156" s="13">
        <f t="shared" si="167"/>
        <v>52.434557099704193</v>
      </c>
      <c r="BG156" s="20">
        <f t="shared" si="168"/>
        <v>461.05288028198476</v>
      </c>
      <c r="BH156" s="59">
        <f t="shared" si="116"/>
        <v>754.38621361531807</v>
      </c>
      <c r="BI156" s="59">
        <f ca="1">AVERAGE(OFFSET($BH$3,0,0,'Données projet'!$E$11+1,1))-AVERAGE(OFFSET($H$3,0,0,'Données projet'!$E$11+1,1))</f>
        <v>268.27008134105046</v>
      </c>
      <c r="BJ156" s="59">
        <f t="shared" si="146"/>
        <v>252.36274686619709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19.65250294948877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19.65250294948877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0.8600000000003547</v>
      </c>
      <c r="O157" s="13">
        <f>N157*VLOOKUP('Données projet'!$B$9,Paramètres!$A$1:$I$89,3,0)*VLOOKUP('Données projet'!$B$9,Paramètres!$A$1:$I$89,5,0)</f>
        <v>0.48074000000019829</v>
      </c>
      <c r="P157" s="13">
        <f t="shared" si="141"/>
        <v>0.24126147010950588</v>
      </c>
      <c r="Q157" s="20">
        <f t="shared" si="162"/>
        <v>1.2574858937744013</v>
      </c>
      <c r="R157" s="59">
        <f t="shared" si="109"/>
        <v>294.59081922710772</v>
      </c>
      <c r="S157" s="59">
        <f ca="1">AVERAGE(OFFSET($R$3,0,0,'Données projet'!$E$9+1,1))-AVERAGE(OFFSET($H$3,0,0,'Données projet'!$E$9+1,1))</f>
        <v>350.01600895263641</v>
      </c>
      <c r="T157" s="59">
        <f t="shared" si="142"/>
        <v>464.08921044376882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52.337462949898438</v>
      </c>
      <c r="AA157" s="21">
        <f>EXP(-LN(2)/25)*AA156+(1-EXP(-LN(2)/25))/(LN(2)/25)*Calculateur!V157*Calculateur!X157*VLOOKUP('Données projet'!$B$9,Paramètres!$A$1:$I$89,3,0)*0.475*44/12</f>
        <v>1.6247819844377769</v>
      </c>
      <c r="AB157" s="21">
        <f>EXP(-LN(2)/2)*AB156+(1-EXP(-LN(2)/2))/(LN(2)/2)*V157*Y157*VLOOKUP('Données projet'!$B$9,Paramètres!$A$1:$I$89,3,0)*0.475*44/12</f>
        <v>1.6044468901530495E-19</v>
      </c>
      <c r="AC157" s="22">
        <f t="shared" si="163"/>
        <v>53.962244934336212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277.99999999999994</v>
      </c>
      <c r="AJ157" s="13">
        <f>AI157*VLOOKUP('Données projet'!$B$10,Paramètres!$A$1:$I$89,3,0)*VLOOKUP('Données projet'!$B$10,Paramètres!$A$1:$I$89,5,0)</f>
        <v>151.78799999999998</v>
      </c>
      <c r="AK157" s="13">
        <f t="shared" si="164"/>
        <v>38.984634390835623</v>
      </c>
      <c r="AL157" s="20">
        <f t="shared" si="165"/>
        <v>332.26233823070532</v>
      </c>
      <c r="AM157" s="59">
        <f t="shared" si="113"/>
        <v>625.59567156403864</v>
      </c>
      <c r="AN157" s="59">
        <f ca="1">AVERAGE(OFFSET($AM$3,0,0,'Données projet'!$E$10+1,1))-AVERAGE(OFFSET($H$3,0,0,'Données projet'!$E$10+1,1))</f>
        <v>159.92263609041913</v>
      </c>
      <c r="AO157" s="59">
        <f t="shared" si="144"/>
        <v>271.78119133009307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3.1494330792844973</v>
      </c>
      <c r="AV157" s="21">
        <f>EXP(-LN(2)/25)*AV156+(1-EXP(-LN(2)/25))/(LN(2)/25)*Calculateur!AQ157*Calculateur!AS157*VLOOKUP('Données projet'!$B$10,Paramètres!$A$1:$I$89,3,0)*0.475*44/12</f>
        <v>3.0856738628428877</v>
      </c>
      <c r="AW157" s="21">
        <f>EXP(-LN(2)/2)*AW156+(1-EXP(-LN(2)/2))/(LN(2)/2)*AQ157*AT157*VLOOKUP('Données projet'!$B$10,Paramètres!$A$1:$I$89,3,0)*0.475*44/12</f>
        <v>5.4981651976953576E-21</v>
      </c>
      <c r="AX157" s="21">
        <f t="shared" si="166"/>
        <v>6.235106942127385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243</v>
      </c>
      <c r="BE157" s="13">
        <f>BD157*VLOOKUP('Données projet'!$B$11,Paramètres!$A$1:$I$89,3,0)*VLOOKUP('Données projet'!$B$11,Paramètres!$A$1:$I$89,5,0)</f>
        <v>212.28480000000002</v>
      </c>
      <c r="BF157" s="13">
        <f t="shared" si="167"/>
        <v>52.434557099704193</v>
      </c>
      <c r="BG157" s="20">
        <f t="shared" si="168"/>
        <v>461.05288028198476</v>
      </c>
      <c r="BH157" s="59">
        <f t="shared" si="116"/>
        <v>754.38621361531807</v>
      </c>
      <c r="BI157" s="59">
        <f ca="1">AVERAGE(OFFSET($BH$3,0,0,'Données projet'!$E$11+1,1))-AVERAGE(OFFSET($H$3,0,0,'Données projet'!$E$11+1,1))</f>
        <v>268.27008134105046</v>
      </c>
      <c r="BJ157" s="59">
        <f t="shared" si="146"/>
        <v>252.36274686619709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19.267129353492493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19.267129353492493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0.8600000000003547</v>
      </c>
      <c r="O158" s="13">
        <f>N158*VLOOKUP('Données projet'!$B$9,Paramètres!$A$1:$I$89,3,0)*VLOOKUP('Données projet'!$B$9,Paramètres!$A$1:$I$89,5,0)</f>
        <v>0.48074000000019829</v>
      </c>
      <c r="P158" s="13">
        <f t="shared" si="141"/>
        <v>0.24126147010950588</v>
      </c>
      <c r="Q158" s="20">
        <f t="shared" si="162"/>
        <v>1.2574858937744013</v>
      </c>
      <c r="R158" s="59">
        <f t="shared" si="109"/>
        <v>294.59081922710772</v>
      </c>
      <c r="S158" s="59">
        <f ca="1">AVERAGE(OFFSET($R$3,0,0,'Données projet'!$E$9+1,1))-AVERAGE(OFFSET($H$3,0,0,'Données projet'!$E$9+1,1))</f>
        <v>350.01600895263641</v>
      </c>
      <c r="T158" s="59">
        <f t="shared" si="142"/>
        <v>464.08921044376882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51.311157224151223</v>
      </c>
      <c r="AA158" s="21">
        <f>EXP(-LN(2)/25)*AA157+(1-EXP(-LN(2)/25))/(LN(2)/25)*Calculateur!V158*Calculateur!X158*VLOOKUP('Données projet'!$B$9,Paramètres!$A$1:$I$89,3,0)*0.475*44/12</f>
        <v>1.5803522356297548</v>
      </c>
      <c r="AB158" s="21">
        <f>EXP(-LN(2)/2)*AB157+(1-EXP(-LN(2)/2))/(LN(2)/2)*V158*Y158*VLOOKUP('Données projet'!$B$9,Paramètres!$A$1:$I$89,3,0)*0.475*44/12</f>
        <v>1.134515276080889E-19</v>
      </c>
      <c r="AC158" s="22">
        <f t="shared" si="163"/>
        <v>52.891509459780977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277.99999999999994</v>
      </c>
      <c r="AJ158" s="13">
        <f>AI158*VLOOKUP('Données projet'!$B$10,Paramètres!$A$1:$I$89,3,0)*VLOOKUP('Données projet'!$B$10,Paramètres!$A$1:$I$89,5,0)</f>
        <v>151.78799999999998</v>
      </c>
      <c r="AK158" s="13">
        <f t="shared" si="164"/>
        <v>38.984634390835623</v>
      </c>
      <c r="AL158" s="20">
        <f t="shared" si="165"/>
        <v>332.26233823070532</v>
      </c>
      <c r="AM158" s="59">
        <f t="shared" si="113"/>
        <v>625.59567156403864</v>
      </c>
      <c r="AN158" s="59">
        <f ca="1">AVERAGE(OFFSET($AM$3,0,0,'Données projet'!$E$10+1,1))-AVERAGE(OFFSET($H$3,0,0,'Données projet'!$E$10+1,1))</f>
        <v>159.92263609041913</v>
      </c>
      <c r="AO158" s="59">
        <f t="shared" si="144"/>
        <v>271.78119133009307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3.0876746175642271</v>
      </c>
      <c r="AV158" s="21">
        <f>EXP(-LN(2)/25)*AV157+(1-EXP(-LN(2)/25))/(LN(2)/25)*Calculateur!AQ158*Calculateur!AS158*VLOOKUP('Données projet'!$B$10,Paramètres!$A$1:$I$89,3,0)*0.475*44/12</f>
        <v>3.0012959487949127</v>
      </c>
      <c r="AW158" s="21">
        <f>EXP(-LN(2)/2)*AW157+(1-EXP(-LN(2)/2))/(LN(2)/2)*AQ158*AT158*VLOOKUP('Données projet'!$B$10,Paramètres!$A$1:$I$89,3,0)*0.475*44/12</f>
        <v>3.887789895374262E-21</v>
      </c>
      <c r="AX158" s="21">
        <f t="shared" si="166"/>
        <v>6.0889705663591398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243</v>
      </c>
      <c r="BE158" s="13">
        <f>BD158*VLOOKUP('Données projet'!$B$11,Paramètres!$A$1:$I$89,3,0)*VLOOKUP('Données projet'!$B$11,Paramètres!$A$1:$I$89,5,0)</f>
        <v>212.28480000000002</v>
      </c>
      <c r="BF158" s="13">
        <f t="shared" si="167"/>
        <v>52.434557099704193</v>
      </c>
      <c r="BG158" s="20">
        <f t="shared" si="168"/>
        <v>461.05288028198476</v>
      </c>
      <c r="BH158" s="59">
        <f t="shared" si="116"/>
        <v>754.38621361531807</v>
      </c>
      <c r="BI158" s="59">
        <f ca="1">AVERAGE(OFFSET($BH$3,0,0,'Données projet'!$E$11+1,1))-AVERAGE(OFFSET($H$3,0,0,'Données projet'!$E$11+1,1))</f>
        <v>268.27008134105046</v>
      </c>
      <c r="BJ158" s="59">
        <f t="shared" si="146"/>
        <v>252.36274686619709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18.889312698659019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18.889312698659019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0.8600000000003547</v>
      </c>
      <c r="O159" s="13">
        <f>N159*VLOOKUP('Données projet'!$B$9,Paramètres!$A$1:$I$89,3,0)*VLOOKUP('Données projet'!$B$9,Paramètres!$A$1:$I$89,5,0)</f>
        <v>0.48074000000019829</v>
      </c>
      <c r="P159" s="13">
        <f t="shared" si="141"/>
        <v>0.24126147010950588</v>
      </c>
      <c r="Q159" s="20">
        <f t="shared" si="162"/>
        <v>1.2574858937744013</v>
      </c>
      <c r="R159" s="59">
        <f t="shared" si="109"/>
        <v>294.59081922710772</v>
      </c>
      <c r="S159" s="59">
        <f ca="1">AVERAGE(OFFSET($R$3,0,0,'Données projet'!$E$9+1,1))-AVERAGE(OFFSET($H$3,0,0,'Données projet'!$E$9+1,1))</f>
        <v>350.01600895263641</v>
      </c>
      <c r="T159" s="59">
        <f t="shared" si="142"/>
        <v>464.08921044376882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50.304976727701231</v>
      </c>
      <c r="AA159" s="21">
        <f>EXP(-LN(2)/25)*AA158+(1-EXP(-LN(2)/25))/(LN(2)/25)*Calculateur!V159*Calculateur!X159*VLOOKUP('Données projet'!$B$9,Paramètres!$A$1:$I$89,3,0)*0.475*44/12</f>
        <v>1.5371374206393471</v>
      </c>
      <c r="AB159" s="21">
        <f>EXP(-LN(2)/2)*AB158+(1-EXP(-LN(2)/2))/(LN(2)/2)*V159*Y159*VLOOKUP('Données projet'!$B$9,Paramètres!$A$1:$I$89,3,0)*0.475*44/12</f>
        <v>8.0222344507652474E-20</v>
      </c>
      <c r="AC159" s="22">
        <f t="shared" si="163"/>
        <v>51.842114148340578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277.99999999999994</v>
      </c>
      <c r="AJ159" s="13">
        <f>AI159*VLOOKUP('Données projet'!$B$10,Paramètres!$A$1:$I$89,3,0)*VLOOKUP('Données projet'!$B$10,Paramètres!$A$1:$I$89,5,0)</f>
        <v>151.78799999999998</v>
      </c>
      <c r="AK159" s="13">
        <f t="shared" si="164"/>
        <v>38.984634390835623</v>
      </c>
      <c r="AL159" s="20">
        <f t="shared" si="165"/>
        <v>332.26233823070532</v>
      </c>
      <c r="AM159" s="59">
        <f t="shared" si="113"/>
        <v>625.59567156403864</v>
      </c>
      <c r="AN159" s="59">
        <f ca="1">AVERAGE(OFFSET($AM$3,0,0,'Données projet'!$E$10+1,1))-AVERAGE(OFFSET($H$3,0,0,'Données projet'!$E$10+1,1))</f>
        <v>159.92263609041913</v>
      </c>
      <c r="AO159" s="59">
        <f t="shared" si="144"/>
        <v>271.78119133009307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3.0271272016093493</v>
      </c>
      <c r="AV159" s="21">
        <f>EXP(-LN(2)/25)*AV158+(1-EXP(-LN(2)/25))/(LN(2)/25)*Calculateur!AQ159*Calculateur!AS159*VLOOKUP('Données projet'!$B$10,Paramètres!$A$1:$I$89,3,0)*0.475*44/12</f>
        <v>2.9192253532438213</v>
      </c>
      <c r="AW159" s="21">
        <f>EXP(-LN(2)/2)*AW158+(1-EXP(-LN(2)/2))/(LN(2)/2)*AQ159*AT159*VLOOKUP('Données projet'!$B$10,Paramètres!$A$1:$I$89,3,0)*0.475*44/12</f>
        <v>2.7490825988476788E-21</v>
      </c>
      <c r="AX159" s="21">
        <f t="shared" si="166"/>
        <v>5.9463525548531706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243</v>
      </c>
      <c r="BE159" s="13">
        <f>BD159*VLOOKUP('Données projet'!$B$11,Paramètres!$A$1:$I$89,3,0)*VLOOKUP('Données projet'!$B$11,Paramètres!$A$1:$I$89,5,0)</f>
        <v>212.28480000000002</v>
      </c>
      <c r="BF159" s="13">
        <f t="shared" si="167"/>
        <v>52.434557099704193</v>
      </c>
      <c r="BG159" s="20">
        <f t="shared" si="168"/>
        <v>461.05288028198476</v>
      </c>
      <c r="BH159" s="59">
        <f t="shared" si="116"/>
        <v>754.38621361531807</v>
      </c>
      <c r="BI159" s="59">
        <f ca="1">AVERAGE(OFFSET($BH$3,0,0,'Données projet'!$E$11+1,1))-AVERAGE(OFFSET($H$3,0,0,'Données projet'!$E$11+1,1))</f>
        <v>268.27008134105046</v>
      </c>
      <c r="BJ159" s="59">
        <f t="shared" si="146"/>
        <v>252.36274686619709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18.518904797981424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18.518904797981424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0.8600000000003547</v>
      </c>
      <c r="O160" s="13">
        <f>N160*VLOOKUP('Données projet'!$B$9,Paramètres!$A$1:$I$89,3,0)*VLOOKUP('Données projet'!$B$9,Paramètres!$A$1:$I$89,5,0)</f>
        <v>0.48074000000019829</v>
      </c>
      <c r="P160" s="13">
        <f t="shared" si="141"/>
        <v>0.24126147010950588</v>
      </c>
      <c r="Q160" s="20">
        <f t="shared" si="162"/>
        <v>1.2574858937744013</v>
      </c>
      <c r="R160" s="59">
        <f t="shared" si="109"/>
        <v>294.59081922710772</v>
      </c>
      <c r="S160" s="59">
        <f ca="1">AVERAGE(OFFSET($R$3,0,0,'Données projet'!$E$9+1,1))-AVERAGE(OFFSET($H$3,0,0,'Données projet'!$E$9+1,1))</f>
        <v>350.01600895263641</v>
      </c>
      <c r="T160" s="59">
        <f t="shared" si="142"/>
        <v>464.08921044376882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49.318526817077121</v>
      </c>
      <c r="AA160" s="21">
        <f>EXP(-LN(2)/25)*AA159+(1-EXP(-LN(2)/25))/(LN(2)/25)*Calculateur!V160*Calculateur!X160*VLOOKUP('Données projet'!$B$9,Paramètres!$A$1:$I$89,3,0)*0.475*44/12</f>
        <v>1.4951043170374203</v>
      </c>
      <c r="AB160" s="21">
        <f>EXP(-LN(2)/2)*AB159+(1-EXP(-LN(2)/2))/(LN(2)/2)*V160*Y160*VLOOKUP('Données projet'!$B$9,Paramètres!$A$1:$I$89,3,0)*0.475*44/12</f>
        <v>5.6725763804044449E-20</v>
      </c>
      <c r="AC160" s="22">
        <f t="shared" si="163"/>
        <v>50.813631134114544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277.99999999999994</v>
      </c>
      <c r="AJ160" s="13">
        <f>AI160*VLOOKUP('Données projet'!$B$10,Paramètres!$A$1:$I$89,3,0)*VLOOKUP('Données projet'!$B$10,Paramètres!$A$1:$I$89,5,0)</f>
        <v>151.78799999999998</v>
      </c>
      <c r="AK160" s="13">
        <f t="shared" si="164"/>
        <v>38.984634390835623</v>
      </c>
      <c r="AL160" s="20">
        <f t="shared" si="165"/>
        <v>332.26233823070532</v>
      </c>
      <c r="AM160" s="59">
        <f t="shared" si="113"/>
        <v>625.59567156403864</v>
      </c>
      <c r="AN160" s="59">
        <f ca="1">AVERAGE(OFFSET($AM$3,0,0,'Données projet'!$E$10+1,1))-AVERAGE(OFFSET($H$3,0,0,'Données projet'!$E$10+1,1))</f>
        <v>159.92263609041913</v>
      </c>
      <c r="AO160" s="59">
        <f t="shared" si="144"/>
        <v>271.78119133009307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2.9677670835510694</v>
      </c>
      <c r="AV160" s="21">
        <f>EXP(-LN(2)/25)*AV159+(1-EXP(-LN(2)/25))/(LN(2)/25)*Calculateur!AQ160*Calculateur!AS160*VLOOKUP('Données projet'!$B$10,Paramètres!$A$1:$I$89,3,0)*0.475*44/12</f>
        <v>2.8393989824439796</v>
      </c>
      <c r="AW160" s="21">
        <f>EXP(-LN(2)/2)*AW159+(1-EXP(-LN(2)/2))/(LN(2)/2)*AQ160*AT160*VLOOKUP('Données projet'!$B$10,Paramètres!$A$1:$I$89,3,0)*0.475*44/12</f>
        <v>1.943894947687131E-21</v>
      </c>
      <c r="AX160" s="21">
        <f t="shared" si="166"/>
        <v>5.807166065995049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243</v>
      </c>
      <c r="BE160" s="13">
        <f>BD160*VLOOKUP('Données projet'!$B$11,Paramètres!$A$1:$I$89,3,0)*VLOOKUP('Données projet'!$B$11,Paramètres!$A$1:$I$89,5,0)</f>
        <v>212.28480000000002</v>
      </c>
      <c r="BF160" s="13">
        <f t="shared" si="167"/>
        <v>52.434557099704193</v>
      </c>
      <c r="BG160" s="20">
        <f t="shared" si="168"/>
        <v>461.05288028198476</v>
      </c>
      <c r="BH160" s="59">
        <f t="shared" si="116"/>
        <v>754.38621361531807</v>
      </c>
      <c r="BI160" s="59">
        <f ca="1">AVERAGE(OFFSET($BH$3,0,0,'Données projet'!$E$11+1,1))-AVERAGE(OFFSET($H$3,0,0,'Données projet'!$E$11+1,1))</f>
        <v>268.27008134105046</v>
      </c>
      <c r="BJ160" s="59">
        <f t="shared" si="146"/>
        <v>252.36274686619709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18.155760370309604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18.155760370309604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0.8600000000003547</v>
      </c>
      <c r="O161" s="13">
        <f>N161*VLOOKUP('Données projet'!$B$9,Paramètres!$A$1:$I$89,3,0)*VLOOKUP('Données projet'!$B$9,Paramètres!$A$1:$I$89,5,0)</f>
        <v>0.48074000000019829</v>
      </c>
      <c r="P161" s="13">
        <f t="shared" si="141"/>
        <v>0.24126147010950588</v>
      </c>
      <c r="Q161" s="20">
        <f t="shared" si="162"/>
        <v>1.2574858937744013</v>
      </c>
      <c r="R161" s="59">
        <f t="shared" si="109"/>
        <v>294.59081922710772</v>
      </c>
      <c r="S161" s="59">
        <f ca="1">AVERAGE(OFFSET($R$3,0,0,'Données projet'!$E$9+1,1))-AVERAGE(OFFSET($H$3,0,0,'Données projet'!$E$9+1,1))</f>
        <v>350.01600895263641</v>
      </c>
      <c r="T161" s="59">
        <f t="shared" si="142"/>
        <v>464.08921044376882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48.351420587525311</v>
      </c>
      <c r="AA161" s="21">
        <f>EXP(-LN(2)/25)*AA160+(1-EXP(-LN(2)/25))/(LN(2)/25)*Calculateur!V161*Calculateur!X161*VLOOKUP('Données projet'!$B$9,Paramètres!$A$1:$I$89,3,0)*0.475*44/12</f>
        <v>1.4542206108639131</v>
      </c>
      <c r="AB161" s="21">
        <f>EXP(-LN(2)/2)*AB160+(1-EXP(-LN(2)/2))/(LN(2)/2)*V161*Y161*VLOOKUP('Données projet'!$B$9,Paramètres!$A$1:$I$89,3,0)*0.475*44/12</f>
        <v>4.0111172253826237E-20</v>
      </c>
      <c r="AC161" s="22">
        <f t="shared" si="163"/>
        <v>49.805641198389225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277.99999999999994</v>
      </c>
      <c r="AJ161" s="13">
        <f>AI161*VLOOKUP('Données projet'!$B$10,Paramètres!$A$1:$I$89,3,0)*VLOOKUP('Données projet'!$B$10,Paramètres!$A$1:$I$89,5,0)</f>
        <v>151.78799999999998</v>
      </c>
      <c r="AK161" s="13">
        <f t="shared" si="164"/>
        <v>38.984634390835623</v>
      </c>
      <c r="AL161" s="20">
        <f t="shared" si="165"/>
        <v>332.26233823070532</v>
      </c>
      <c r="AM161" s="59">
        <f t="shared" si="113"/>
        <v>625.59567156403864</v>
      </c>
      <c r="AN161" s="59">
        <f ca="1">AVERAGE(OFFSET($AM$3,0,0,'Données projet'!$E$10+1,1))-AVERAGE(OFFSET($H$3,0,0,'Données projet'!$E$10+1,1))</f>
        <v>159.92263609041913</v>
      </c>
      <c r="AO161" s="59">
        <f t="shared" si="144"/>
        <v>271.78119133009307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2.9095709812018153</v>
      </c>
      <c r="AV161" s="21">
        <f>EXP(-LN(2)/25)*AV160+(1-EXP(-LN(2)/25))/(LN(2)/25)*Calculateur!AQ161*Calculateur!AS161*VLOOKUP('Données projet'!$B$10,Paramètres!$A$1:$I$89,3,0)*0.475*44/12</f>
        <v>2.7617554679515459</v>
      </c>
      <c r="AW161" s="21">
        <f>EXP(-LN(2)/2)*AW160+(1-EXP(-LN(2)/2))/(LN(2)/2)*AQ161*AT161*VLOOKUP('Données projet'!$B$10,Paramètres!$A$1:$I$89,3,0)*0.475*44/12</f>
        <v>1.3745412994238394E-21</v>
      </c>
      <c r="AX161" s="21">
        <f t="shared" si="166"/>
        <v>5.6713264491533613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243</v>
      </c>
      <c r="BE161" s="13">
        <f>BD161*VLOOKUP('Données projet'!$B$11,Paramètres!$A$1:$I$89,3,0)*VLOOKUP('Données projet'!$B$11,Paramètres!$A$1:$I$89,5,0)</f>
        <v>212.28480000000002</v>
      </c>
      <c r="BF161" s="13">
        <f t="shared" si="167"/>
        <v>52.434557099704193</v>
      </c>
      <c r="BG161" s="20">
        <f t="shared" si="168"/>
        <v>461.05288028198476</v>
      </c>
      <c r="BH161" s="59">
        <f t="shared" si="116"/>
        <v>754.38621361531807</v>
      </c>
      <c r="BI161" s="59">
        <f ca="1">AVERAGE(OFFSET($BH$3,0,0,'Données projet'!$E$11+1,1))-AVERAGE(OFFSET($H$3,0,0,'Données projet'!$E$11+1,1))</f>
        <v>268.27008134105046</v>
      </c>
      <c r="BJ161" s="59">
        <f t="shared" si="146"/>
        <v>252.36274686619709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17.799736983368199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17.799736983368199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0.8600000000003547</v>
      </c>
      <c r="O162" s="13">
        <f>N162*VLOOKUP('Données projet'!$B$9,Paramètres!$A$1:$I$89,3,0)*VLOOKUP('Données projet'!$B$9,Paramètres!$A$1:$I$89,5,0)</f>
        <v>0.48074000000019829</v>
      </c>
      <c r="P162" s="13">
        <f t="shared" si="141"/>
        <v>0.24126147010950588</v>
      </c>
      <c r="Q162" s="20">
        <f t="shared" si="162"/>
        <v>1.2574858937744013</v>
      </c>
      <c r="R162" s="59">
        <f t="shared" si="109"/>
        <v>294.59081922710772</v>
      </c>
      <c r="S162" s="59">
        <f ca="1">AVERAGE(OFFSET($R$3,0,0,'Données projet'!$E$9+1,1))-AVERAGE(OFFSET($H$3,0,0,'Données projet'!$E$9+1,1))</f>
        <v>350.01600895263641</v>
      </c>
      <c r="T162" s="59">
        <f t="shared" si="142"/>
        <v>464.08921044376882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47.403278721258459</v>
      </c>
      <c r="AA162" s="21">
        <f>EXP(-LN(2)/25)*AA161+(1-EXP(-LN(2)/25))/(LN(2)/25)*Calculateur!V162*Calculateur!X162*VLOOKUP('Données projet'!$B$9,Paramètres!$A$1:$I$89,3,0)*0.475*44/12</f>
        <v>1.4144548717857011</v>
      </c>
      <c r="AB162" s="21">
        <f>EXP(-LN(2)/2)*AB161+(1-EXP(-LN(2)/2))/(LN(2)/2)*V162*Y162*VLOOKUP('Données projet'!$B$9,Paramètres!$A$1:$I$89,3,0)*0.475*44/12</f>
        <v>2.8362881902022224E-20</v>
      </c>
      <c r="AC162" s="22">
        <f t="shared" si="163"/>
        <v>48.81773359304416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277.99999999999994</v>
      </c>
      <c r="AJ162" s="13">
        <f>AI162*VLOOKUP('Données projet'!$B$10,Paramètres!$A$1:$I$89,3,0)*VLOOKUP('Données projet'!$B$10,Paramètres!$A$1:$I$89,5,0)</f>
        <v>151.78799999999998</v>
      </c>
      <c r="AK162" s="13">
        <f t="shared" si="164"/>
        <v>38.984634390835623</v>
      </c>
      <c r="AL162" s="20">
        <f t="shared" si="165"/>
        <v>332.26233823070532</v>
      </c>
      <c r="AM162" s="59">
        <f t="shared" si="113"/>
        <v>625.59567156403864</v>
      </c>
      <c r="AN162" s="59">
        <f ca="1">AVERAGE(OFFSET($AM$3,0,0,'Données projet'!$E$10+1,1))-AVERAGE(OFFSET($H$3,0,0,'Données projet'!$E$10+1,1))</f>
        <v>159.92263609041913</v>
      </c>
      <c r="AO162" s="59">
        <f t="shared" si="144"/>
        <v>271.78119133009307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2.8525160689235127</v>
      </c>
      <c r="AV162" s="21">
        <f>EXP(-LN(2)/25)*AV161+(1-EXP(-LN(2)/25))/(LN(2)/25)*Calculateur!AQ162*Calculateur!AS162*VLOOKUP('Données projet'!$B$10,Paramètres!$A$1:$I$89,3,0)*0.475*44/12</f>
        <v>2.6862351194460028</v>
      </c>
      <c r="AW162" s="21">
        <f>EXP(-LN(2)/2)*AW161+(1-EXP(-LN(2)/2))/(LN(2)/2)*AQ162*AT162*VLOOKUP('Données projet'!$B$10,Paramètres!$A$1:$I$89,3,0)*0.475*44/12</f>
        <v>9.7194747384356549E-22</v>
      </c>
      <c r="AX162" s="21">
        <f t="shared" si="166"/>
        <v>5.5387511883695151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243</v>
      </c>
      <c r="BE162" s="13">
        <f>BD162*VLOOKUP('Données projet'!$B$11,Paramètres!$A$1:$I$89,3,0)*VLOOKUP('Données projet'!$B$11,Paramètres!$A$1:$I$89,5,0)</f>
        <v>212.28480000000002</v>
      </c>
      <c r="BF162" s="13">
        <f t="shared" si="167"/>
        <v>52.434557099704193</v>
      </c>
      <c r="BG162" s="20">
        <f t="shared" si="168"/>
        <v>461.05288028198476</v>
      </c>
      <c r="BH162" s="59">
        <f t="shared" si="116"/>
        <v>754.38621361531807</v>
      </c>
      <c r="BI162" s="59">
        <f ca="1">AVERAGE(OFFSET($BH$3,0,0,'Données projet'!$E$11+1,1))-AVERAGE(OFFSET($H$3,0,0,'Données projet'!$E$11+1,1))</f>
        <v>268.27008134105046</v>
      </c>
      <c r="BJ162" s="59">
        <f t="shared" si="146"/>
        <v>252.36274686619709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17.45069499789189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17.45069499789189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0.8600000000003547</v>
      </c>
      <c r="O163" s="13">
        <f>N163*VLOOKUP('Données projet'!$B$9,Paramètres!$A$1:$I$89,3,0)*VLOOKUP('Données projet'!$B$9,Paramètres!$A$1:$I$89,5,0)</f>
        <v>0.48074000000019829</v>
      </c>
      <c r="P163" s="13">
        <f t="shared" si="141"/>
        <v>0.24126147010950588</v>
      </c>
      <c r="Q163" s="20">
        <f t="shared" si="162"/>
        <v>1.2574858937744013</v>
      </c>
      <c r="R163" s="59">
        <f t="shared" si="109"/>
        <v>294.59081922710772</v>
      </c>
      <c r="S163" s="59">
        <f ca="1">AVERAGE(OFFSET($R$3,0,0,'Données projet'!$E$9+1,1))-AVERAGE(OFFSET($H$3,0,0,'Données projet'!$E$9+1,1))</f>
        <v>350.01600895263641</v>
      </c>
      <c r="T163" s="59">
        <f t="shared" si="142"/>
        <v>464.08921044376882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46.473729338679668</v>
      </c>
      <c r="AA163" s="21">
        <f>EXP(-LN(2)/25)*AA162+(1-EXP(-LN(2)/25))/(LN(2)/25)*Calculateur!V163*Calculateur!X163*VLOOKUP('Données projet'!$B$9,Paramètres!$A$1:$I$89,3,0)*0.475*44/12</f>
        <v>1.3757765289337722</v>
      </c>
      <c r="AB163" s="21">
        <f>EXP(-LN(2)/2)*AB162+(1-EXP(-LN(2)/2))/(LN(2)/2)*V163*Y163*VLOOKUP('Données projet'!$B$9,Paramètres!$A$1:$I$89,3,0)*0.475*44/12</f>
        <v>2.0055586126913119E-20</v>
      </c>
      <c r="AC163" s="22">
        <f t="shared" si="163"/>
        <v>47.849505867613438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277.99999999999994</v>
      </c>
      <c r="AJ163" s="13">
        <f>AI163*VLOOKUP('Données projet'!$B$10,Paramètres!$A$1:$I$89,3,0)*VLOOKUP('Données projet'!$B$10,Paramètres!$A$1:$I$89,5,0)</f>
        <v>151.78799999999998</v>
      </c>
      <c r="AK163" s="13">
        <f t="shared" si="164"/>
        <v>38.984634390835623</v>
      </c>
      <c r="AL163" s="20">
        <f t="shared" si="165"/>
        <v>332.26233823070532</v>
      </c>
      <c r="AM163" s="59">
        <f t="shared" si="113"/>
        <v>625.59567156403864</v>
      </c>
      <c r="AN163" s="59">
        <f ca="1">AVERAGE(OFFSET($AM$3,0,0,'Données projet'!$E$10+1,1))-AVERAGE(OFFSET($H$3,0,0,'Données projet'!$E$10+1,1))</f>
        <v>159.92263609041913</v>
      </c>
      <c r="AO163" s="59">
        <f t="shared" si="144"/>
        <v>271.78119133009307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2.7965799686749273</v>
      </c>
      <c r="AV163" s="21">
        <f>EXP(-LN(2)/25)*AV162+(1-EXP(-LN(2)/25))/(LN(2)/25)*Calculateur!AQ163*Calculateur!AS163*VLOOKUP('Données projet'!$B$10,Paramètres!$A$1:$I$89,3,0)*0.475*44/12</f>
        <v>2.6127798788417862</v>
      </c>
      <c r="AW163" s="21">
        <f>EXP(-LN(2)/2)*AW162+(1-EXP(-LN(2)/2))/(LN(2)/2)*AQ163*AT163*VLOOKUP('Données projet'!$B$10,Paramètres!$A$1:$I$89,3,0)*0.475*44/12</f>
        <v>6.8727064971191971E-22</v>
      </c>
      <c r="AX163" s="21">
        <f t="shared" si="166"/>
        <v>5.4093598475167131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243</v>
      </c>
      <c r="BE163" s="13">
        <f>BD163*VLOOKUP('Données projet'!$B$11,Paramètres!$A$1:$I$89,3,0)*VLOOKUP('Données projet'!$B$11,Paramètres!$A$1:$I$89,5,0)</f>
        <v>212.28480000000002</v>
      </c>
      <c r="BF163" s="13">
        <f t="shared" si="167"/>
        <v>52.434557099704193</v>
      </c>
      <c r="BG163" s="20">
        <f t="shared" si="168"/>
        <v>461.05288028198476</v>
      </c>
      <c r="BH163" s="59">
        <f t="shared" si="116"/>
        <v>754.38621361531807</v>
      </c>
      <c r="BI163" s="59">
        <f ca="1">AVERAGE(OFFSET($BH$3,0,0,'Données projet'!$E$11+1,1))-AVERAGE(OFFSET($H$3,0,0,'Données projet'!$E$11+1,1))</f>
        <v>268.27008134105046</v>
      </c>
      <c r="BJ163" s="59">
        <f t="shared" si="146"/>
        <v>252.36274686619709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17.108497512856182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17.108497512856182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0.8600000000003547</v>
      </c>
      <c r="O164" s="13">
        <f>N164*VLOOKUP('Données projet'!$B$9,Paramètres!$A$1:$I$89,3,0)*VLOOKUP('Données projet'!$B$9,Paramètres!$A$1:$I$89,5,0)</f>
        <v>0.48074000000019829</v>
      </c>
      <c r="P164" s="13">
        <f t="shared" si="141"/>
        <v>0.24126147010950588</v>
      </c>
      <c r="Q164" s="20">
        <f t="shared" si="162"/>
        <v>1.2574858937744013</v>
      </c>
      <c r="R164" s="59">
        <f t="shared" si="109"/>
        <v>294.59081922710772</v>
      </c>
      <c r="S164" s="59">
        <f ca="1">AVERAGE(OFFSET($R$3,0,0,'Données projet'!$E$9+1,1))-AVERAGE(OFFSET($H$3,0,0,'Données projet'!$E$9+1,1))</f>
        <v>350.01600895263641</v>
      </c>
      <c r="T164" s="59">
        <f t="shared" si="142"/>
        <v>464.08921044376882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45.562407852524103</v>
      </c>
      <c r="AA164" s="21">
        <f>EXP(-LN(2)/25)*AA163+(1-EXP(-LN(2)/25))/(LN(2)/25)*Calculateur!V164*Calculateur!X164*VLOOKUP('Données projet'!$B$9,Paramètres!$A$1:$I$89,3,0)*0.475*44/12</f>
        <v>1.338155847401135</v>
      </c>
      <c r="AB164" s="21">
        <f>EXP(-LN(2)/2)*AB163+(1-EXP(-LN(2)/2))/(LN(2)/2)*V164*Y164*VLOOKUP('Données projet'!$B$9,Paramètres!$A$1:$I$89,3,0)*0.475*44/12</f>
        <v>1.4181440951011112E-20</v>
      </c>
      <c r="AC164" s="22">
        <f t="shared" si="163"/>
        <v>46.900563699925236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277.99999999999994</v>
      </c>
      <c r="AJ164" s="13">
        <f>AI164*VLOOKUP('Données projet'!$B$10,Paramètres!$A$1:$I$89,3,0)*VLOOKUP('Données projet'!$B$10,Paramètres!$A$1:$I$89,5,0)</f>
        <v>151.78799999999998</v>
      </c>
      <c r="AK164" s="13">
        <f t="shared" si="164"/>
        <v>38.984634390835623</v>
      </c>
      <c r="AL164" s="20">
        <f t="shared" si="165"/>
        <v>332.26233823070532</v>
      </c>
      <c r="AM164" s="59">
        <f t="shared" si="113"/>
        <v>625.59567156403864</v>
      </c>
      <c r="AN164" s="59">
        <f ca="1">AVERAGE(OFFSET($AM$3,0,0,'Données projet'!$E$10+1,1))-AVERAGE(OFFSET($H$3,0,0,'Données projet'!$E$10+1,1))</f>
        <v>159.92263609041913</v>
      </c>
      <c r="AO164" s="59">
        <f t="shared" si="144"/>
        <v>271.78119133009307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2.7417407412345645</v>
      </c>
      <c r="AV164" s="21">
        <f>EXP(-LN(2)/25)*AV163+(1-EXP(-LN(2)/25))/(LN(2)/25)*Calculateur!AQ164*Calculateur!AS164*VLOOKUP('Données projet'!$B$10,Paramètres!$A$1:$I$89,3,0)*0.475*44/12</f>
        <v>2.5413332756547353</v>
      </c>
      <c r="AW164" s="21">
        <f>EXP(-LN(2)/2)*AW163+(1-EXP(-LN(2)/2))/(LN(2)/2)*AQ164*AT164*VLOOKUP('Données projet'!$B$10,Paramètres!$A$1:$I$89,3,0)*0.475*44/12</f>
        <v>4.8597373692178275E-22</v>
      </c>
      <c r="AX164" s="21">
        <f t="shared" si="166"/>
        <v>5.2830740168892998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243</v>
      </c>
      <c r="BE164" s="13">
        <f>BD164*VLOOKUP('Données projet'!$B$11,Paramètres!$A$1:$I$89,3,0)*VLOOKUP('Données projet'!$B$11,Paramètres!$A$1:$I$89,5,0)</f>
        <v>212.28480000000002</v>
      </c>
      <c r="BF164" s="13">
        <f t="shared" si="167"/>
        <v>52.434557099704193</v>
      </c>
      <c r="BG164" s="20">
        <f t="shared" si="168"/>
        <v>461.05288028198476</v>
      </c>
      <c r="BH164" s="59">
        <f t="shared" si="116"/>
        <v>754.38621361531807</v>
      </c>
      <c r="BI164" s="59">
        <f ca="1">AVERAGE(OFFSET($BH$3,0,0,'Données projet'!$E$11+1,1))-AVERAGE(OFFSET($H$3,0,0,'Données projet'!$E$11+1,1))</f>
        <v>268.27008134105046</v>
      </c>
      <c r="BJ164" s="59">
        <f t="shared" si="146"/>
        <v>252.36274686619709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16.773010311782169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16.773010311782169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0.8600000000003547</v>
      </c>
      <c r="O165" s="13">
        <f>N165*VLOOKUP('Données projet'!$B$9,Paramètres!$A$1:$I$89,3,0)*VLOOKUP('Données projet'!$B$9,Paramètres!$A$1:$I$89,5,0)</f>
        <v>0.48074000000019829</v>
      </c>
      <c r="P165" s="13">
        <f t="shared" si="141"/>
        <v>0.24126147010950588</v>
      </c>
      <c r="Q165" s="20">
        <f t="shared" si="162"/>
        <v>1.2574858937744013</v>
      </c>
      <c r="R165" s="59">
        <f t="shared" si="109"/>
        <v>294.59081922710772</v>
      </c>
      <c r="S165" s="59">
        <f ca="1">AVERAGE(OFFSET($R$3,0,0,'Données projet'!$E$9+1,1))-AVERAGE(OFFSET($H$3,0,0,'Données projet'!$E$9+1,1))</f>
        <v>350.01600895263641</v>
      </c>
      <c r="T165" s="59">
        <f t="shared" si="142"/>
        <v>464.08921044376882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44.668956824860828</v>
      </c>
      <c r="AA165" s="21">
        <f>EXP(-LN(2)/25)*AA164+(1-EXP(-LN(2)/25))/(LN(2)/25)*Calculateur!V165*Calculateur!X165*VLOOKUP('Données projet'!$B$9,Paramètres!$A$1:$I$89,3,0)*0.475*44/12</f>
        <v>1.3015639053833934</v>
      </c>
      <c r="AB165" s="21">
        <f>EXP(-LN(2)/2)*AB164+(1-EXP(-LN(2)/2))/(LN(2)/2)*V165*Y165*VLOOKUP('Données projet'!$B$9,Paramètres!$A$1:$I$89,3,0)*0.475*44/12</f>
        <v>1.0027793063456559E-20</v>
      </c>
      <c r="AC165" s="22">
        <f t="shared" si="163"/>
        <v>45.970520730244225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277.99999999999994</v>
      </c>
      <c r="AJ165" s="13">
        <f>AI165*VLOOKUP('Données projet'!$B$10,Paramètres!$A$1:$I$89,3,0)*VLOOKUP('Données projet'!$B$10,Paramètres!$A$1:$I$89,5,0)</f>
        <v>151.78799999999998</v>
      </c>
      <c r="AK165" s="13">
        <f t="shared" si="164"/>
        <v>38.984634390835623</v>
      </c>
      <c r="AL165" s="20">
        <f t="shared" si="165"/>
        <v>332.26233823070532</v>
      </c>
      <c r="AM165" s="59">
        <f t="shared" si="113"/>
        <v>625.59567156403864</v>
      </c>
      <c r="AN165" s="59">
        <f ca="1">AVERAGE(OFFSET($AM$3,0,0,'Données projet'!$E$10+1,1))-AVERAGE(OFFSET($H$3,0,0,'Données projet'!$E$10+1,1))</f>
        <v>159.92263609041913</v>
      </c>
      <c r="AO165" s="59">
        <f t="shared" si="144"/>
        <v>271.78119133009307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2.6879768775956814</v>
      </c>
      <c r="AV165" s="21">
        <f>EXP(-LN(2)/25)*AV164+(1-EXP(-LN(2)/25))/(LN(2)/25)*Calculateur!AQ165*Calculateur!AS165*VLOOKUP('Données projet'!$B$10,Paramètres!$A$1:$I$89,3,0)*0.475*44/12</f>
        <v>2.4718403835890479</v>
      </c>
      <c r="AW165" s="21">
        <f>EXP(-LN(2)/2)*AW164+(1-EXP(-LN(2)/2))/(LN(2)/2)*AQ165*AT165*VLOOKUP('Données projet'!$B$10,Paramètres!$A$1:$I$89,3,0)*0.475*44/12</f>
        <v>3.4363532485595985E-22</v>
      </c>
      <c r="AX165" s="21">
        <f t="shared" si="166"/>
        <v>5.1598172611847293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243</v>
      </c>
      <c r="BE165" s="13">
        <f>BD165*VLOOKUP('Données projet'!$B$11,Paramètres!$A$1:$I$89,3,0)*VLOOKUP('Données projet'!$B$11,Paramètres!$A$1:$I$89,5,0)</f>
        <v>212.28480000000002</v>
      </c>
      <c r="BF165" s="13">
        <f t="shared" si="167"/>
        <v>52.434557099704193</v>
      </c>
      <c r="BG165" s="20">
        <f t="shared" si="168"/>
        <v>461.05288028198476</v>
      </c>
      <c r="BH165" s="59">
        <f t="shared" si="116"/>
        <v>754.38621361531807</v>
      </c>
      <c r="BI165" s="59">
        <f ca="1">AVERAGE(OFFSET($BH$3,0,0,'Données projet'!$E$11+1,1))-AVERAGE(OFFSET($H$3,0,0,'Données projet'!$E$11+1,1))</f>
        <v>268.27008134105046</v>
      </c>
      <c r="BJ165" s="59">
        <f t="shared" si="146"/>
        <v>252.36274686619709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16.444101810094232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16.444101810094232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0.8600000000003547</v>
      </c>
      <c r="O166" s="13">
        <f>N166*VLOOKUP('Données projet'!$B$9,Paramètres!$A$1:$I$89,3,0)*VLOOKUP('Données projet'!$B$9,Paramètres!$A$1:$I$89,5,0)</f>
        <v>0.48074000000019829</v>
      </c>
      <c r="P166" s="13">
        <f t="shared" si="141"/>
        <v>0.24126147010950588</v>
      </c>
      <c r="Q166" s="20">
        <f t="shared" si="162"/>
        <v>1.2574858937744013</v>
      </c>
      <c r="R166" s="59">
        <f t="shared" si="109"/>
        <v>294.59081922710772</v>
      </c>
      <c r="S166" s="59">
        <f ca="1">AVERAGE(OFFSET($R$3,0,0,'Données projet'!$E$9+1,1))-AVERAGE(OFFSET($H$3,0,0,'Données projet'!$E$9+1,1))</f>
        <v>350.01600895263641</v>
      </c>
      <c r="T166" s="59">
        <f t="shared" si="142"/>
        <v>464.08921044376882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43.793025826898713</v>
      </c>
      <c r="AA166" s="21">
        <f>EXP(-LN(2)/25)*AA165+(1-EXP(-LN(2)/25))/(LN(2)/25)*Calculateur!V166*Calculateur!X166*VLOOKUP('Données projet'!$B$9,Paramètres!$A$1:$I$89,3,0)*0.475*44/12</f>
        <v>1.2659725719444135</v>
      </c>
      <c r="AB166" s="21">
        <f>EXP(-LN(2)/2)*AB165+(1-EXP(-LN(2)/2))/(LN(2)/2)*V166*Y166*VLOOKUP('Données projet'!$B$9,Paramètres!$A$1:$I$89,3,0)*0.475*44/12</f>
        <v>7.0907204755055561E-21</v>
      </c>
      <c r="AC166" s="22">
        <f t="shared" si="163"/>
        <v>45.05899839884313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277.99999999999994</v>
      </c>
      <c r="AJ166" s="13">
        <f>AI166*VLOOKUP('Données projet'!$B$10,Paramètres!$A$1:$I$89,3,0)*VLOOKUP('Données projet'!$B$10,Paramètres!$A$1:$I$89,5,0)</f>
        <v>151.78799999999998</v>
      </c>
      <c r="AK166" s="13">
        <f t="shared" si="164"/>
        <v>38.984634390835623</v>
      </c>
      <c r="AL166" s="20">
        <f t="shared" si="165"/>
        <v>332.26233823070532</v>
      </c>
      <c r="AM166" s="59">
        <f t="shared" si="113"/>
        <v>625.59567156403864</v>
      </c>
      <c r="AN166" s="59">
        <f ca="1">AVERAGE(OFFSET($AM$3,0,0,'Données projet'!$E$10+1,1))-AVERAGE(OFFSET($H$3,0,0,'Données projet'!$E$10+1,1))</f>
        <v>159.92263609041913</v>
      </c>
      <c r="AO166" s="59">
        <f t="shared" si="144"/>
        <v>271.78119133009307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2.6352672905300376</v>
      </c>
      <c r="AV166" s="21">
        <f>EXP(-LN(2)/25)*AV165+(1-EXP(-LN(2)/25))/(LN(2)/25)*Calculateur!AQ166*Calculateur!AS166*VLOOKUP('Données projet'!$B$10,Paramètres!$A$1:$I$89,3,0)*0.475*44/12</f>
        <v>2.4042477783113689</v>
      </c>
      <c r="AW166" s="21">
        <f>EXP(-LN(2)/2)*AW165+(1-EXP(-LN(2)/2))/(LN(2)/2)*AQ166*AT166*VLOOKUP('Données projet'!$B$10,Paramètres!$A$1:$I$89,3,0)*0.475*44/12</f>
        <v>2.4298686846089137E-22</v>
      </c>
      <c r="AX166" s="21">
        <f t="shared" si="166"/>
        <v>5.039515068841407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243</v>
      </c>
      <c r="BE166" s="13">
        <f>BD166*VLOOKUP('Données projet'!$B$11,Paramètres!$A$1:$I$89,3,0)*VLOOKUP('Données projet'!$B$11,Paramètres!$A$1:$I$89,5,0)</f>
        <v>212.28480000000002</v>
      </c>
      <c r="BF166" s="13">
        <f t="shared" si="167"/>
        <v>52.434557099704193</v>
      </c>
      <c r="BG166" s="20">
        <f t="shared" si="168"/>
        <v>461.05288028198476</v>
      </c>
      <c r="BH166" s="59">
        <f t="shared" si="116"/>
        <v>754.38621361531807</v>
      </c>
      <c r="BI166" s="59">
        <f ca="1">AVERAGE(OFFSET($BH$3,0,0,'Données projet'!$E$11+1,1))-AVERAGE(OFFSET($H$3,0,0,'Données projet'!$E$11+1,1))</f>
        <v>268.27008134105046</v>
      </c>
      <c r="BJ166" s="59">
        <f t="shared" si="146"/>
        <v>252.36274686619709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16.121643003510016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16.121643003510016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0.8600000000003547</v>
      </c>
      <c r="O167" s="13">
        <f>N167*VLOOKUP('Données projet'!$B$9,Paramètres!$A$1:$I$89,3,0)*VLOOKUP('Données projet'!$B$9,Paramètres!$A$1:$I$89,5,0)</f>
        <v>0.48074000000019829</v>
      </c>
      <c r="P167" s="13">
        <f t="shared" si="141"/>
        <v>0.24126147010950588</v>
      </c>
      <c r="Q167" s="20">
        <f t="shared" si="162"/>
        <v>1.2574858937744013</v>
      </c>
      <c r="R167" s="59">
        <f t="shared" si="109"/>
        <v>294.59081922710772</v>
      </c>
      <c r="S167" s="59">
        <f ca="1">AVERAGE(OFFSET($R$3,0,0,'Données projet'!$E$9+1,1))-AVERAGE(OFFSET($H$3,0,0,'Données projet'!$E$9+1,1))</f>
        <v>350.01600895263641</v>
      </c>
      <c r="T167" s="59">
        <f t="shared" si="142"/>
        <v>464.08921044376882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42.934271301541479</v>
      </c>
      <c r="AA167" s="21">
        <f>EXP(-LN(2)/25)*AA166+(1-EXP(-LN(2)/25))/(LN(2)/25)*Calculateur!V167*Calculateur!X167*VLOOKUP('Données projet'!$B$9,Paramètres!$A$1:$I$89,3,0)*0.475*44/12</f>
        <v>1.2313544853899894</v>
      </c>
      <c r="AB167" s="21">
        <f>EXP(-LN(2)/2)*AB166+(1-EXP(-LN(2)/2))/(LN(2)/2)*V167*Y167*VLOOKUP('Données projet'!$B$9,Paramètres!$A$1:$I$89,3,0)*0.475*44/12</f>
        <v>5.0138965317282796E-21</v>
      </c>
      <c r="AC167" s="22">
        <f t="shared" si="163"/>
        <v>44.165625786931471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277.99999999999994</v>
      </c>
      <c r="AJ167" s="13">
        <f>AI167*VLOOKUP('Données projet'!$B$10,Paramètres!$A$1:$I$89,3,0)*VLOOKUP('Données projet'!$B$10,Paramètres!$A$1:$I$89,5,0)</f>
        <v>151.78799999999998</v>
      </c>
      <c r="AK167" s="13">
        <f t="shared" si="164"/>
        <v>38.984634390835623</v>
      </c>
      <c r="AL167" s="20">
        <f t="shared" si="165"/>
        <v>332.26233823070532</v>
      </c>
      <c r="AM167" s="59">
        <f t="shared" si="113"/>
        <v>625.59567156403864</v>
      </c>
      <c r="AN167" s="59">
        <f ca="1">AVERAGE(OFFSET($AM$3,0,0,'Données projet'!$E$10+1,1))-AVERAGE(OFFSET($H$3,0,0,'Données projet'!$E$10+1,1))</f>
        <v>159.92263609041913</v>
      </c>
      <c r="AO167" s="59">
        <f t="shared" si="144"/>
        <v>271.78119133009307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2.5835913063170777</v>
      </c>
      <c r="AV167" s="21">
        <f>EXP(-LN(2)/25)*AV166+(1-EXP(-LN(2)/25))/(LN(2)/25)*Calculateur!AQ167*Calculateur!AS167*VLOOKUP('Données projet'!$B$10,Paramètres!$A$1:$I$89,3,0)*0.475*44/12</f>
        <v>2.3385034963795488</v>
      </c>
      <c r="AW167" s="21">
        <f>EXP(-LN(2)/2)*AW166+(1-EXP(-LN(2)/2))/(LN(2)/2)*AQ167*AT167*VLOOKUP('Données projet'!$B$10,Paramètres!$A$1:$I$89,3,0)*0.475*44/12</f>
        <v>1.7181766242797993E-22</v>
      </c>
      <c r="AX167" s="21">
        <f t="shared" si="166"/>
        <v>4.9220948026966269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243</v>
      </c>
      <c r="BE167" s="13">
        <f>BD167*VLOOKUP('Données projet'!$B$11,Paramètres!$A$1:$I$89,3,0)*VLOOKUP('Données projet'!$B$11,Paramètres!$A$1:$I$89,5,0)</f>
        <v>212.28480000000002</v>
      </c>
      <c r="BF167" s="13">
        <f t="shared" si="167"/>
        <v>52.434557099704193</v>
      </c>
      <c r="BG167" s="20">
        <f t="shared" si="168"/>
        <v>461.05288028198476</v>
      </c>
      <c r="BH167" s="59">
        <f t="shared" si="116"/>
        <v>754.38621361531807</v>
      </c>
      <c r="BI167" s="59">
        <f ca="1">AVERAGE(OFFSET($BH$3,0,0,'Données projet'!$E$11+1,1))-AVERAGE(OFFSET($H$3,0,0,'Données projet'!$E$11+1,1))</f>
        <v>268.27008134105046</v>
      </c>
      <c r="BJ167" s="59">
        <f t="shared" si="146"/>
        <v>252.36274686619709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15.805507417442465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15.805507417442465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0.8600000000003547</v>
      </c>
      <c r="O168" s="13">
        <f>N168*VLOOKUP('Données projet'!$B$9,Paramètres!$A$1:$I$89,3,0)*VLOOKUP('Données projet'!$B$9,Paramètres!$A$1:$I$89,5,0)</f>
        <v>0.48074000000019829</v>
      </c>
      <c r="P168" s="13">
        <f t="shared" si="141"/>
        <v>0.24126147010950588</v>
      </c>
      <c r="Q168" s="20">
        <f t="shared" si="162"/>
        <v>1.2574858937744013</v>
      </c>
      <c r="R168" s="59">
        <f t="shared" si="109"/>
        <v>294.59081922710772</v>
      </c>
      <c r="S168" s="59">
        <f ca="1">AVERAGE(OFFSET($R$3,0,0,'Données projet'!$E$9+1,1))-AVERAGE(OFFSET($H$3,0,0,'Données projet'!$E$9+1,1))</f>
        <v>350.01600895263641</v>
      </c>
      <c r="T168" s="59">
        <f t="shared" si="142"/>
        <v>464.08921044376882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42.092356428637963</v>
      </c>
      <c r="AA168" s="21">
        <f>EXP(-LN(2)/25)*AA167+(1-EXP(-LN(2)/25))/(LN(2)/25)*Calculateur!V168*Calculateur!X168*VLOOKUP('Données projet'!$B$9,Paramètres!$A$1:$I$89,3,0)*0.475*44/12</f>
        <v>1.197683032232882</v>
      </c>
      <c r="AB168" s="21">
        <f>EXP(-LN(2)/2)*AB167+(1-EXP(-LN(2)/2))/(LN(2)/2)*V168*Y168*VLOOKUP('Données projet'!$B$9,Paramètres!$A$1:$I$89,3,0)*0.475*44/12</f>
        <v>3.5453602377527781E-21</v>
      </c>
      <c r="AC168" s="22">
        <f t="shared" si="163"/>
        <v>43.290039460870844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277.99999999999994</v>
      </c>
      <c r="AJ168" s="13">
        <f>AI168*VLOOKUP('Données projet'!$B$10,Paramètres!$A$1:$I$89,3,0)*VLOOKUP('Données projet'!$B$10,Paramètres!$A$1:$I$89,5,0)</f>
        <v>151.78799999999998</v>
      </c>
      <c r="AK168" s="13">
        <f t="shared" si="164"/>
        <v>38.984634390835623</v>
      </c>
      <c r="AL168" s="20">
        <f t="shared" si="165"/>
        <v>332.26233823070532</v>
      </c>
      <c r="AM168" s="59">
        <f t="shared" si="113"/>
        <v>625.59567156403864</v>
      </c>
      <c r="AN168" s="59">
        <f ca="1">AVERAGE(OFFSET($AM$3,0,0,'Données projet'!$E$10+1,1))-AVERAGE(OFFSET($H$3,0,0,'Données projet'!$E$10+1,1))</f>
        <v>159.92263609041913</v>
      </c>
      <c r="AO168" s="59">
        <f t="shared" si="144"/>
        <v>271.78119133009307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2.532928656635296</v>
      </c>
      <c r="AV168" s="21">
        <f>EXP(-LN(2)/25)*AV167+(1-EXP(-LN(2)/25))/(LN(2)/25)*Calculateur!AQ168*Calculateur!AS168*VLOOKUP('Données projet'!$B$10,Paramètres!$A$1:$I$89,3,0)*0.475*44/12</f>
        <v>2.2745569952944957</v>
      </c>
      <c r="AW168" s="21">
        <f>EXP(-LN(2)/2)*AW167+(1-EXP(-LN(2)/2))/(LN(2)/2)*AQ168*AT168*VLOOKUP('Données projet'!$B$10,Paramètres!$A$1:$I$89,3,0)*0.475*44/12</f>
        <v>1.2149343423044569E-22</v>
      </c>
      <c r="AX168" s="21">
        <f t="shared" si="166"/>
        <v>4.8074856519297917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243</v>
      </c>
      <c r="BE168" s="13">
        <f>BD168*VLOOKUP('Données projet'!$B$11,Paramètres!$A$1:$I$89,3,0)*VLOOKUP('Données projet'!$B$11,Paramètres!$A$1:$I$89,5,0)</f>
        <v>212.28480000000002</v>
      </c>
      <c r="BF168" s="13">
        <f t="shared" si="167"/>
        <v>52.434557099704193</v>
      </c>
      <c r="BG168" s="20">
        <f t="shared" si="168"/>
        <v>461.05288028198476</v>
      </c>
      <c r="BH168" s="59">
        <f t="shared" si="116"/>
        <v>754.38621361531807</v>
      </c>
      <c r="BI168" s="59">
        <f ca="1">AVERAGE(OFFSET($BH$3,0,0,'Données projet'!$E$11+1,1))-AVERAGE(OFFSET($H$3,0,0,'Données projet'!$E$11+1,1))</f>
        <v>268.27008134105046</v>
      </c>
      <c r="BJ168" s="59">
        <f t="shared" si="146"/>
        <v>252.36274686619709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15.495571057394031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15.495571057394031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0.8600000000003547</v>
      </c>
      <c r="O169" s="13">
        <f>N169*VLOOKUP('Données projet'!$B$9,Paramètres!$A$1:$I$89,3,0)*VLOOKUP('Données projet'!$B$9,Paramètres!$A$1:$I$89,5,0)</f>
        <v>0.48074000000019829</v>
      </c>
      <c r="P169" s="13">
        <f t="shared" si="141"/>
        <v>0.24126147010950588</v>
      </c>
      <c r="Q169" s="20">
        <f t="shared" si="162"/>
        <v>1.2574858937744013</v>
      </c>
      <c r="R169" s="59">
        <f t="shared" si="109"/>
        <v>294.59081922710772</v>
      </c>
      <c r="S169" s="59">
        <f ca="1">AVERAGE(OFFSET($R$3,0,0,'Données projet'!$E$9+1,1))-AVERAGE(OFFSET($H$3,0,0,'Données projet'!$E$9+1,1))</f>
        <v>350.01600895263641</v>
      </c>
      <c r="T169" s="59">
        <f t="shared" si="142"/>
        <v>464.08921044376882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41.266950992874719</v>
      </c>
      <c r="AA169" s="21">
        <f>EXP(-LN(2)/25)*AA168+(1-EXP(-LN(2)/25))/(LN(2)/25)*Calculateur!V169*Calculateur!X169*VLOOKUP('Données projet'!$B$9,Paramètres!$A$1:$I$89,3,0)*0.475*44/12</f>
        <v>1.1649323267330605</v>
      </c>
      <c r="AB169" s="21">
        <f>EXP(-LN(2)/2)*AB168+(1-EXP(-LN(2)/2))/(LN(2)/2)*V169*Y169*VLOOKUP('Données projet'!$B$9,Paramètres!$A$1:$I$89,3,0)*0.475*44/12</f>
        <v>2.5069482658641398E-21</v>
      </c>
      <c r="AC169" s="22">
        <f t="shared" si="163"/>
        <v>42.431883319607778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277.99999999999994</v>
      </c>
      <c r="AJ169" s="13">
        <f>AI169*VLOOKUP('Données projet'!$B$10,Paramètres!$A$1:$I$89,3,0)*VLOOKUP('Données projet'!$B$10,Paramètres!$A$1:$I$89,5,0)</f>
        <v>151.78799999999998</v>
      </c>
      <c r="AK169" s="13">
        <f t="shared" si="164"/>
        <v>38.984634390835623</v>
      </c>
      <c r="AL169" s="20">
        <f t="shared" si="165"/>
        <v>332.26233823070532</v>
      </c>
      <c r="AM169" s="59">
        <f t="shared" si="113"/>
        <v>625.59567156403864</v>
      </c>
      <c r="AN169" s="59">
        <f ca="1">AVERAGE(OFFSET($AM$3,0,0,'Données projet'!$E$10+1,1))-AVERAGE(OFFSET($H$3,0,0,'Données projet'!$E$10+1,1))</f>
        <v>159.92263609041913</v>
      </c>
      <c r="AO169" s="59">
        <f t="shared" si="144"/>
        <v>271.78119133009307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2.4832594706126088</v>
      </c>
      <c r="AV169" s="21">
        <f>EXP(-LN(2)/25)*AV168+(1-EXP(-LN(2)/25))/(LN(2)/25)*Calculateur!AQ169*Calculateur!AS169*VLOOKUP('Données projet'!$B$10,Paramètres!$A$1:$I$89,3,0)*0.475*44/12</f>
        <v>2.2123591146444141</v>
      </c>
      <c r="AW169" s="21">
        <f>EXP(-LN(2)/2)*AW168+(1-EXP(-LN(2)/2))/(LN(2)/2)*AQ169*AT169*VLOOKUP('Données projet'!$B$10,Paramètres!$A$1:$I$89,3,0)*0.475*44/12</f>
        <v>8.5908831213989963E-23</v>
      </c>
      <c r="AX169" s="21">
        <f t="shared" si="166"/>
        <v>4.6956185852570229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243</v>
      </c>
      <c r="BE169" s="13">
        <f>BD169*VLOOKUP('Données projet'!$B$11,Paramètres!$A$1:$I$89,3,0)*VLOOKUP('Données projet'!$B$11,Paramètres!$A$1:$I$89,5,0)</f>
        <v>212.28480000000002</v>
      </c>
      <c r="BF169" s="13">
        <f t="shared" si="167"/>
        <v>52.434557099704193</v>
      </c>
      <c r="BG169" s="20">
        <f t="shared" si="168"/>
        <v>461.05288028198476</v>
      </c>
      <c r="BH169" s="59">
        <f t="shared" si="116"/>
        <v>754.38621361531807</v>
      </c>
      <c r="BI169" s="59">
        <f ca="1">AVERAGE(OFFSET($BH$3,0,0,'Données projet'!$E$11+1,1))-AVERAGE(OFFSET($H$3,0,0,'Données projet'!$E$11+1,1))</f>
        <v>268.27008134105046</v>
      </c>
      <c r="BJ169" s="59">
        <f t="shared" si="146"/>
        <v>252.36274686619709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15.191712360323635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15.191712360323635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0.8600000000003547</v>
      </c>
      <c r="O170" s="13">
        <f>N170*VLOOKUP('Données projet'!$B$9,Paramètres!$A$1:$I$89,3,0)*VLOOKUP('Données projet'!$B$9,Paramètres!$A$1:$I$89,5,0)</f>
        <v>0.48074000000019829</v>
      </c>
      <c r="P170" s="13">
        <f t="shared" si="141"/>
        <v>0.24126147010950588</v>
      </c>
      <c r="Q170" s="20">
        <f t="shared" si="162"/>
        <v>1.2574858937744013</v>
      </c>
      <c r="R170" s="59">
        <f t="shared" si="109"/>
        <v>294.59081922710772</v>
      </c>
      <c r="S170" s="59">
        <f ca="1">AVERAGE(OFFSET($R$3,0,0,'Données projet'!$E$9+1,1))-AVERAGE(OFFSET($H$3,0,0,'Données projet'!$E$9+1,1))</f>
        <v>350.01600895263641</v>
      </c>
      <c r="T170" s="59">
        <f t="shared" si="142"/>
        <v>464.08921044376882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40.457731254259187</v>
      </c>
      <c r="AA170" s="21">
        <f>EXP(-LN(2)/25)*AA169+(1-EXP(-LN(2)/25))/(LN(2)/25)*Calculateur!V170*Calculateur!X170*VLOOKUP('Données projet'!$B$9,Paramètres!$A$1:$I$89,3,0)*0.475*44/12</f>
        <v>1.1330771909974164</v>
      </c>
      <c r="AB170" s="21">
        <f>EXP(-LN(2)/2)*AB169+(1-EXP(-LN(2)/2))/(LN(2)/2)*V170*Y170*VLOOKUP('Données projet'!$B$9,Paramètres!$A$1:$I$89,3,0)*0.475*44/12</f>
        <v>1.772680118876389E-21</v>
      </c>
      <c r="AC170" s="22">
        <f t="shared" si="163"/>
        <v>41.590808445256606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277.99999999999994</v>
      </c>
      <c r="AJ170" s="13">
        <f>AI170*VLOOKUP('Données projet'!$B$10,Paramètres!$A$1:$I$89,3,0)*VLOOKUP('Données projet'!$B$10,Paramètres!$A$1:$I$89,5,0)</f>
        <v>151.78799999999998</v>
      </c>
      <c r="AK170" s="13">
        <f t="shared" si="164"/>
        <v>38.984634390835623</v>
      </c>
      <c r="AL170" s="20">
        <f t="shared" si="165"/>
        <v>332.26233823070532</v>
      </c>
      <c r="AM170" s="59">
        <f t="shared" si="113"/>
        <v>625.59567156403864</v>
      </c>
      <c r="AN170" s="59">
        <f ca="1">AVERAGE(OFFSET($AM$3,0,0,'Données projet'!$E$10+1,1))-AVERAGE(OFFSET($H$3,0,0,'Données projet'!$E$10+1,1))</f>
        <v>159.92263609041913</v>
      </c>
      <c r="AO170" s="59">
        <f t="shared" si="144"/>
        <v>271.78119133009307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2.4345642670326146</v>
      </c>
      <c r="AV170" s="21">
        <f>EXP(-LN(2)/25)*AV169+(1-EXP(-LN(2)/25))/(LN(2)/25)*Calculateur!AQ170*Calculateur!AS170*VLOOKUP('Données projet'!$B$10,Paramètres!$A$1:$I$89,3,0)*0.475*44/12</f>
        <v>2.1518620383115534</v>
      </c>
      <c r="AW170" s="21">
        <f>EXP(-LN(2)/2)*AW169+(1-EXP(-LN(2)/2))/(LN(2)/2)*AQ170*AT170*VLOOKUP('Données projet'!$B$10,Paramètres!$A$1:$I$89,3,0)*0.475*44/12</f>
        <v>6.0746717115222843E-23</v>
      </c>
      <c r="AX170" s="21">
        <f t="shared" si="166"/>
        <v>4.5864263053441681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243</v>
      </c>
      <c r="BE170" s="13">
        <f>BD170*VLOOKUP('Données projet'!$B$11,Paramètres!$A$1:$I$89,3,0)*VLOOKUP('Données projet'!$B$11,Paramètres!$A$1:$I$89,5,0)</f>
        <v>212.28480000000002</v>
      </c>
      <c r="BF170" s="13">
        <f t="shared" si="167"/>
        <v>52.434557099704193</v>
      </c>
      <c r="BG170" s="20">
        <f t="shared" si="168"/>
        <v>461.05288028198476</v>
      </c>
      <c r="BH170" s="59">
        <f t="shared" si="116"/>
        <v>754.38621361531807</v>
      </c>
      <c r="BI170" s="59">
        <f ca="1">AVERAGE(OFFSET($BH$3,0,0,'Données projet'!$E$11+1,1))-AVERAGE(OFFSET($H$3,0,0,'Données projet'!$E$11+1,1))</f>
        <v>268.27008134105046</v>
      </c>
      <c r="BJ170" s="59">
        <f t="shared" si="146"/>
        <v>252.36274686619709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14.893812146967283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14.893812146967283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0.8600000000003547</v>
      </c>
      <c r="O171" s="13">
        <f>N171*VLOOKUP('Données projet'!$B$9,Paramètres!$A$1:$I$89,3,0)*VLOOKUP('Données projet'!$B$9,Paramètres!$A$1:$I$89,5,0)</f>
        <v>0.48074000000019829</v>
      </c>
      <c r="P171" s="13">
        <f t="shared" si="141"/>
        <v>0.24126147010950588</v>
      </c>
      <c r="Q171" s="20">
        <f t="shared" si="162"/>
        <v>1.2574858937744013</v>
      </c>
      <c r="R171" s="59">
        <f t="shared" si="109"/>
        <v>294.59081922710772</v>
      </c>
      <c r="S171" s="59">
        <f ca="1">AVERAGE(OFFSET($R$3,0,0,'Données projet'!$E$9+1,1))-AVERAGE(OFFSET($H$3,0,0,'Données projet'!$E$9+1,1))</f>
        <v>350.01600895263641</v>
      </c>
      <c r="T171" s="59">
        <f t="shared" si="142"/>
        <v>464.08921044376882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39.664379821142603</v>
      </c>
      <c r="AA171" s="21">
        <f>EXP(-LN(2)/25)*AA170+(1-EXP(-LN(2)/25))/(LN(2)/25)*Calculateur!V171*Calculateur!X171*VLOOKUP('Données projet'!$B$9,Paramètres!$A$1:$I$89,3,0)*0.475*44/12</f>
        <v>1.1020931356236523</v>
      </c>
      <c r="AB171" s="21">
        <f>EXP(-LN(2)/2)*AB170+(1-EXP(-LN(2)/2))/(LN(2)/2)*V171*Y171*VLOOKUP('Données projet'!$B$9,Paramètres!$A$1:$I$89,3,0)*0.475*44/12</f>
        <v>1.2534741329320699E-21</v>
      </c>
      <c r="AC171" s="22">
        <f t="shared" si="163"/>
        <v>40.766472956766258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277.99999999999994</v>
      </c>
      <c r="AJ171" s="13">
        <f>AI171*VLOOKUP('Données projet'!$B$10,Paramètres!$A$1:$I$89,3,0)*VLOOKUP('Données projet'!$B$10,Paramètres!$A$1:$I$89,5,0)</f>
        <v>151.78799999999998</v>
      </c>
      <c r="AK171" s="13">
        <f t="shared" si="164"/>
        <v>38.984634390835623</v>
      </c>
      <c r="AL171" s="20">
        <f t="shared" si="165"/>
        <v>332.26233823070532</v>
      </c>
      <c r="AM171" s="59">
        <f t="shared" si="113"/>
        <v>625.59567156403864</v>
      </c>
      <c r="AN171" s="59">
        <f ca="1">AVERAGE(OFFSET($AM$3,0,0,'Données projet'!$E$10+1,1))-AVERAGE(OFFSET($H$3,0,0,'Données projet'!$E$10+1,1))</f>
        <v>159.92263609041913</v>
      </c>
      <c r="AO171" s="59">
        <f t="shared" si="144"/>
        <v>271.78119133009307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2.3868239466936827</v>
      </c>
      <c r="AV171" s="21">
        <f>EXP(-LN(2)/25)*AV170+(1-EXP(-LN(2)/25))/(LN(2)/25)*Calculateur!AQ171*Calculateur!AS171*VLOOKUP('Données projet'!$B$10,Paramètres!$A$1:$I$89,3,0)*0.475*44/12</f>
        <v>2.0930192577124176</v>
      </c>
      <c r="AW171" s="21">
        <f>EXP(-LN(2)/2)*AW170+(1-EXP(-LN(2)/2))/(LN(2)/2)*AQ171*AT171*VLOOKUP('Données projet'!$B$10,Paramètres!$A$1:$I$89,3,0)*0.475*44/12</f>
        <v>4.2954415606994982E-23</v>
      </c>
      <c r="AX171" s="21">
        <f t="shared" si="166"/>
        <v>4.4798432044060998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243</v>
      </c>
      <c r="BE171" s="13">
        <f>BD171*VLOOKUP('Données projet'!$B$11,Paramètres!$A$1:$I$89,3,0)*VLOOKUP('Données projet'!$B$11,Paramètres!$A$1:$I$89,5,0)</f>
        <v>212.28480000000002</v>
      </c>
      <c r="BF171" s="13">
        <f t="shared" si="167"/>
        <v>52.434557099704193</v>
      </c>
      <c r="BG171" s="20">
        <f t="shared" si="168"/>
        <v>461.05288028198476</v>
      </c>
      <c r="BH171" s="59">
        <f t="shared" si="116"/>
        <v>754.38621361531807</v>
      </c>
      <c r="BI171" s="59">
        <f ca="1">AVERAGE(OFFSET($BH$3,0,0,'Données projet'!$E$11+1,1))-AVERAGE(OFFSET($H$3,0,0,'Données projet'!$E$11+1,1))</f>
        <v>268.27008134105046</v>
      </c>
      <c r="BJ171" s="59">
        <f t="shared" si="146"/>
        <v>252.36274686619709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14.601753575093662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14.601753575093662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0.8600000000003547</v>
      </c>
      <c r="O172" s="13">
        <f>N172*VLOOKUP('Données projet'!$B$9,Paramètres!$A$1:$I$89,3,0)*VLOOKUP('Données projet'!$B$9,Paramètres!$A$1:$I$89,5,0)</f>
        <v>0.48074000000019829</v>
      </c>
      <c r="P172" s="13">
        <f t="shared" si="141"/>
        <v>0.24126147010950588</v>
      </c>
      <c r="Q172" s="20">
        <f t="shared" si="162"/>
        <v>1.2574858937744013</v>
      </c>
      <c r="R172" s="59">
        <f t="shared" si="109"/>
        <v>294.59081922710772</v>
      </c>
      <c r="S172" s="59">
        <f ca="1">AVERAGE(OFFSET($R$3,0,0,'Données projet'!$E$9+1,1))-AVERAGE(OFFSET($H$3,0,0,'Données projet'!$E$9+1,1))</f>
        <v>350.01600895263641</v>
      </c>
      <c r="T172" s="59">
        <f t="shared" si="142"/>
        <v>464.08921044376882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38.886585525732841</v>
      </c>
      <c r="AA172" s="21">
        <f>EXP(-LN(2)/25)*AA171+(1-EXP(-LN(2)/25))/(LN(2)/25)*Calculateur!V172*Calculateur!X172*VLOOKUP('Données projet'!$B$9,Paramètres!$A$1:$I$89,3,0)*0.475*44/12</f>
        <v>1.0719563408734645</v>
      </c>
      <c r="AB172" s="21">
        <f>EXP(-LN(2)/2)*AB171+(1-EXP(-LN(2)/2))/(LN(2)/2)*V172*Y172*VLOOKUP('Données projet'!$B$9,Paramètres!$A$1:$I$89,3,0)*0.475*44/12</f>
        <v>8.8634005943819451E-22</v>
      </c>
      <c r="AC172" s="22">
        <f t="shared" si="163"/>
        <v>39.958541866606303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277.99999999999994</v>
      </c>
      <c r="AJ172" s="13">
        <f>AI172*VLOOKUP('Données projet'!$B$10,Paramètres!$A$1:$I$89,3,0)*VLOOKUP('Données projet'!$B$10,Paramètres!$A$1:$I$89,5,0)</f>
        <v>151.78799999999998</v>
      </c>
      <c r="AK172" s="13">
        <f t="shared" si="164"/>
        <v>38.984634390835623</v>
      </c>
      <c r="AL172" s="20">
        <f t="shared" si="165"/>
        <v>332.26233823070532</v>
      </c>
      <c r="AM172" s="59">
        <f t="shared" si="113"/>
        <v>625.59567156403864</v>
      </c>
      <c r="AN172" s="59">
        <f ca="1">AVERAGE(OFFSET($AM$3,0,0,'Données projet'!$E$10+1,1))-AVERAGE(OFFSET($H$3,0,0,'Données projet'!$E$10+1,1))</f>
        <v>159.92263609041913</v>
      </c>
      <c r="AO172" s="59">
        <f t="shared" si="144"/>
        <v>271.78119133009307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2.3400197849178768</v>
      </c>
      <c r="AV172" s="21">
        <f>EXP(-LN(2)/25)*AV171+(1-EXP(-LN(2)/25))/(LN(2)/25)*Calculateur!AQ172*Calculateur!AS172*VLOOKUP('Données projet'!$B$10,Paramètres!$A$1:$I$89,3,0)*0.475*44/12</f>
        <v>2.0357855360431723</v>
      </c>
      <c r="AW172" s="21">
        <f>EXP(-LN(2)/2)*AW171+(1-EXP(-LN(2)/2))/(LN(2)/2)*AQ172*AT172*VLOOKUP('Données projet'!$B$10,Paramètres!$A$1:$I$89,3,0)*0.475*44/12</f>
        <v>3.0373358557611422E-23</v>
      </c>
      <c r="AX172" s="21">
        <f t="shared" si="166"/>
        <v>4.3758053209610495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243</v>
      </c>
      <c r="BE172" s="13">
        <f>BD172*VLOOKUP('Données projet'!$B$11,Paramètres!$A$1:$I$89,3,0)*VLOOKUP('Données projet'!$B$11,Paramètres!$A$1:$I$89,5,0)</f>
        <v>212.28480000000002</v>
      </c>
      <c r="BF172" s="13">
        <f t="shared" si="167"/>
        <v>52.434557099704193</v>
      </c>
      <c r="BG172" s="20">
        <f t="shared" si="168"/>
        <v>461.05288028198476</v>
      </c>
      <c r="BH172" s="59">
        <f t="shared" si="116"/>
        <v>754.38621361531807</v>
      </c>
      <c r="BI172" s="59">
        <f ca="1">AVERAGE(OFFSET($BH$3,0,0,'Données projet'!$E$11+1,1))-AVERAGE(OFFSET($H$3,0,0,'Données projet'!$E$11+1,1))</f>
        <v>268.27008134105046</v>
      </c>
      <c r="BJ172" s="59">
        <f t="shared" si="146"/>
        <v>252.36274686619709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14.315422093676343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14.315422093676343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0.8600000000003547</v>
      </c>
      <c r="O173" s="13">
        <f>N173*VLOOKUP('Données projet'!$B$9,Paramètres!$A$1:$I$89,3,0)*VLOOKUP('Données projet'!$B$9,Paramètres!$A$1:$I$89,5,0)</f>
        <v>0.48074000000019829</v>
      </c>
      <c r="P173" s="13">
        <f t="shared" si="141"/>
        <v>0.24126147010950588</v>
      </c>
      <c r="Q173" s="20">
        <f t="shared" si="162"/>
        <v>1.2574858937744013</v>
      </c>
      <c r="R173" s="59">
        <f t="shared" si="109"/>
        <v>294.59081922710772</v>
      </c>
      <c r="S173" s="59">
        <f ca="1">AVERAGE(OFFSET($R$3,0,0,'Données projet'!$E$9+1,1))-AVERAGE(OFFSET($H$3,0,0,'Données projet'!$E$9+1,1))</f>
        <v>350.01600895263641</v>
      </c>
      <c r="T173" s="59">
        <f t="shared" si="142"/>
        <v>464.08921044376882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38.124043302048385</v>
      </c>
      <c r="AA173" s="21">
        <f>EXP(-LN(2)/25)*AA172+(1-EXP(-LN(2)/25))/(LN(2)/25)*Calculateur!V173*Calculateur!X173*VLOOKUP('Données projet'!$B$9,Paramètres!$A$1:$I$89,3,0)*0.475*44/12</f>
        <v>1.0426436383605455</v>
      </c>
      <c r="AB173" s="21">
        <f>EXP(-LN(2)/2)*AB172+(1-EXP(-LN(2)/2))/(LN(2)/2)*V173*Y173*VLOOKUP('Données projet'!$B$9,Paramètres!$A$1:$I$89,3,0)*0.475*44/12</f>
        <v>6.2673706646603495E-22</v>
      </c>
      <c r="AC173" s="22">
        <f t="shared" si="163"/>
        <v>39.16668694040893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277.99999999999994</v>
      </c>
      <c r="AJ173" s="13">
        <f>AI173*VLOOKUP('Données projet'!$B$10,Paramètres!$A$1:$I$89,3,0)*VLOOKUP('Données projet'!$B$10,Paramètres!$A$1:$I$89,5,0)</f>
        <v>151.78799999999998</v>
      </c>
      <c r="AK173" s="13">
        <f t="shared" si="164"/>
        <v>38.984634390835623</v>
      </c>
      <c r="AL173" s="20">
        <f t="shared" si="165"/>
        <v>332.26233823070532</v>
      </c>
      <c r="AM173" s="59">
        <f t="shared" si="113"/>
        <v>625.59567156403864</v>
      </c>
      <c r="AN173" s="59">
        <f ca="1">AVERAGE(OFFSET($AM$3,0,0,'Données projet'!$E$10+1,1))-AVERAGE(OFFSET($H$3,0,0,'Données projet'!$E$10+1,1))</f>
        <v>159.92263609041913</v>
      </c>
      <c r="AO173" s="59">
        <f t="shared" si="144"/>
        <v>271.78119133009307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2.2941334242067746</v>
      </c>
      <c r="AV173" s="21">
        <f>EXP(-LN(2)/25)*AV172+(1-EXP(-LN(2)/25))/(LN(2)/25)*Calculateur!AQ173*Calculateur!AS173*VLOOKUP('Données projet'!$B$10,Paramètres!$A$1:$I$89,3,0)*0.475*44/12</f>
        <v>1.9801168735027632</v>
      </c>
      <c r="AW173" s="21">
        <f>EXP(-LN(2)/2)*AW172+(1-EXP(-LN(2)/2))/(LN(2)/2)*AQ173*AT173*VLOOKUP('Données projet'!$B$10,Paramètres!$A$1:$I$89,3,0)*0.475*44/12</f>
        <v>2.1477207803497491E-23</v>
      </c>
      <c r="AX173" s="21">
        <f t="shared" si="166"/>
        <v>4.2742502977095373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243</v>
      </c>
      <c r="BE173" s="13">
        <f>BD173*VLOOKUP('Données projet'!$B$11,Paramètres!$A$1:$I$89,3,0)*VLOOKUP('Données projet'!$B$11,Paramètres!$A$1:$I$89,5,0)</f>
        <v>212.28480000000002</v>
      </c>
      <c r="BF173" s="13">
        <f t="shared" si="167"/>
        <v>52.434557099704193</v>
      </c>
      <c r="BG173" s="20">
        <f t="shared" si="168"/>
        <v>461.05288028198476</v>
      </c>
      <c r="BH173" s="59">
        <f t="shared" si="116"/>
        <v>754.38621361531807</v>
      </c>
      <c r="BI173" s="59">
        <f ca="1">AVERAGE(OFFSET($BH$3,0,0,'Données projet'!$E$11+1,1))-AVERAGE(OFFSET($H$3,0,0,'Données projet'!$E$11+1,1))</f>
        <v>268.27008134105046</v>
      </c>
      <c r="BJ173" s="59">
        <f t="shared" si="146"/>
        <v>252.36274686619709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14.034705397964659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14.034705397964659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0.8600000000003547</v>
      </c>
      <c r="O174" s="13">
        <f>N174*VLOOKUP('Données projet'!$B$9,Paramètres!$A$1:$I$89,3,0)*VLOOKUP('Données projet'!$B$9,Paramètres!$A$1:$I$89,5,0)</f>
        <v>0.48074000000019829</v>
      </c>
      <c r="P174" s="13">
        <f t="shared" si="141"/>
        <v>0.24126147010950588</v>
      </c>
      <c r="Q174" s="20">
        <f t="shared" si="162"/>
        <v>1.2574858937744013</v>
      </c>
      <c r="R174" s="59">
        <f t="shared" si="109"/>
        <v>294.59081922710772</v>
      </c>
      <c r="S174" s="59">
        <f ca="1">AVERAGE(OFFSET($R$3,0,0,'Données projet'!$E$9+1,1))-AVERAGE(OFFSET($H$3,0,0,'Données projet'!$E$9+1,1))</f>
        <v>350.01600895263641</v>
      </c>
      <c r="T174" s="59">
        <f t="shared" si="142"/>
        <v>464.08921044376882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37.376454066265552</v>
      </c>
      <c r="AA174" s="21">
        <f>EXP(-LN(2)/25)*AA173+(1-EXP(-LN(2)/25))/(LN(2)/25)*Calculateur!V174*Calculateur!X174*VLOOKUP('Données projet'!$B$9,Paramètres!$A$1:$I$89,3,0)*0.475*44/12</f>
        <v>1.0141324932393305</v>
      </c>
      <c r="AB174" s="21">
        <f>EXP(-LN(2)/2)*AB173+(1-EXP(-LN(2)/2))/(LN(2)/2)*V174*Y174*VLOOKUP('Données projet'!$B$9,Paramètres!$A$1:$I$89,3,0)*0.475*44/12</f>
        <v>4.4317002971909726E-22</v>
      </c>
      <c r="AC174" s="22">
        <f t="shared" si="163"/>
        <v>38.390586559504882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277.99999999999994</v>
      </c>
      <c r="AJ174" s="13">
        <f>AI174*VLOOKUP('Données projet'!$B$10,Paramètres!$A$1:$I$89,3,0)*VLOOKUP('Données projet'!$B$10,Paramètres!$A$1:$I$89,5,0)</f>
        <v>151.78799999999998</v>
      </c>
      <c r="AK174" s="13">
        <f t="shared" si="164"/>
        <v>38.984634390835623</v>
      </c>
      <c r="AL174" s="20">
        <f t="shared" si="165"/>
        <v>332.26233823070532</v>
      </c>
      <c r="AM174" s="59">
        <f t="shared" si="113"/>
        <v>625.59567156403864</v>
      </c>
      <c r="AN174" s="59">
        <f ca="1">AVERAGE(OFFSET($AM$3,0,0,'Données projet'!$E$10+1,1))-AVERAGE(OFFSET($H$3,0,0,'Données projet'!$E$10+1,1))</f>
        <v>159.92263609041913</v>
      </c>
      <c r="AO174" s="59">
        <f t="shared" si="144"/>
        <v>271.78119133009307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2.2491468670413006</v>
      </c>
      <c r="AV174" s="21">
        <f>EXP(-LN(2)/25)*AV173+(1-EXP(-LN(2)/25))/(LN(2)/25)*Calculateur!AQ174*Calculateur!AS174*VLOOKUP('Données projet'!$B$10,Paramètres!$A$1:$I$89,3,0)*0.475*44/12</f>
        <v>1.9259704734670093</v>
      </c>
      <c r="AW174" s="21">
        <f>EXP(-LN(2)/2)*AW173+(1-EXP(-LN(2)/2))/(LN(2)/2)*AQ174*AT174*VLOOKUP('Données projet'!$B$10,Paramètres!$A$1:$I$89,3,0)*0.475*44/12</f>
        <v>1.5186679278805711E-23</v>
      </c>
      <c r="AX174" s="21">
        <f t="shared" si="166"/>
        <v>4.1751173405083097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243</v>
      </c>
      <c r="BE174" s="13">
        <f>BD174*VLOOKUP('Données projet'!$B$11,Paramètres!$A$1:$I$89,3,0)*VLOOKUP('Données projet'!$B$11,Paramètres!$A$1:$I$89,5,0)</f>
        <v>212.28480000000002</v>
      </c>
      <c r="BF174" s="13">
        <f t="shared" si="167"/>
        <v>52.434557099704193</v>
      </c>
      <c r="BG174" s="20">
        <f t="shared" si="168"/>
        <v>461.05288028198476</v>
      </c>
      <c r="BH174" s="59">
        <f t="shared" si="116"/>
        <v>754.38621361531807</v>
      </c>
      <c r="BI174" s="59">
        <f ca="1">AVERAGE(OFFSET($BH$3,0,0,'Données projet'!$E$11+1,1))-AVERAGE(OFFSET($H$3,0,0,'Données projet'!$E$11+1,1))</f>
        <v>268.27008134105046</v>
      </c>
      <c r="BJ174" s="59">
        <f t="shared" si="146"/>
        <v>252.36274686619709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13.759493385435603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13.759493385435603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0.8600000000003547</v>
      </c>
      <c r="O175" s="13">
        <f>N175*VLOOKUP('Données projet'!$B$9,Paramètres!$A$1:$I$89,3,0)*VLOOKUP('Données projet'!$B$9,Paramètres!$A$1:$I$89,5,0)</f>
        <v>0.48074000000019829</v>
      </c>
      <c r="P175" s="13">
        <f t="shared" si="141"/>
        <v>0.24126147010950588</v>
      </c>
      <c r="Q175" s="20">
        <f t="shared" si="162"/>
        <v>1.2574858937744013</v>
      </c>
      <c r="R175" s="59">
        <f t="shared" si="109"/>
        <v>294.59081922710772</v>
      </c>
      <c r="S175" s="59">
        <f ca="1">AVERAGE(OFFSET($R$3,0,0,'Données projet'!$E$9+1,1))-AVERAGE(OFFSET($H$3,0,0,'Données projet'!$E$9+1,1))</f>
        <v>350.01600895263641</v>
      </c>
      <c r="T175" s="59">
        <f t="shared" si="142"/>
        <v>464.08921044376882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36.643524599412011</v>
      </c>
      <c r="AA175" s="21">
        <f>EXP(-LN(2)/25)*AA174+(1-EXP(-LN(2)/25))/(LN(2)/25)*Calculateur!V175*Calculateur!X175*VLOOKUP('Données projet'!$B$9,Paramètres!$A$1:$I$89,3,0)*0.475*44/12</f>
        <v>0.98640098688079103</v>
      </c>
      <c r="AB175" s="21">
        <f>EXP(-LN(2)/2)*AB174+(1-EXP(-LN(2)/2))/(LN(2)/2)*V175*Y175*VLOOKUP('Données projet'!$B$9,Paramètres!$A$1:$I$89,3,0)*0.475*44/12</f>
        <v>3.1336853323301748E-22</v>
      </c>
      <c r="AC175" s="22">
        <f t="shared" si="163"/>
        <v>37.629925586292799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277.99999999999994</v>
      </c>
      <c r="AJ175" s="13">
        <f>AI175*VLOOKUP('Données projet'!$B$10,Paramètres!$A$1:$I$89,3,0)*VLOOKUP('Données projet'!$B$10,Paramètres!$A$1:$I$89,5,0)</f>
        <v>151.78799999999998</v>
      </c>
      <c r="AK175" s="13">
        <f t="shared" si="164"/>
        <v>38.984634390835623</v>
      </c>
      <c r="AL175" s="20">
        <f t="shared" si="165"/>
        <v>332.26233823070532</v>
      </c>
      <c r="AM175" s="59">
        <f t="shared" si="113"/>
        <v>625.59567156403864</v>
      </c>
      <c r="AN175" s="59">
        <f ca="1">AVERAGE(OFFSET($AM$3,0,0,'Données projet'!$E$10+1,1))-AVERAGE(OFFSET($H$3,0,0,'Données projet'!$E$10+1,1))</f>
        <v>159.92263609041913</v>
      </c>
      <c r="AO175" s="59">
        <f t="shared" si="144"/>
        <v>271.78119133009307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2.2050424688227515</v>
      </c>
      <c r="AV175" s="21">
        <f>EXP(-LN(2)/25)*AV174+(1-EXP(-LN(2)/25))/(LN(2)/25)*Calculateur!AQ175*Calculateur!AS175*VLOOKUP('Données projet'!$B$10,Paramètres!$A$1:$I$89,3,0)*0.475*44/12</f>
        <v>1.8733047095876687</v>
      </c>
      <c r="AW175" s="21">
        <f>EXP(-LN(2)/2)*AW174+(1-EXP(-LN(2)/2))/(LN(2)/2)*AQ175*AT175*VLOOKUP('Données projet'!$B$10,Paramètres!$A$1:$I$89,3,0)*0.475*44/12</f>
        <v>1.0738603901748745E-23</v>
      </c>
      <c r="AX175" s="21">
        <f t="shared" si="166"/>
        <v>4.0783471784104197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243</v>
      </c>
      <c r="BE175" s="13">
        <f>BD175*VLOOKUP('Données projet'!$B$11,Paramètres!$A$1:$I$89,3,0)*VLOOKUP('Données projet'!$B$11,Paramètres!$A$1:$I$89,5,0)</f>
        <v>212.28480000000002</v>
      </c>
      <c r="BF175" s="13">
        <f t="shared" si="167"/>
        <v>52.434557099704193</v>
      </c>
      <c r="BG175" s="20">
        <f t="shared" si="168"/>
        <v>461.05288028198476</v>
      </c>
      <c r="BH175" s="59">
        <f t="shared" si="116"/>
        <v>754.38621361531807</v>
      </c>
      <c r="BI175" s="59">
        <f ca="1">AVERAGE(OFFSET($BH$3,0,0,'Données projet'!$E$11+1,1))-AVERAGE(OFFSET($H$3,0,0,'Données projet'!$E$11+1,1))</f>
        <v>268.27008134105046</v>
      </c>
      <c r="BJ175" s="59">
        <f t="shared" si="146"/>
        <v>252.36274686619709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13.489678112609489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13.489678112609489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0.8600000000003547</v>
      </c>
      <c r="O176" s="13">
        <f>N176*VLOOKUP('Données projet'!$B$9,Paramètres!$A$1:$I$89,3,0)*VLOOKUP('Données projet'!$B$9,Paramètres!$A$1:$I$89,5,0)</f>
        <v>0.48074000000019829</v>
      </c>
      <c r="P176" s="13">
        <f t="shared" si="141"/>
        <v>0.24126147010950588</v>
      </c>
      <c r="Q176" s="20">
        <f t="shared" si="162"/>
        <v>1.2574858937744013</v>
      </c>
      <c r="R176" s="59">
        <f t="shared" si="109"/>
        <v>294.59081922710772</v>
      </c>
      <c r="S176" s="59">
        <f ca="1">AVERAGE(OFFSET($R$3,0,0,'Données projet'!$E$9+1,1))-AVERAGE(OFFSET($H$3,0,0,'Données projet'!$E$9+1,1))</f>
        <v>350.01600895263641</v>
      </c>
      <c r="T176" s="59">
        <f t="shared" si="142"/>
        <v>464.08921044376882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35.924967432360631</v>
      </c>
      <c r="AA176" s="21">
        <f>EXP(-LN(2)/25)*AA175+(1-EXP(-LN(2)/25))/(LN(2)/25)*Calculateur!V176*Calculateur!X176*VLOOKUP('Données projet'!$B$9,Paramètres!$A$1:$I$89,3,0)*0.475*44/12</f>
        <v>0.95942780002196237</v>
      </c>
      <c r="AB176" s="21">
        <f>EXP(-LN(2)/2)*AB175+(1-EXP(-LN(2)/2))/(LN(2)/2)*V176*Y176*VLOOKUP('Données projet'!$B$9,Paramètres!$A$1:$I$89,3,0)*0.475*44/12</f>
        <v>2.2158501485954863E-22</v>
      </c>
      <c r="AC176" s="22">
        <f t="shared" si="163"/>
        <v>36.884395232382595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277.99999999999994</v>
      </c>
      <c r="AJ176" s="13">
        <f>AI176*VLOOKUP('Données projet'!$B$10,Paramètres!$A$1:$I$89,3,0)*VLOOKUP('Données projet'!$B$10,Paramètres!$A$1:$I$89,5,0)</f>
        <v>151.78799999999998</v>
      </c>
      <c r="AK176" s="13">
        <f t="shared" si="164"/>
        <v>38.984634390835623</v>
      </c>
      <c r="AL176" s="20">
        <f t="shared" si="165"/>
        <v>332.26233823070532</v>
      </c>
      <c r="AM176" s="59">
        <f t="shared" si="113"/>
        <v>625.59567156403864</v>
      </c>
      <c r="AN176" s="59">
        <f ca="1">AVERAGE(OFFSET($AM$3,0,0,'Données projet'!$E$10+1,1))-AVERAGE(OFFSET($H$3,0,0,'Données projet'!$E$10+1,1))</f>
        <v>159.92263609041913</v>
      </c>
      <c r="AO176" s="59">
        <f t="shared" si="144"/>
        <v>271.78119133009307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2.1618029309522413</v>
      </c>
      <c r="AV176" s="21">
        <f>EXP(-LN(2)/25)*AV175+(1-EXP(-LN(2)/25))/(LN(2)/25)*Calculateur!AQ176*Calculateur!AS176*VLOOKUP('Données projet'!$B$10,Paramètres!$A$1:$I$89,3,0)*0.475*44/12</f>
        <v>1.8220790937911808</v>
      </c>
      <c r="AW176" s="21">
        <f>EXP(-LN(2)/2)*AW175+(1-EXP(-LN(2)/2))/(LN(2)/2)*AQ176*AT176*VLOOKUP('Données projet'!$B$10,Paramètres!$A$1:$I$89,3,0)*0.475*44/12</f>
        <v>7.5933396394028554E-24</v>
      </c>
      <c r="AX176" s="21">
        <f t="shared" si="166"/>
        <v>3.9838820247434219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243</v>
      </c>
      <c r="BE176" s="13">
        <f>BD176*VLOOKUP('Données projet'!$B$11,Paramètres!$A$1:$I$89,3,0)*VLOOKUP('Données projet'!$B$11,Paramètres!$A$1:$I$89,5,0)</f>
        <v>212.28480000000002</v>
      </c>
      <c r="BF176" s="13">
        <f t="shared" si="167"/>
        <v>52.434557099704193</v>
      </c>
      <c r="BG176" s="20">
        <f t="shared" si="168"/>
        <v>461.05288028198476</v>
      </c>
      <c r="BH176" s="59">
        <f t="shared" si="116"/>
        <v>754.38621361531807</v>
      </c>
      <c r="BI176" s="59">
        <f ca="1">AVERAGE(OFFSET($BH$3,0,0,'Données projet'!$E$11+1,1))-AVERAGE(OFFSET($H$3,0,0,'Données projet'!$E$11+1,1))</f>
        <v>268.27008134105046</v>
      </c>
      <c r="BJ176" s="59">
        <f t="shared" si="146"/>
        <v>252.36274686619709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13.22515375271243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13.22515375271243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0.8600000000003547</v>
      </c>
      <c r="O177" s="13">
        <f>N177*VLOOKUP('Données projet'!$B$9,Paramètres!$A$1:$I$89,3,0)*VLOOKUP('Données projet'!$B$9,Paramètres!$A$1:$I$89,5,0)</f>
        <v>0.48074000000019829</v>
      </c>
      <c r="P177" s="13">
        <f t="shared" si="141"/>
        <v>0.24126147010950588</v>
      </c>
      <c r="Q177" s="20">
        <f t="shared" si="162"/>
        <v>1.2574858937744013</v>
      </c>
      <c r="R177" s="59">
        <f t="shared" si="109"/>
        <v>294.59081922710772</v>
      </c>
      <c r="S177" s="59">
        <f ca="1">AVERAGE(OFFSET($R$3,0,0,'Données projet'!$E$9+1,1))-AVERAGE(OFFSET($H$3,0,0,'Données projet'!$E$9+1,1))</f>
        <v>350.01600895263641</v>
      </c>
      <c r="T177" s="59">
        <f t="shared" si="142"/>
        <v>464.08921044376882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35.220500733078538</v>
      </c>
      <c r="AA177" s="21">
        <f>EXP(-LN(2)/25)*AA176+(1-EXP(-LN(2)/25))/(LN(2)/25)*Calculateur!V177*Calculateur!X177*VLOOKUP('Données projet'!$B$9,Paramètres!$A$1:$I$89,3,0)*0.475*44/12</f>
        <v>0.93319219637624662</v>
      </c>
      <c r="AB177" s="21">
        <f>EXP(-LN(2)/2)*AB176+(1-EXP(-LN(2)/2))/(LN(2)/2)*V177*Y177*VLOOKUP('Données projet'!$B$9,Paramètres!$A$1:$I$89,3,0)*0.475*44/12</f>
        <v>1.5668426661650874E-22</v>
      </c>
      <c r="AC177" s="22">
        <f t="shared" si="163"/>
        <v>36.153692929454785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277.99999999999994</v>
      </c>
      <c r="AJ177" s="13">
        <f>AI177*VLOOKUP('Données projet'!$B$10,Paramètres!$A$1:$I$89,3,0)*VLOOKUP('Données projet'!$B$10,Paramètres!$A$1:$I$89,5,0)</f>
        <v>151.78799999999998</v>
      </c>
      <c r="AK177" s="13">
        <f t="shared" si="164"/>
        <v>38.984634390835623</v>
      </c>
      <c r="AL177" s="20">
        <f t="shared" si="165"/>
        <v>332.26233823070532</v>
      </c>
      <c r="AM177" s="59">
        <f t="shared" si="113"/>
        <v>625.59567156403864</v>
      </c>
      <c r="AN177" s="59">
        <f ca="1">AVERAGE(OFFSET($AM$3,0,0,'Données projet'!$E$10+1,1))-AVERAGE(OFFSET($H$3,0,0,'Données projet'!$E$10+1,1))</f>
        <v>159.92263609041913</v>
      </c>
      <c r="AO177" s="59">
        <f t="shared" si="144"/>
        <v>271.78119133009307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2.1194112940458578</v>
      </c>
      <c r="AV177" s="21">
        <f>EXP(-LN(2)/25)*AV176+(1-EXP(-LN(2)/25))/(LN(2)/25)*Calculateur!AQ177*Calculateur!AS177*VLOOKUP('Données projet'!$B$10,Paramètres!$A$1:$I$89,3,0)*0.475*44/12</f>
        <v>1.7722542451524859</v>
      </c>
      <c r="AW177" s="21">
        <f>EXP(-LN(2)/2)*AW176+(1-EXP(-LN(2)/2))/(LN(2)/2)*AQ177*AT177*VLOOKUP('Données projet'!$B$10,Paramètres!$A$1:$I$89,3,0)*0.475*44/12</f>
        <v>5.3693019508743727E-24</v>
      </c>
      <c r="AX177" s="21">
        <f t="shared" si="166"/>
        <v>3.8916655391983435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243</v>
      </c>
      <c r="BE177" s="13">
        <f>BD177*VLOOKUP('Données projet'!$B$11,Paramètres!$A$1:$I$89,3,0)*VLOOKUP('Données projet'!$B$11,Paramètres!$A$1:$I$89,5,0)</f>
        <v>212.28480000000002</v>
      </c>
      <c r="BF177" s="13">
        <f t="shared" si="167"/>
        <v>52.434557099704193</v>
      </c>
      <c r="BG177" s="20">
        <f t="shared" si="168"/>
        <v>461.05288028198476</v>
      </c>
      <c r="BH177" s="59">
        <f t="shared" si="116"/>
        <v>754.38621361531807</v>
      </c>
      <c r="BI177" s="59">
        <f ca="1">AVERAGE(OFFSET($BH$3,0,0,'Données projet'!$E$11+1,1))-AVERAGE(OFFSET($H$3,0,0,'Données projet'!$E$11+1,1))</f>
        <v>268.27008134105046</v>
      </c>
      <c r="BJ177" s="59">
        <f t="shared" si="146"/>
        <v>252.36274686619709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12.965816554169022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12.965816554169022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0.8600000000003547</v>
      </c>
      <c r="O178" s="13">
        <f>N178*VLOOKUP('Données projet'!$B$9,Paramètres!$A$1:$I$89,3,0)*VLOOKUP('Données projet'!$B$9,Paramètres!$A$1:$I$89,5,0)</f>
        <v>0.48074000000019829</v>
      </c>
      <c r="P178" s="13">
        <f t="shared" si="141"/>
        <v>0.24126147010950588</v>
      </c>
      <c r="Q178" s="20">
        <f t="shared" si="162"/>
        <v>1.2574858937744013</v>
      </c>
      <c r="R178" s="59">
        <f t="shared" si="109"/>
        <v>294.59081922710772</v>
      </c>
      <c r="S178" s="59">
        <f ca="1">AVERAGE(OFFSET($R$3,0,0,'Données projet'!$E$9+1,1))-AVERAGE(OFFSET($H$3,0,0,'Données projet'!$E$9+1,1))</f>
        <v>350.01600895263641</v>
      </c>
      <c r="T178" s="59">
        <f t="shared" si="142"/>
        <v>464.08921044376882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34.529848196087109</v>
      </c>
      <c r="AA178" s="21">
        <f>EXP(-LN(2)/25)*AA177+(1-EXP(-LN(2)/25))/(LN(2)/25)*Calculateur!V178*Calculateur!X178*VLOOKUP('Données projet'!$B$9,Paramètres!$A$1:$I$89,3,0)*0.475*44/12</f>
        <v>0.90767400669189335</v>
      </c>
      <c r="AB178" s="21">
        <f>EXP(-LN(2)/2)*AB177+(1-EXP(-LN(2)/2))/(LN(2)/2)*V178*Y178*VLOOKUP('Données projet'!$B$9,Paramètres!$A$1:$I$89,3,0)*0.475*44/12</f>
        <v>1.1079250742977431E-22</v>
      </c>
      <c r="AC178" s="22">
        <f t="shared" si="163"/>
        <v>35.437522202779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277.99999999999994</v>
      </c>
      <c r="AJ178" s="13">
        <f>AI178*VLOOKUP('Données projet'!$B$10,Paramètres!$A$1:$I$89,3,0)*VLOOKUP('Données projet'!$B$10,Paramètres!$A$1:$I$89,5,0)</f>
        <v>151.78799999999998</v>
      </c>
      <c r="AK178" s="13">
        <f t="shared" si="164"/>
        <v>38.984634390835623</v>
      </c>
      <c r="AL178" s="20">
        <f t="shared" si="165"/>
        <v>332.26233823070532</v>
      </c>
      <c r="AM178" s="59">
        <f t="shared" si="113"/>
        <v>625.59567156403864</v>
      </c>
      <c r="AN178" s="59">
        <f ca="1">AVERAGE(OFFSET($AM$3,0,0,'Données projet'!$E$10+1,1))-AVERAGE(OFFSET($H$3,0,0,'Données projet'!$E$10+1,1))</f>
        <v>159.92263609041913</v>
      </c>
      <c r="AO178" s="59">
        <f t="shared" si="144"/>
        <v>271.78119133009307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2.077850931282863</v>
      </c>
      <c r="AV178" s="21">
        <f>EXP(-LN(2)/25)*AV177+(1-EXP(-LN(2)/25))/(LN(2)/25)*Calculateur!AQ178*Calculateur!AS178*VLOOKUP('Données projet'!$B$10,Paramètres!$A$1:$I$89,3,0)*0.475*44/12</f>
        <v>1.7237918596199908</v>
      </c>
      <c r="AW178" s="21">
        <f>EXP(-LN(2)/2)*AW177+(1-EXP(-LN(2)/2))/(LN(2)/2)*AQ178*AT178*VLOOKUP('Données projet'!$B$10,Paramètres!$A$1:$I$89,3,0)*0.475*44/12</f>
        <v>3.7966698197014277E-24</v>
      </c>
      <c r="AX178" s="21">
        <f t="shared" si="166"/>
        <v>3.8016427909028536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243</v>
      </c>
      <c r="BE178" s="13">
        <f>BD178*VLOOKUP('Données projet'!$B$11,Paramètres!$A$1:$I$89,3,0)*VLOOKUP('Données projet'!$B$11,Paramètres!$A$1:$I$89,5,0)</f>
        <v>212.28480000000002</v>
      </c>
      <c r="BF178" s="13">
        <f t="shared" si="167"/>
        <v>52.434557099704193</v>
      </c>
      <c r="BG178" s="20">
        <f t="shared" si="168"/>
        <v>461.05288028198476</v>
      </c>
      <c r="BH178" s="59">
        <f t="shared" si="116"/>
        <v>754.38621361531807</v>
      </c>
      <c r="BI178" s="59">
        <f ca="1">AVERAGE(OFFSET($BH$3,0,0,'Données projet'!$E$11+1,1))-AVERAGE(OFFSET($H$3,0,0,'Données projet'!$E$11+1,1))</f>
        <v>268.27008134105046</v>
      </c>
      <c r="BJ178" s="59">
        <f t="shared" si="146"/>
        <v>252.36274686619709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12.711564799908979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12.711564799908979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0.8600000000003547</v>
      </c>
      <c r="O179" s="13">
        <f>N179*VLOOKUP('Données projet'!$B$9,Paramètres!$A$1:$I$89,3,0)*VLOOKUP('Données projet'!$B$9,Paramètres!$A$1:$I$89,5,0)</f>
        <v>0.48074000000019829</v>
      </c>
      <c r="P179" s="13">
        <f t="shared" si="141"/>
        <v>0.24126147010950588</v>
      </c>
      <c r="Q179" s="20">
        <f t="shared" si="162"/>
        <v>1.2574858937744013</v>
      </c>
      <c r="R179" s="59">
        <f t="shared" si="109"/>
        <v>294.59081922710772</v>
      </c>
      <c r="S179" s="59">
        <f ca="1">AVERAGE(OFFSET($R$3,0,0,'Données projet'!$E$9+1,1))-AVERAGE(OFFSET($H$3,0,0,'Données projet'!$E$9+1,1))</f>
        <v>350.01600895263641</v>
      </c>
      <c r="T179" s="59">
        <f t="shared" si="142"/>
        <v>464.08921044376882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33.852738934089629</v>
      </c>
      <c r="AA179" s="21">
        <f>EXP(-LN(2)/25)*AA178+(1-EXP(-LN(2)/25))/(LN(2)/25)*Calculateur!V179*Calculateur!X179*VLOOKUP('Données projet'!$B$9,Paramètres!$A$1:$I$89,3,0)*0.475*44/12</f>
        <v>0.88285361324640199</v>
      </c>
      <c r="AB179" s="21">
        <f>EXP(-LN(2)/2)*AB178+(1-EXP(-LN(2)/2))/(LN(2)/2)*V179*Y179*VLOOKUP('Données projet'!$B$9,Paramètres!$A$1:$I$89,3,0)*0.475*44/12</f>
        <v>7.8342133308254369E-23</v>
      </c>
      <c r="AC179" s="22">
        <f t="shared" si="163"/>
        <v>34.735592547336033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277.99999999999994</v>
      </c>
      <c r="AJ179" s="13">
        <f>AI179*VLOOKUP('Données projet'!$B$10,Paramètres!$A$1:$I$89,3,0)*VLOOKUP('Données projet'!$B$10,Paramètres!$A$1:$I$89,5,0)</f>
        <v>151.78799999999998</v>
      </c>
      <c r="AK179" s="13">
        <f t="shared" si="164"/>
        <v>38.984634390835623</v>
      </c>
      <c r="AL179" s="20">
        <f t="shared" si="165"/>
        <v>332.26233823070532</v>
      </c>
      <c r="AM179" s="59">
        <f t="shared" si="113"/>
        <v>625.59567156403864</v>
      </c>
      <c r="AN179" s="59">
        <f ca="1">AVERAGE(OFFSET($AM$3,0,0,'Données projet'!$E$10+1,1))-AVERAGE(OFFSET($H$3,0,0,'Données projet'!$E$10+1,1))</f>
        <v>159.92263609041913</v>
      </c>
      <c r="AO179" s="59">
        <f t="shared" si="144"/>
        <v>271.78119133009307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2.0371055418843325</v>
      </c>
      <c r="AV179" s="21">
        <f>EXP(-LN(2)/25)*AV178+(1-EXP(-LN(2)/25))/(LN(2)/25)*Calculateur!AQ179*Calculateur!AS179*VLOOKUP('Données projet'!$B$10,Paramètres!$A$1:$I$89,3,0)*0.475*44/12</f>
        <v>1.6766546805684082</v>
      </c>
      <c r="AW179" s="21">
        <f>EXP(-LN(2)/2)*AW178+(1-EXP(-LN(2)/2))/(LN(2)/2)*AQ179*AT179*VLOOKUP('Données projet'!$B$10,Paramètres!$A$1:$I$89,3,0)*0.475*44/12</f>
        <v>2.6846509754371864E-24</v>
      </c>
      <c r="AX179" s="21">
        <f t="shared" si="166"/>
        <v>3.7137602224527404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243</v>
      </c>
      <c r="BE179" s="13">
        <f>BD179*VLOOKUP('Données projet'!$B$11,Paramètres!$A$1:$I$89,3,0)*VLOOKUP('Données projet'!$B$11,Paramètres!$A$1:$I$89,5,0)</f>
        <v>212.28480000000002</v>
      </c>
      <c r="BF179" s="13">
        <f t="shared" si="167"/>
        <v>52.434557099704193</v>
      </c>
      <c r="BG179" s="20">
        <f t="shared" si="168"/>
        <v>461.05288028198476</v>
      </c>
      <c r="BH179" s="59">
        <f t="shared" si="116"/>
        <v>754.38621361531807</v>
      </c>
      <c r="BI179" s="59">
        <f ca="1">AVERAGE(OFFSET($BH$3,0,0,'Données projet'!$E$11+1,1))-AVERAGE(OFFSET($H$3,0,0,'Données projet'!$E$11+1,1))</f>
        <v>268.27008134105046</v>
      </c>
      <c r="BJ179" s="59">
        <f t="shared" si="146"/>
        <v>252.36274686619709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12.462298767471719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12.462298767471719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0.8600000000003547</v>
      </c>
      <c r="O180" s="13">
        <f>N180*VLOOKUP('Données projet'!$B$9,Paramètres!$A$1:$I$89,3,0)*VLOOKUP('Données projet'!$B$9,Paramètres!$A$1:$I$89,5,0)</f>
        <v>0.48074000000019829</v>
      </c>
      <c r="P180" s="13">
        <f t="shared" si="141"/>
        <v>0.24126147010950588</v>
      </c>
      <c r="Q180" s="20">
        <f t="shared" si="162"/>
        <v>1.2574858937744013</v>
      </c>
      <c r="R180" s="59">
        <f t="shared" si="109"/>
        <v>294.59081922710772</v>
      </c>
      <c r="S180" s="59">
        <f ca="1">AVERAGE(OFFSET($R$3,0,0,'Données projet'!$E$9+1,1))-AVERAGE(OFFSET($H$3,0,0,'Données projet'!$E$9+1,1))</f>
        <v>350.01600895263641</v>
      </c>
      <c r="T180" s="59">
        <f t="shared" si="142"/>
        <v>464.08921044376882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33.188907371724049</v>
      </c>
      <c r="AA180" s="21">
        <f>EXP(-LN(2)/25)*AA179+(1-EXP(-LN(2)/25))/(LN(2)/25)*Calculateur!V180*Calculateur!X180*VLOOKUP('Données projet'!$B$9,Paramètres!$A$1:$I$89,3,0)*0.475*44/12</f>
        <v>0.85871193476492536</v>
      </c>
      <c r="AB180" s="21">
        <f>EXP(-LN(2)/2)*AB179+(1-EXP(-LN(2)/2))/(LN(2)/2)*V180*Y180*VLOOKUP('Données projet'!$B$9,Paramètres!$A$1:$I$89,3,0)*0.475*44/12</f>
        <v>5.5396253714887157E-23</v>
      </c>
      <c r="AC180" s="22">
        <f t="shared" si="163"/>
        <v>34.047619306488976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277.99999999999994</v>
      </c>
      <c r="AJ180" s="13">
        <f>AI180*VLOOKUP('Données projet'!$B$10,Paramètres!$A$1:$I$89,3,0)*VLOOKUP('Données projet'!$B$10,Paramètres!$A$1:$I$89,5,0)</f>
        <v>151.78799999999998</v>
      </c>
      <c r="AK180" s="13">
        <f t="shared" si="164"/>
        <v>38.984634390835623</v>
      </c>
      <c r="AL180" s="20">
        <f t="shared" si="165"/>
        <v>332.26233823070532</v>
      </c>
      <c r="AM180" s="59">
        <f t="shared" si="113"/>
        <v>625.59567156403864</v>
      </c>
      <c r="AN180" s="59">
        <f ca="1">AVERAGE(OFFSET($AM$3,0,0,'Données projet'!$E$10+1,1))-AVERAGE(OFFSET($H$3,0,0,'Données projet'!$E$10+1,1))</f>
        <v>159.92263609041913</v>
      </c>
      <c r="AO180" s="59">
        <f t="shared" si="144"/>
        <v>271.78119133009307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1.9971591447196735</v>
      </c>
      <c r="AV180" s="21">
        <f>EXP(-LN(2)/25)*AV179+(1-EXP(-LN(2)/25))/(LN(2)/25)*Calculateur!AQ180*Calculateur!AS180*VLOOKUP('Données projet'!$B$10,Paramètres!$A$1:$I$89,3,0)*0.475*44/12</f>
        <v>1.6308064701568274</v>
      </c>
      <c r="AW180" s="21">
        <f>EXP(-LN(2)/2)*AW179+(1-EXP(-LN(2)/2))/(LN(2)/2)*AQ180*AT180*VLOOKUP('Données projet'!$B$10,Paramètres!$A$1:$I$89,3,0)*0.475*44/12</f>
        <v>1.8983349098507138E-24</v>
      </c>
      <c r="AX180" s="21">
        <f t="shared" si="166"/>
        <v>3.6279656148765009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243</v>
      </c>
      <c r="BE180" s="13">
        <f>BD180*VLOOKUP('Données projet'!$B$11,Paramètres!$A$1:$I$89,3,0)*VLOOKUP('Données projet'!$B$11,Paramètres!$A$1:$I$89,5,0)</f>
        <v>212.28480000000002</v>
      </c>
      <c r="BF180" s="13">
        <f t="shared" si="167"/>
        <v>52.434557099704193</v>
      </c>
      <c r="BG180" s="20">
        <f t="shared" si="168"/>
        <v>461.05288028198476</v>
      </c>
      <c r="BH180" s="59">
        <f t="shared" si="116"/>
        <v>754.38621361531807</v>
      </c>
      <c r="BI180" s="59">
        <f ca="1">AVERAGE(OFFSET($BH$3,0,0,'Données projet'!$E$11+1,1))-AVERAGE(OFFSET($H$3,0,0,'Données projet'!$E$11+1,1))</f>
        <v>268.27008134105046</v>
      </c>
      <c r="BJ180" s="59">
        <f t="shared" si="146"/>
        <v>252.36274686619709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12.217920689893285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12.217920689893285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0.8600000000003547</v>
      </c>
      <c r="O181" s="13">
        <f>N181*VLOOKUP('Données projet'!$B$9,Paramètres!$A$1:$I$89,3,0)*VLOOKUP('Données projet'!$B$9,Paramètres!$A$1:$I$89,5,0)</f>
        <v>0.48074000000019829</v>
      </c>
      <c r="P181" s="13">
        <f t="shared" si="141"/>
        <v>0.24126147010950588</v>
      </c>
      <c r="Q181" s="20">
        <f t="shared" si="162"/>
        <v>1.2574858937744013</v>
      </c>
      <c r="R181" s="59">
        <f t="shared" si="109"/>
        <v>294.59081922710772</v>
      </c>
      <c r="S181" s="59">
        <f ca="1">AVERAGE(OFFSET($R$3,0,0,'Données projet'!$E$9+1,1))-AVERAGE(OFFSET($H$3,0,0,'Données projet'!$E$9+1,1))</f>
        <v>350.01600895263641</v>
      </c>
      <c r="T181" s="59">
        <f t="shared" si="142"/>
        <v>464.08921044376882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32.538093141399187</v>
      </c>
      <c r="AA181" s="21">
        <f>EXP(-LN(2)/25)*AA180+(1-EXP(-LN(2)/25))/(LN(2)/25)*Calculateur!V181*Calculateur!X181*VLOOKUP('Données projet'!$B$9,Paramètres!$A$1:$I$89,3,0)*0.475*44/12</f>
        <v>0.83523041175108048</v>
      </c>
      <c r="AB181" s="21">
        <f>EXP(-LN(2)/2)*AB180+(1-EXP(-LN(2)/2))/(LN(2)/2)*V181*Y181*VLOOKUP('Données projet'!$B$9,Paramètres!$A$1:$I$89,3,0)*0.475*44/12</f>
        <v>3.9171066654127185E-23</v>
      </c>
      <c r="AC181" s="22">
        <f t="shared" si="163"/>
        <v>33.373323553150271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277.99999999999994</v>
      </c>
      <c r="AJ181" s="13">
        <f>AI181*VLOOKUP('Données projet'!$B$10,Paramètres!$A$1:$I$89,3,0)*VLOOKUP('Données projet'!$B$10,Paramètres!$A$1:$I$89,5,0)</f>
        <v>151.78799999999998</v>
      </c>
      <c r="AK181" s="13">
        <f t="shared" si="164"/>
        <v>38.984634390835623</v>
      </c>
      <c r="AL181" s="20">
        <f t="shared" si="165"/>
        <v>332.26233823070532</v>
      </c>
      <c r="AM181" s="59">
        <f t="shared" si="113"/>
        <v>625.59567156403864</v>
      </c>
      <c r="AN181" s="59">
        <f ca="1">AVERAGE(OFFSET($AM$3,0,0,'Données projet'!$E$10+1,1))-AVERAGE(OFFSET($H$3,0,0,'Données projet'!$E$10+1,1))</f>
        <v>159.92263609041913</v>
      </c>
      <c r="AO181" s="59">
        <f t="shared" si="144"/>
        <v>271.78119133009307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1.957996072038517</v>
      </c>
      <c r="AV181" s="21">
        <f>EXP(-LN(2)/25)*AV180+(1-EXP(-LN(2)/25))/(LN(2)/25)*Calculateur!AQ181*Calculateur!AS181*VLOOKUP('Données projet'!$B$10,Paramètres!$A$1:$I$89,3,0)*0.475*44/12</f>
        <v>1.586211981470004</v>
      </c>
      <c r="AW181" s="21">
        <f>EXP(-LN(2)/2)*AW180+(1-EXP(-LN(2)/2))/(LN(2)/2)*AQ181*AT181*VLOOKUP('Données projet'!$B$10,Paramètres!$A$1:$I$89,3,0)*0.475*44/12</f>
        <v>1.3423254877185932E-24</v>
      </c>
      <c r="AX181" s="21">
        <f t="shared" si="166"/>
        <v>3.544208053508521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243</v>
      </c>
      <c r="BE181" s="13">
        <f>BD181*VLOOKUP('Données projet'!$B$11,Paramètres!$A$1:$I$89,3,0)*VLOOKUP('Données projet'!$B$11,Paramètres!$A$1:$I$89,5,0)</f>
        <v>212.28480000000002</v>
      </c>
      <c r="BF181" s="13">
        <f t="shared" si="167"/>
        <v>52.434557099704193</v>
      </c>
      <c r="BG181" s="20">
        <f t="shared" si="168"/>
        <v>461.05288028198476</v>
      </c>
      <c r="BH181" s="59">
        <f t="shared" si="116"/>
        <v>754.38621361531807</v>
      </c>
      <c r="BI181" s="59">
        <f ca="1">AVERAGE(OFFSET($BH$3,0,0,'Données projet'!$E$11+1,1))-AVERAGE(OFFSET($H$3,0,0,'Données projet'!$E$11+1,1))</f>
        <v>268.27008134105046</v>
      </c>
      <c r="BJ181" s="59">
        <f t="shared" si="146"/>
        <v>252.36274686619709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11.978334717360255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11.978334717360255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0.8600000000003547</v>
      </c>
      <c r="O182" s="13">
        <f>N182*VLOOKUP('Données projet'!$B$9,Paramètres!$A$1:$I$89,3,0)*VLOOKUP('Données projet'!$B$9,Paramètres!$A$1:$I$89,5,0)</f>
        <v>0.48074000000019829</v>
      </c>
      <c r="P182" s="13">
        <f t="shared" si="141"/>
        <v>0.24126147010950588</v>
      </c>
      <c r="Q182" s="20">
        <f t="shared" si="162"/>
        <v>1.2574858937744013</v>
      </c>
      <c r="R182" s="59">
        <f t="shared" si="109"/>
        <v>294.59081922710772</v>
      </c>
      <c r="S182" s="59">
        <f ca="1">AVERAGE(OFFSET($R$3,0,0,'Données projet'!$E$9+1,1))-AVERAGE(OFFSET($H$3,0,0,'Données projet'!$E$9+1,1))</f>
        <v>350.01600895263641</v>
      </c>
      <c r="T182" s="59">
        <f t="shared" si="142"/>
        <v>464.08921044376882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31.900040981173508</v>
      </c>
      <c r="AA182" s="21">
        <f>EXP(-LN(2)/25)*AA181+(1-EXP(-LN(2)/25))/(LN(2)/25)*Calculateur!V182*Calculateur!X182*VLOOKUP('Données projet'!$B$9,Paramètres!$A$1:$I$89,3,0)*0.475*44/12</f>
        <v>0.81239099221888877</v>
      </c>
      <c r="AB182" s="21">
        <f>EXP(-LN(2)/2)*AB181+(1-EXP(-LN(2)/2))/(LN(2)/2)*V182*Y182*VLOOKUP('Données projet'!$B$9,Paramètres!$A$1:$I$89,3,0)*0.475*44/12</f>
        <v>2.7698126857443579E-23</v>
      </c>
      <c r="AC182" s="22">
        <f t="shared" si="163"/>
        <v>32.712431973392398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277.99999999999994</v>
      </c>
      <c r="AJ182" s="13">
        <f>AI182*VLOOKUP('Données projet'!$B$10,Paramètres!$A$1:$I$89,3,0)*VLOOKUP('Données projet'!$B$10,Paramètres!$A$1:$I$89,5,0)</f>
        <v>151.78799999999998</v>
      </c>
      <c r="AK182" s="13">
        <f t="shared" si="164"/>
        <v>38.984634390835623</v>
      </c>
      <c r="AL182" s="20">
        <f t="shared" si="165"/>
        <v>332.26233823070532</v>
      </c>
      <c r="AM182" s="59">
        <f t="shared" si="113"/>
        <v>625.59567156403864</v>
      </c>
      <c r="AN182" s="59">
        <f ca="1">AVERAGE(OFFSET($AM$3,0,0,'Données projet'!$E$10+1,1))-AVERAGE(OFFSET($H$3,0,0,'Données projet'!$E$10+1,1))</f>
        <v>159.92263609041913</v>
      </c>
      <c r="AO182" s="59">
        <f t="shared" si="144"/>
        <v>271.78119133009307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1.9196009633255222</v>
      </c>
      <c r="AV182" s="21">
        <f>EXP(-LN(2)/25)*AV181+(1-EXP(-LN(2)/25))/(LN(2)/25)*Calculateur!AQ182*Calculateur!AS182*VLOOKUP('Données projet'!$B$10,Paramètres!$A$1:$I$89,3,0)*0.475*44/12</f>
        <v>1.5428369314214438</v>
      </c>
      <c r="AW182" s="21">
        <f>EXP(-LN(2)/2)*AW181+(1-EXP(-LN(2)/2))/(LN(2)/2)*AQ182*AT182*VLOOKUP('Données projet'!$B$10,Paramètres!$A$1:$I$89,3,0)*0.475*44/12</f>
        <v>9.4916745492535692E-25</v>
      </c>
      <c r="AX182" s="21">
        <f t="shared" si="166"/>
        <v>3.4624378947469658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243</v>
      </c>
      <c r="BE182" s="13">
        <f>BD182*VLOOKUP('Données projet'!$B$11,Paramètres!$A$1:$I$89,3,0)*VLOOKUP('Données projet'!$B$11,Paramètres!$A$1:$I$89,5,0)</f>
        <v>212.28480000000002</v>
      </c>
      <c r="BF182" s="13">
        <f t="shared" si="167"/>
        <v>52.434557099704193</v>
      </c>
      <c r="BG182" s="20">
        <f t="shared" si="168"/>
        <v>461.05288028198476</v>
      </c>
      <c r="BH182" s="59">
        <f t="shared" si="116"/>
        <v>754.38621361531807</v>
      </c>
      <c r="BI182" s="59">
        <f ca="1">AVERAGE(OFFSET($BH$3,0,0,'Données projet'!$E$11+1,1))-AVERAGE(OFFSET($H$3,0,0,'Données projet'!$E$11+1,1))</f>
        <v>268.27008134105046</v>
      </c>
      <c r="BJ182" s="59">
        <f t="shared" si="146"/>
        <v>252.36274686619709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11.743446879615584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11.743446879615584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0.8600000000003547</v>
      </c>
      <c r="O183" s="13">
        <f>N183*VLOOKUP('Données projet'!$B$9,Paramètres!$A$1:$I$89,3,0)*VLOOKUP('Données projet'!$B$9,Paramètres!$A$1:$I$89,5,0)</f>
        <v>0.48074000000019829</v>
      </c>
      <c r="P183" s="13">
        <f t="shared" si="141"/>
        <v>0.24126147010950588</v>
      </c>
      <c r="Q183" s="20">
        <f t="shared" si="162"/>
        <v>1.2574858937744013</v>
      </c>
      <c r="R183" s="59">
        <f t="shared" si="109"/>
        <v>294.59081922710772</v>
      </c>
      <c r="S183" s="59">
        <f ca="1">AVERAGE(OFFSET($R$3,0,0,'Données projet'!$E$9+1,1))-AVERAGE(OFFSET($H$3,0,0,'Données projet'!$E$9+1,1))</f>
        <v>350.01600895263641</v>
      </c>
      <c r="T183" s="59">
        <f t="shared" si="142"/>
        <v>464.08921044376882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31.274500634636464</v>
      </c>
      <c r="AA183" s="21">
        <f>EXP(-LN(2)/25)*AA182+(1-EXP(-LN(2)/25))/(LN(2)/25)*Calculateur!V183*Calculateur!X183*VLOOKUP('Données projet'!$B$9,Paramètres!$A$1:$I$89,3,0)*0.475*44/12</f>
        <v>0.79017611781487773</v>
      </c>
      <c r="AB183" s="21">
        <f>EXP(-LN(2)/2)*AB182+(1-EXP(-LN(2)/2))/(LN(2)/2)*V183*Y183*VLOOKUP('Données projet'!$B$9,Paramètres!$A$1:$I$89,3,0)*0.475*44/12</f>
        <v>1.9585533327063592E-23</v>
      </c>
      <c r="AC183" s="22">
        <f t="shared" si="163"/>
        <v>32.064676752451341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277.99999999999994</v>
      </c>
      <c r="AJ183" s="13">
        <f>AI183*VLOOKUP('Données projet'!$B$10,Paramètres!$A$1:$I$89,3,0)*VLOOKUP('Données projet'!$B$10,Paramètres!$A$1:$I$89,5,0)</f>
        <v>151.78799999999998</v>
      </c>
      <c r="AK183" s="13">
        <f t="shared" si="164"/>
        <v>38.984634390835623</v>
      </c>
      <c r="AL183" s="20">
        <f t="shared" si="165"/>
        <v>332.26233823070532</v>
      </c>
      <c r="AM183" s="59">
        <f t="shared" si="113"/>
        <v>625.59567156403864</v>
      </c>
      <c r="AN183" s="59">
        <f ca="1">AVERAGE(OFFSET($AM$3,0,0,'Données projet'!$E$10+1,1))-AVERAGE(OFFSET($H$3,0,0,'Données projet'!$E$10+1,1))</f>
        <v>159.92263609041913</v>
      </c>
      <c r="AO183" s="59">
        <f t="shared" si="144"/>
        <v>271.78119133009307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1.8819587592756855</v>
      </c>
      <c r="AV183" s="21">
        <f>EXP(-LN(2)/25)*AV182+(1-EXP(-LN(2)/25))/(LN(2)/25)*Calculateur!AQ183*Calculateur!AS183*VLOOKUP('Données projet'!$B$10,Paramètres!$A$1:$I$89,3,0)*0.475*44/12</f>
        <v>1.5006479743974563</v>
      </c>
      <c r="AW183" s="21">
        <f>EXP(-LN(2)/2)*AW182+(1-EXP(-LN(2)/2))/(LN(2)/2)*AQ183*AT183*VLOOKUP('Données projet'!$B$10,Paramètres!$A$1:$I$89,3,0)*0.475*44/12</f>
        <v>6.7116274385929659E-25</v>
      </c>
      <c r="AX183" s="21">
        <f t="shared" si="166"/>
        <v>3.3826067336731418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243</v>
      </c>
      <c r="BE183" s="13">
        <f>BD183*VLOOKUP('Données projet'!$B$11,Paramètres!$A$1:$I$89,3,0)*VLOOKUP('Données projet'!$B$11,Paramètres!$A$1:$I$89,5,0)</f>
        <v>212.28480000000002</v>
      </c>
      <c r="BF183" s="13">
        <f t="shared" si="167"/>
        <v>52.434557099704193</v>
      </c>
      <c r="BG183" s="20">
        <f t="shared" si="168"/>
        <v>461.05288028198476</v>
      </c>
      <c r="BH183" s="59">
        <f t="shared" si="116"/>
        <v>754.38621361531807</v>
      </c>
      <c r="BI183" s="59">
        <f ca="1">AVERAGE(OFFSET($BH$3,0,0,'Données projet'!$E$11+1,1))-AVERAGE(OFFSET($H$3,0,0,'Données projet'!$E$11+1,1))</f>
        <v>268.27008134105046</v>
      </c>
      <c r="BJ183" s="59">
        <f t="shared" si="146"/>
        <v>252.36274686619709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11.513165049101652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11.513165049101652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0.8600000000003547</v>
      </c>
      <c r="O184" s="13">
        <f>N184*VLOOKUP('Données projet'!$B$9,Paramètres!$A$1:$I$89,3,0)*VLOOKUP('Données projet'!$B$9,Paramètres!$A$1:$I$89,5,0)</f>
        <v>0.48074000000019829</v>
      </c>
      <c r="P184" s="13">
        <f t="shared" si="141"/>
        <v>0.24126147010950588</v>
      </c>
      <c r="Q184" s="20">
        <f t="shared" si="162"/>
        <v>1.2574858937744013</v>
      </c>
      <c r="R184" s="59">
        <f t="shared" si="109"/>
        <v>294.59081922710772</v>
      </c>
      <c r="S184" s="59">
        <f ca="1">AVERAGE(OFFSET($R$3,0,0,'Données projet'!$E$9+1,1))-AVERAGE(OFFSET($H$3,0,0,'Données projet'!$E$9+1,1))</f>
        <v>350.01600895263641</v>
      </c>
      <c r="T184" s="59">
        <f t="shared" si="142"/>
        <v>464.08921044376882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30.661226752753073</v>
      </c>
      <c r="AA184" s="21">
        <f>EXP(-LN(2)/25)*AA183+(1-EXP(-LN(2)/25))/(LN(2)/25)*Calculateur!V184*Calculateur!X184*VLOOKUP('Données projet'!$B$9,Paramètres!$A$1:$I$89,3,0)*0.475*44/12</f>
        <v>0.76856871031967389</v>
      </c>
      <c r="AB184" s="21">
        <f>EXP(-LN(2)/2)*AB183+(1-EXP(-LN(2)/2))/(LN(2)/2)*V184*Y184*VLOOKUP('Données projet'!$B$9,Paramètres!$A$1:$I$89,3,0)*0.475*44/12</f>
        <v>1.3849063428721789E-23</v>
      </c>
      <c r="AC184" s="22">
        <f t="shared" si="163"/>
        <v>31.429795463072747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277.99999999999994</v>
      </c>
      <c r="AJ184" s="13">
        <f>AI184*VLOOKUP('Données projet'!$B$10,Paramètres!$A$1:$I$89,3,0)*VLOOKUP('Données projet'!$B$10,Paramètres!$A$1:$I$89,5,0)</f>
        <v>151.78799999999998</v>
      </c>
      <c r="AK184" s="13">
        <f t="shared" si="164"/>
        <v>38.984634390835623</v>
      </c>
      <c r="AL184" s="20">
        <f t="shared" si="165"/>
        <v>332.26233823070532</v>
      </c>
      <c r="AM184" s="59">
        <f t="shared" si="113"/>
        <v>625.59567156403864</v>
      </c>
      <c r="AN184" s="59">
        <f ca="1">AVERAGE(OFFSET($AM$3,0,0,'Données projet'!$E$10+1,1))-AVERAGE(OFFSET($H$3,0,0,'Données projet'!$E$10+1,1))</f>
        <v>159.92263609041913</v>
      </c>
      <c r="AO184" s="59">
        <f t="shared" si="144"/>
        <v>271.78119133009307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1.8450546958877885</v>
      </c>
      <c r="AV184" s="21">
        <f>EXP(-LN(2)/25)*AV183+(1-EXP(-LN(2)/25))/(LN(2)/25)*Calculateur!AQ184*Calculateur!AS184*VLOOKUP('Données projet'!$B$10,Paramètres!$A$1:$I$89,3,0)*0.475*44/12</f>
        <v>1.4596126766219106</v>
      </c>
      <c r="AW184" s="21">
        <f>EXP(-LN(2)/2)*AW183+(1-EXP(-LN(2)/2))/(LN(2)/2)*AQ184*AT184*VLOOKUP('Données projet'!$B$10,Paramètres!$A$1:$I$89,3,0)*0.475*44/12</f>
        <v>4.7458372746267846E-25</v>
      </c>
      <c r="AX184" s="21">
        <f t="shared" si="166"/>
        <v>3.3046673725096989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243</v>
      </c>
      <c r="BE184" s="13">
        <f>BD184*VLOOKUP('Données projet'!$B$11,Paramètres!$A$1:$I$89,3,0)*VLOOKUP('Données projet'!$B$11,Paramètres!$A$1:$I$89,5,0)</f>
        <v>212.28480000000002</v>
      </c>
      <c r="BF184" s="13">
        <f t="shared" si="167"/>
        <v>52.434557099704193</v>
      </c>
      <c r="BG184" s="20">
        <f t="shared" si="168"/>
        <v>461.05288028198476</v>
      </c>
      <c r="BH184" s="59">
        <f t="shared" si="116"/>
        <v>754.38621361531807</v>
      </c>
      <c r="BI184" s="59">
        <f ca="1">AVERAGE(OFFSET($BH$3,0,0,'Données projet'!$E$11+1,1))-AVERAGE(OFFSET($H$3,0,0,'Données projet'!$E$11+1,1))</f>
        <v>268.27008134105046</v>
      </c>
      <c r="BJ184" s="59">
        <f t="shared" si="146"/>
        <v>252.36274686619709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11.28739890482605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11.28739890482605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0.8600000000003547</v>
      </c>
      <c r="O185" s="13">
        <f>N185*VLOOKUP('Données projet'!$B$9,Paramètres!$A$1:$I$89,3,0)*VLOOKUP('Données projet'!$B$9,Paramètres!$A$1:$I$89,5,0)</f>
        <v>0.48074000000019829</v>
      </c>
      <c r="P185" s="13">
        <f t="shared" si="141"/>
        <v>0.24126147010950588</v>
      </c>
      <c r="Q185" s="20">
        <f t="shared" si="162"/>
        <v>1.2574858937744013</v>
      </c>
      <c r="R185" s="59">
        <f t="shared" si="109"/>
        <v>294.59081922710772</v>
      </c>
      <c r="S185" s="59">
        <f ca="1">AVERAGE(OFFSET($R$3,0,0,'Données projet'!$E$9+1,1))-AVERAGE(OFFSET($H$3,0,0,'Données projet'!$E$9+1,1))</f>
        <v>350.01600895263641</v>
      </c>
      <c r="T185" s="59">
        <f t="shared" si="142"/>
        <v>464.08921044376882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30.059978797633285</v>
      </c>
      <c r="AA185" s="21">
        <f>EXP(-LN(2)/25)*AA184+(1-EXP(-LN(2)/25))/(LN(2)/25)*Calculateur!V185*Calculateur!X185*VLOOKUP('Données projet'!$B$9,Paramètres!$A$1:$I$89,3,0)*0.475*44/12</f>
        <v>0.74755215851871049</v>
      </c>
      <c r="AB185" s="21">
        <f>EXP(-LN(2)/2)*AB184+(1-EXP(-LN(2)/2))/(LN(2)/2)*V185*Y185*VLOOKUP('Données projet'!$B$9,Paramètres!$A$1:$I$89,3,0)*0.475*44/12</f>
        <v>9.7927666635317962E-24</v>
      </c>
      <c r="AC185" s="22">
        <f t="shared" si="163"/>
        <v>30.807530956151997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277.99999999999994</v>
      </c>
      <c r="AJ185" s="13">
        <f>AI185*VLOOKUP('Données projet'!$B$10,Paramètres!$A$1:$I$89,3,0)*VLOOKUP('Données projet'!$B$10,Paramètres!$A$1:$I$89,5,0)</f>
        <v>151.78799999999998</v>
      </c>
      <c r="AK185" s="13">
        <f t="shared" si="164"/>
        <v>38.984634390835623</v>
      </c>
      <c r="AL185" s="20">
        <f t="shared" si="165"/>
        <v>332.26233823070532</v>
      </c>
      <c r="AM185" s="59">
        <f t="shared" si="113"/>
        <v>625.59567156403864</v>
      </c>
      <c r="AN185" s="59">
        <f ca="1">AVERAGE(OFFSET($AM$3,0,0,'Données projet'!$E$10+1,1))-AVERAGE(OFFSET($H$3,0,0,'Données projet'!$E$10+1,1))</f>
        <v>159.92263609041913</v>
      </c>
      <c r="AO185" s="59">
        <f t="shared" si="144"/>
        <v>271.78119133009307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1.8088742986736721</v>
      </c>
      <c r="AV185" s="21">
        <f>EXP(-LN(2)/25)*AV184+(1-EXP(-LN(2)/25))/(LN(2)/25)*Calculateur!AQ185*Calculateur!AS185*VLOOKUP('Données projet'!$B$10,Paramètres!$A$1:$I$89,3,0)*0.475*44/12</f>
        <v>1.4196994912219898</v>
      </c>
      <c r="AW185" s="21">
        <f>EXP(-LN(2)/2)*AW184+(1-EXP(-LN(2)/2))/(LN(2)/2)*AQ185*AT185*VLOOKUP('Données projet'!$B$10,Paramètres!$A$1:$I$89,3,0)*0.475*44/12</f>
        <v>3.3558137192964829E-25</v>
      </c>
      <c r="AX185" s="21">
        <f t="shared" si="166"/>
        <v>3.2285737898956617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243</v>
      </c>
      <c r="BE185" s="13">
        <f>BD185*VLOOKUP('Données projet'!$B$11,Paramètres!$A$1:$I$89,3,0)*VLOOKUP('Données projet'!$B$11,Paramètres!$A$1:$I$89,5,0)</f>
        <v>212.28480000000002</v>
      </c>
      <c r="BF185" s="13">
        <f t="shared" si="167"/>
        <v>52.434557099704193</v>
      </c>
      <c r="BG185" s="20">
        <f t="shared" si="168"/>
        <v>461.05288028198476</v>
      </c>
      <c r="BH185" s="59">
        <f t="shared" si="116"/>
        <v>754.38621361531807</v>
      </c>
      <c r="BI185" s="59">
        <f ca="1">AVERAGE(OFFSET($BH$3,0,0,'Données projet'!$E$11+1,1))-AVERAGE(OFFSET($H$3,0,0,'Données projet'!$E$11+1,1))</f>
        <v>268.27008134105046</v>
      </c>
      <c r="BJ185" s="59">
        <f t="shared" si="146"/>
        <v>252.36274686619709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11.066059896935942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11.066059896935942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0.8600000000003547</v>
      </c>
      <c r="O186" s="13">
        <f>N186*VLOOKUP('Données projet'!$B$9,Paramètres!$A$1:$I$89,3,0)*VLOOKUP('Données projet'!$B$9,Paramètres!$A$1:$I$89,5,0)</f>
        <v>0.48074000000019829</v>
      </c>
      <c r="P186" s="13">
        <f t="shared" si="141"/>
        <v>0.24126147010950588</v>
      </c>
      <c r="Q186" s="20">
        <f t="shared" si="162"/>
        <v>1.2574858937744013</v>
      </c>
      <c r="R186" s="59">
        <f t="shared" si="109"/>
        <v>294.59081922710772</v>
      </c>
      <c r="S186" s="59">
        <f ca="1">AVERAGE(OFFSET($R$3,0,0,'Données projet'!$E$9+1,1))-AVERAGE(OFFSET($H$3,0,0,'Données projet'!$E$9+1,1))</f>
        <v>350.01600895263641</v>
      </c>
      <c r="T186" s="59">
        <f t="shared" si="142"/>
        <v>464.08921044376882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29.470520948188355</v>
      </c>
      <c r="AA186" s="21">
        <f>EXP(-LN(2)/25)*AA185+(1-EXP(-LN(2)/25))/(LN(2)/25)*Calculateur!V186*Calculateur!X186*VLOOKUP('Données projet'!$B$9,Paramètres!$A$1:$I$89,3,0)*0.475*44/12</f>
        <v>0.72711030543195687</v>
      </c>
      <c r="AB186" s="21">
        <f>EXP(-LN(2)/2)*AB185+(1-EXP(-LN(2)/2))/(LN(2)/2)*V186*Y186*VLOOKUP('Données projet'!$B$9,Paramètres!$A$1:$I$89,3,0)*0.475*44/12</f>
        <v>6.9245317143608946E-24</v>
      </c>
      <c r="AC186" s="22">
        <f t="shared" si="163"/>
        <v>30.197631253620312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277.99999999999994</v>
      </c>
      <c r="AJ186" s="13">
        <f>AI186*VLOOKUP('Données projet'!$B$10,Paramètres!$A$1:$I$89,3,0)*VLOOKUP('Données projet'!$B$10,Paramètres!$A$1:$I$89,5,0)</f>
        <v>151.78799999999998</v>
      </c>
      <c r="AK186" s="13">
        <f t="shared" si="164"/>
        <v>38.984634390835623</v>
      </c>
      <c r="AL186" s="20">
        <f t="shared" si="165"/>
        <v>332.26233823070532</v>
      </c>
      <c r="AM186" s="59">
        <f t="shared" si="113"/>
        <v>625.59567156403864</v>
      </c>
      <c r="AN186" s="59">
        <f ca="1">AVERAGE(OFFSET($AM$3,0,0,'Données projet'!$E$10+1,1))-AVERAGE(OFFSET($H$3,0,0,'Données projet'!$E$10+1,1))</f>
        <v>159.92263609041913</v>
      </c>
      <c r="AO186" s="59">
        <f t="shared" si="144"/>
        <v>271.78119133009307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1.7734033769810613</v>
      </c>
      <c r="AV186" s="21">
        <f>EXP(-LN(2)/25)*AV185+(1-EXP(-LN(2)/25))/(LN(2)/25)*Calculateur!AQ186*Calculateur!AS186*VLOOKUP('Données projet'!$B$10,Paramètres!$A$1:$I$89,3,0)*0.475*44/12</f>
        <v>1.380877733975773</v>
      </c>
      <c r="AW186" s="21">
        <f>EXP(-LN(2)/2)*AW185+(1-EXP(-LN(2)/2))/(LN(2)/2)*AQ186*AT186*VLOOKUP('Données projet'!$B$10,Paramètres!$A$1:$I$89,3,0)*0.475*44/12</f>
        <v>2.3729186373133923E-25</v>
      </c>
      <c r="AX186" s="21">
        <f t="shared" si="166"/>
        <v>3.1542811109568341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243</v>
      </c>
      <c r="BE186" s="13">
        <f>BD186*VLOOKUP('Données projet'!$B$11,Paramètres!$A$1:$I$89,3,0)*VLOOKUP('Données projet'!$B$11,Paramètres!$A$1:$I$89,5,0)</f>
        <v>212.28480000000002</v>
      </c>
      <c r="BF186" s="13">
        <f t="shared" si="167"/>
        <v>52.434557099704193</v>
      </c>
      <c r="BG186" s="20">
        <f t="shared" si="168"/>
        <v>461.05288028198476</v>
      </c>
      <c r="BH186" s="59">
        <f t="shared" si="116"/>
        <v>754.38621361531807</v>
      </c>
      <c r="BI186" s="59">
        <f ca="1">AVERAGE(OFFSET($BH$3,0,0,'Données projet'!$E$11+1,1))-AVERAGE(OFFSET($H$3,0,0,'Données projet'!$E$11+1,1))</f>
        <v>268.27008134105046</v>
      </c>
      <c r="BJ186" s="59">
        <f t="shared" si="146"/>
        <v>252.36274686619709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10.849061211987094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10.849061211987094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0.8600000000003547</v>
      </c>
      <c r="O187" s="13">
        <f>N187*VLOOKUP('Données projet'!$B$9,Paramètres!$A$1:$I$89,3,0)*VLOOKUP('Données projet'!$B$9,Paramètres!$A$1:$I$89,5,0)</f>
        <v>0.48074000000019829</v>
      </c>
      <c r="P187" s="13">
        <f t="shared" si="141"/>
        <v>0.24126147010950588</v>
      </c>
      <c r="Q187" s="20">
        <f t="shared" si="162"/>
        <v>1.2574858937744013</v>
      </c>
      <c r="R187" s="59">
        <f t="shared" si="109"/>
        <v>294.59081922710772</v>
      </c>
      <c r="S187" s="59">
        <f ca="1">AVERAGE(OFFSET($R$3,0,0,'Données projet'!$E$9+1,1))-AVERAGE(OFFSET($H$3,0,0,'Données projet'!$E$9+1,1))</f>
        <v>350.01600895263641</v>
      </c>
      <c r="T187" s="59">
        <f t="shared" si="142"/>
        <v>464.08921044376882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28.89262200763725</v>
      </c>
      <c r="AA187" s="21">
        <f>EXP(-LN(2)/25)*AA186+(1-EXP(-LN(2)/25))/(LN(2)/25)*Calculateur!V187*Calculateur!X187*VLOOKUP('Données projet'!$B$9,Paramètres!$A$1:$I$89,3,0)*0.475*44/12</f>
        <v>0.70722743589285086</v>
      </c>
      <c r="AB187" s="21">
        <f>EXP(-LN(2)/2)*AB186+(1-EXP(-LN(2)/2))/(LN(2)/2)*V187*Y187*VLOOKUP('Données projet'!$B$9,Paramètres!$A$1:$I$89,3,0)*0.475*44/12</f>
        <v>4.8963833317658981E-24</v>
      </c>
      <c r="AC187" s="22">
        <f t="shared" si="163"/>
        <v>29.599849443530101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277.99999999999994</v>
      </c>
      <c r="AJ187" s="13">
        <f>AI187*VLOOKUP('Données projet'!$B$10,Paramètres!$A$1:$I$89,3,0)*VLOOKUP('Données projet'!$B$10,Paramètres!$A$1:$I$89,5,0)</f>
        <v>151.78799999999998</v>
      </c>
      <c r="AK187" s="13">
        <f t="shared" si="164"/>
        <v>38.984634390835623</v>
      </c>
      <c r="AL187" s="20">
        <f t="shared" si="165"/>
        <v>332.26233823070532</v>
      </c>
      <c r="AM187" s="59">
        <f t="shared" si="113"/>
        <v>625.59567156403864</v>
      </c>
      <c r="AN187" s="59">
        <f ca="1">AVERAGE(OFFSET($AM$3,0,0,'Données projet'!$E$10+1,1))-AVERAGE(OFFSET($H$3,0,0,'Données projet'!$E$10+1,1))</f>
        <v>159.92263609041913</v>
      </c>
      <c r="AO187" s="59">
        <f t="shared" si="144"/>
        <v>271.78119133009307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1.7386280184277167</v>
      </c>
      <c r="AV187" s="21">
        <f>EXP(-LN(2)/25)*AV186+(1-EXP(-LN(2)/25))/(LN(2)/25)*Calculateur!AQ187*Calculateur!AS187*VLOOKUP('Données projet'!$B$10,Paramètres!$A$1:$I$89,3,0)*0.475*44/12</f>
        <v>1.3431175597230014</v>
      </c>
      <c r="AW187" s="21">
        <f>EXP(-LN(2)/2)*AW186+(1-EXP(-LN(2)/2))/(LN(2)/2)*AQ187*AT187*VLOOKUP('Données projet'!$B$10,Paramètres!$A$1:$I$89,3,0)*0.475*44/12</f>
        <v>1.6779068596482415E-25</v>
      </c>
      <c r="AX187" s="21">
        <f t="shared" si="166"/>
        <v>3.0817455781507181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243</v>
      </c>
      <c r="BE187" s="13">
        <f>BD187*VLOOKUP('Données projet'!$B$11,Paramètres!$A$1:$I$89,3,0)*VLOOKUP('Données projet'!$B$11,Paramètres!$A$1:$I$89,5,0)</f>
        <v>212.28480000000002</v>
      </c>
      <c r="BF187" s="13">
        <f t="shared" si="167"/>
        <v>52.434557099704193</v>
      </c>
      <c r="BG187" s="20">
        <f t="shared" si="168"/>
        <v>461.05288028198476</v>
      </c>
      <c r="BH187" s="59">
        <f t="shared" si="116"/>
        <v>754.38621361531807</v>
      </c>
      <c r="BI187" s="59">
        <f ca="1">AVERAGE(OFFSET($BH$3,0,0,'Données projet'!$E$11+1,1))-AVERAGE(OFFSET($H$3,0,0,'Données projet'!$E$11+1,1))</f>
        <v>268.27008134105046</v>
      </c>
      <c r="BJ187" s="59">
        <f t="shared" si="146"/>
        <v>252.36274686619709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10.636317738893965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10.636317738893965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0.8600000000003547</v>
      </c>
      <c r="O188" s="13">
        <f>N188*VLOOKUP('Données projet'!$B$9,Paramètres!$A$1:$I$89,3,0)*VLOOKUP('Données projet'!$B$9,Paramètres!$A$1:$I$89,5,0)</f>
        <v>0.48074000000019829</v>
      </c>
      <c r="P188" s="13">
        <f t="shared" si="141"/>
        <v>0.24126147010950588</v>
      </c>
      <c r="Q188" s="20">
        <f t="shared" si="162"/>
        <v>1.2574858937744013</v>
      </c>
      <c r="R188" s="59">
        <f t="shared" si="109"/>
        <v>294.59081922710772</v>
      </c>
      <c r="S188" s="59">
        <f ca="1">AVERAGE(OFFSET($R$3,0,0,'Données projet'!$E$9+1,1))-AVERAGE(OFFSET($H$3,0,0,'Données projet'!$E$9+1,1))</f>
        <v>350.01600895263641</v>
      </c>
      <c r="T188" s="59">
        <f t="shared" si="142"/>
        <v>464.08921044376882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28.326055312826806</v>
      </c>
      <c r="AA188" s="21">
        <f>EXP(-LN(2)/25)*AA187+(1-EXP(-LN(2)/25))/(LN(2)/25)*Calculateur!V188*Calculateur!X188*VLOOKUP('Données projet'!$B$9,Paramètres!$A$1:$I$89,3,0)*0.475*44/12</f>
        <v>0.68788826446688645</v>
      </c>
      <c r="AB188" s="21">
        <f>EXP(-LN(2)/2)*AB187+(1-EXP(-LN(2)/2))/(LN(2)/2)*V188*Y188*VLOOKUP('Données projet'!$B$9,Paramètres!$A$1:$I$89,3,0)*0.475*44/12</f>
        <v>3.4622658571804473E-24</v>
      </c>
      <c r="AC188" s="22">
        <f t="shared" si="163"/>
        <v>29.013943577293691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277.99999999999994</v>
      </c>
      <c r="AJ188" s="13">
        <f>AI188*VLOOKUP('Données projet'!$B$10,Paramètres!$A$1:$I$89,3,0)*VLOOKUP('Données projet'!$B$10,Paramètres!$A$1:$I$89,5,0)</f>
        <v>151.78799999999998</v>
      </c>
      <c r="AK188" s="13">
        <f t="shared" si="164"/>
        <v>38.984634390835623</v>
      </c>
      <c r="AL188" s="20">
        <f t="shared" si="165"/>
        <v>332.26233823070532</v>
      </c>
      <c r="AM188" s="59">
        <f t="shared" si="113"/>
        <v>625.59567156403864</v>
      </c>
      <c r="AN188" s="59">
        <f ca="1">AVERAGE(OFFSET($AM$3,0,0,'Données projet'!$E$10+1,1))-AVERAGE(OFFSET($H$3,0,0,'Données projet'!$E$10+1,1))</f>
        <v>159.92263609041913</v>
      </c>
      <c r="AO188" s="59">
        <f t="shared" si="144"/>
        <v>271.78119133009307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1.704534583444729</v>
      </c>
      <c r="AV188" s="21">
        <f>EXP(-LN(2)/25)*AV187+(1-EXP(-LN(2)/25))/(LN(2)/25)*Calculateur!AQ188*Calculateur!AS188*VLOOKUP('Données projet'!$B$10,Paramètres!$A$1:$I$89,3,0)*0.475*44/12</f>
        <v>1.3063899394208931</v>
      </c>
      <c r="AW188" s="21">
        <f>EXP(-LN(2)/2)*AW187+(1-EXP(-LN(2)/2))/(LN(2)/2)*AQ188*AT188*VLOOKUP('Données projet'!$B$10,Paramètres!$A$1:$I$89,3,0)*0.475*44/12</f>
        <v>1.1864593186566962E-25</v>
      </c>
      <c r="AX188" s="21">
        <f t="shared" si="166"/>
        <v>3.0109245228656221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243</v>
      </c>
      <c r="BE188" s="13">
        <f>BD188*VLOOKUP('Données projet'!$B$11,Paramètres!$A$1:$I$89,3,0)*VLOOKUP('Données projet'!$B$11,Paramètres!$A$1:$I$89,5,0)</f>
        <v>212.28480000000002</v>
      </c>
      <c r="BF188" s="13">
        <f t="shared" si="167"/>
        <v>52.434557099704193</v>
      </c>
      <c r="BG188" s="20">
        <f t="shared" si="168"/>
        <v>461.05288028198476</v>
      </c>
      <c r="BH188" s="59">
        <f t="shared" si="116"/>
        <v>754.38621361531807</v>
      </c>
      <c r="BI188" s="59">
        <f ca="1">AVERAGE(OFFSET($BH$3,0,0,'Données projet'!$E$11+1,1))-AVERAGE(OFFSET($H$3,0,0,'Données projet'!$E$11+1,1))</f>
        <v>268.27008134105046</v>
      </c>
      <c r="BJ188" s="59">
        <f t="shared" si="146"/>
        <v>252.36274686619709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10.427746035547486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10.427746035547486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0.8600000000003547</v>
      </c>
      <c r="O189" s="13">
        <f>N189*VLOOKUP('Données projet'!$B$9,Paramètres!$A$1:$I$89,3,0)*VLOOKUP('Données projet'!$B$9,Paramètres!$A$1:$I$89,5,0)</f>
        <v>0.48074000000019829</v>
      </c>
      <c r="P189" s="13">
        <f t="shared" si="141"/>
        <v>0.24126147010950588</v>
      </c>
      <c r="Q189" s="20">
        <f t="shared" si="162"/>
        <v>1.2574858937744013</v>
      </c>
      <c r="R189" s="59">
        <f t="shared" si="109"/>
        <v>294.59081922710772</v>
      </c>
      <c r="S189" s="59">
        <f ca="1">AVERAGE(OFFSET($R$3,0,0,'Données projet'!$E$9+1,1))-AVERAGE(OFFSET($H$3,0,0,'Données projet'!$E$9+1,1))</f>
        <v>350.01600895263641</v>
      </c>
      <c r="T189" s="59">
        <f t="shared" si="142"/>
        <v>464.08921044376882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27.770598645330033</v>
      </c>
      <c r="AA189" s="21">
        <f>EXP(-LN(2)/25)*AA188+(1-EXP(-LN(2)/25))/(LN(2)/25)*Calculateur!V189*Calculateur!X189*VLOOKUP('Données projet'!$B$9,Paramètres!$A$1:$I$89,3,0)*0.475*44/12</f>
        <v>0.66907792370056784</v>
      </c>
      <c r="AB189" s="21">
        <f>EXP(-LN(2)/2)*AB188+(1-EXP(-LN(2)/2))/(LN(2)/2)*V189*Y189*VLOOKUP('Données projet'!$B$9,Paramètres!$A$1:$I$89,3,0)*0.475*44/12</f>
        <v>2.448191665882949E-24</v>
      </c>
      <c r="AC189" s="22">
        <f t="shared" si="163"/>
        <v>28.439676569030599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277.99999999999994</v>
      </c>
      <c r="AJ189" s="13">
        <f>AI189*VLOOKUP('Données projet'!$B$10,Paramètres!$A$1:$I$89,3,0)*VLOOKUP('Données projet'!$B$10,Paramètres!$A$1:$I$89,5,0)</f>
        <v>151.78799999999998</v>
      </c>
      <c r="AK189" s="13">
        <f t="shared" si="164"/>
        <v>38.984634390835623</v>
      </c>
      <c r="AL189" s="20">
        <f t="shared" si="165"/>
        <v>332.26233823070532</v>
      </c>
      <c r="AM189" s="59">
        <f t="shared" si="113"/>
        <v>625.59567156403864</v>
      </c>
      <c r="AN189" s="59">
        <f ca="1">AVERAGE(OFFSET($AM$3,0,0,'Données projet'!$E$10+1,1))-AVERAGE(OFFSET($H$3,0,0,'Données projet'!$E$10+1,1))</f>
        <v>159.92263609041913</v>
      </c>
      <c r="AO189" s="59">
        <f t="shared" si="144"/>
        <v>271.78119133009307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1.6711096999268156</v>
      </c>
      <c r="AV189" s="21">
        <f>EXP(-LN(2)/25)*AV188+(1-EXP(-LN(2)/25))/(LN(2)/25)*Calculateur!AQ189*Calculateur!AS189*VLOOKUP('Données projet'!$B$10,Paramètres!$A$1:$I$89,3,0)*0.475*44/12</f>
        <v>1.2706666378273677</v>
      </c>
      <c r="AW189" s="21">
        <f>EXP(-LN(2)/2)*AW188+(1-EXP(-LN(2)/2))/(LN(2)/2)*AQ189*AT189*VLOOKUP('Données projet'!$B$10,Paramètres!$A$1:$I$89,3,0)*0.475*44/12</f>
        <v>8.3895342982412073E-26</v>
      </c>
      <c r="AX189" s="21">
        <f t="shared" si="166"/>
        <v>2.9417763377541832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243</v>
      </c>
      <c r="BE189" s="13">
        <f>BD189*VLOOKUP('Données projet'!$B$11,Paramètres!$A$1:$I$89,3,0)*VLOOKUP('Données projet'!$B$11,Paramètres!$A$1:$I$89,5,0)</f>
        <v>212.28480000000002</v>
      </c>
      <c r="BF189" s="13">
        <f t="shared" si="167"/>
        <v>52.434557099704193</v>
      </c>
      <c r="BG189" s="20">
        <f t="shared" si="168"/>
        <v>461.05288028198476</v>
      </c>
      <c r="BH189" s="59">
        <f t="shared" si="116"/>
        <v>754.38621361531807</v>
      </c>
      <c r="BI189" s="59">
        <f ca="1">AVERAGE(OFFSET($BH$3,0,0,'Données projet'!$E$11+1,1))-AVERAGE(OFFSET($H$3,0,0,'Données projet'!$E$11+1,1))</f>
        <v>268.27008134105046</v>
      </c>
      <c r="BJ189" s="59">
        <f t="shared" si="146"/>
        <v>252.36274686619709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10.223264296087454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10.223264296087454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0.8600000000003547</v>
      </c>
      <c r="O190" s="13">
        <f>N190*VLOOKUP('Données projet'!$B$9,Paramètres!$A$1:$I$89,3,0)*VLOOKUP('Données projet'!$B$9,Paramètres!$A$1:$I$89,5,0)</f>
        <v>0.48074000000019829</v>
      </c>
      <c r="P190" s="13">
        <f t="shared" si="141"/>
        <v>0.24126147010950588</v>
      </c>
      <c r="Q190" s="20">
        <f t="shared" si="162"/>
        <v>1.2574858937744013</v>
      </c>
      <c r="R190" s="59">
        <f t="shared" si="109"/>
        <v>294.59081922710772</v>
      </c>
      <c r="S190" s="59">
        <f ca="1">AVERAGE(OFFSET($R$3,0,0,'Données projet'!$E$9+1,1))-AVERAGE(OFFSET($H$3,0,0,'Données projet'!$E$9+1,1))</f>
        <v>350.01600895263641</v>
      </c>
      <c r="T190" s="59">
        <f t="shared" si="142"/>
        <v>464.08921044376882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27.226034144287755</v>
      </c>
      <c r="AA190" s="21">
        <f>EXP(-LN(2)/25)*AA189+(1-EXP(-LN(2)/25))/(LN(2)/25)*Calculateur!V190*Calculateur!X190*VLOOKUP('Données projet'!$B$9,Paramètres!$A$1:$I$89,3,0)*0.475*44/12</f>
        <v>0.65078195269169703</v>
      </c>
      <c r="AB190" s="21">
        <f>EXP(-LN(2)/2)*AB189+(1-EXP(-LN(2)/2))/(LN(2)/2)*V190*Y190*VLOOKUP('Données projet'!$B$9,Paramètres!$A$1:$I$89,3,0)*0.475*44/12</f>
        <v>1.7311329285902237E-24</v>
      </c>
      <c r="AC190" s="22">
        <f t="shared" si="163"/>
        <v>27.876816096979454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277.99999999999994</v>
      </c>
      <c r="AJ190" s="13">
        <f>AI190*VLOOKUP('Données projet'!$B$10,Paramètres!$A$1:$I$89,3,0)*VLOOKUP('Données projet'!$B$10,Paramètres!$A$1:$I$89,5,0)</f>
        <v>151.78799999999998</v>
      </c>
      <c r="AK190" s="13">
        <f t="shared" si="164"/>
        <v>38.984634390835623</v>
      </c>
      <c r="AL190" s="20">
        <f t="shared" si="165"/>
        <v>332.26233823070532</v>
      </c>
      <c r="AM190" s="59">
        <f t="shared" si="113"/>
        <v>625.59567156403864</v>
      </c>
      <c r="AN190" s="59">
        <f ca="1">AVERAGE(OFFSET($AM$3,0,0,'Données projet'!$E$10+1,1))-AVERAGE(OFFSET($H$3,0,0,'Données projet'!$E$10+1,1))</f>
        <v>159.92263609041913</v>
      </c>
      <c r="AO190" s="59">
        <f t="shared" si="144"/>
        <v>271.78119133009307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1.6383402579875226</v>
      </c>
      <c r="AV190" s="21">
        <f>EXP(-LN(2)/25)*AV189+(1-EXP(-LN(2)/25))/(LN(2)/25)*Calculateur!AQ190*Calculateur!AS190*VLOOKUP('Données projet'!$B$10,Paramètres!$A$1:$I$89,3,0)*0.475*44/12</f>
        <v>1.2359201917945239</v>
      </c>
      <c r="AW190" s="21">
        <f>EXP(-LN(2)/2)*AW189+(1-EXP(-LN(2)/2))/(LN(2)/2)*AQ190*AT190*VLOOKUP('Données projet'!$B$10,Paramètres!$A$1:$I$89,3,0)*0.475*44/12</f>
        <v>5.9322965932834808E-26</v>
      </c>
      <c r="AX190" s="21">
        <f t="shared" si="166"/>
        <v>2.8742604497820468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243</v>
      </c>
      <c r="BE190" s="13">
        <f>BD190*VLOOKUP('Données projet'!$B$11,Paramètres!$A$1:$I$89,3,0)*VLOOKUP('Données projet'!$B$11,Paramètres!$A$1:$I$89,5,0)</f>
        <v>212.28480000000002</v>
      </c>
      <c r="BF190" s="13">
        <f t="shared" si="167"/>
        <v>52.434557099704193</v>
      </c>
      <c r="BG190" s="20">
        <f t="shared" si="168"/>
        <v>461.05288028198476</v>
      </c>
      <c r="BH190" s="59">
        <f t="shared" si="116"/>
        <v>754.38621361531807</v>
      </c>
      <c r="BI190" s="59">
        <f ca="1">AVERAGE(OFFSET($BH$3,0,0,'Données projet'!$E$11+1,1))-AVERAGE(OFFSET($H$3,0,0,'Données projet'!$E$11+1,1))</f>
        <v>268.27008134105046</v>
      </c>
      <c r="BJ190" s="59">
        <f t="shared" si="146"/>
        <v>252.36274686619709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10.022792318816688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10.022792318816688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0.8600000000003547</v>
      </c>
      <c r="O191" s="13">
        <f>N191*VLOOKUP('Données projet'!$B$9,Paramètres!$A$1:$I$89,3,0)*VLOOKUP('Données projet'!$B$9,Paramètres!$A$1:$I$89,5,0)</f>
        <v>0.48074000000019829</v>
      </c>
      <c r="P191" s="13">
        <f t="shared" si="141"/>
        <v>0.24126147010950588</v>
      </c>
      <c r="Q191" s="20">
        <f t="shared" si="162"/>
        <v>1.2574858937744013</v>
      </c>
      <c r="R191" s="59">
        <f t="shared" si="109"/>
        <v>294.59081922710772</v>
      </c>
      <c r="S191" s="59">
        <f ca="1">AVERAGE(OFFSET($R$3,0,0,'Données projet'!$E$9+1,1))-AVERAGE(OFFSET($H$3,0,0,'Données projet'!$E$9+1,1))</f>
        <v>350.01600895263641</v>
      </c>
      <c r="T191" s="59">
        <f t="shared" si="142"/>
        <v>464.08921044376882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26.692148220959371</v>
      </c>
      <c r="AA191" s="21">
        <f>EXP(-LN(2)/25)*AA190+(1-EXP(-LN(2)/25))/(LN(2)/25)*Calculateur!V191*Calculateur!X191*VLOOKUP('Données projet'!$B$9,Paramètres!$A$1:$I$89,3,0)*0.475*44/12</f>
        <v>0.63298628597220707</v>
      </c>
      <c r="AB191" s="21">
        <f>EXP(-LN(2)/2)*AB190+(1-EXP(-LN(2)/2))/(LN(2)/2)*V191*Y191*VLOOKUP('Données projet'!$B$9,Paramètres!$A$1:$I$89,3,0)*0.475*44/12</f>
        <v>1.2240958329414745E-24</v>
      </c>
      <c r="AC191" s="22">
        <f t="shared" si="163"/>
        <v>27.32513450693158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277.99999999999994</v>
      </c>
      <c r="AJ191" s="13">
        <f>AI191*VLOOKUP('Données projet'!$B$10,Paramètres!$A$1:$I$89,3,0)*VLOOKUP('Données projet'!$B$10,Paramètres!$A$1:$I$89,5,0)</f>
        <v>151.78799999999998</v>
      </c>
      <c r="AK191" s="13">
        <f t="shared" si="164"/>
        <v>38.984634390835623</v>
      </c>
      <c r="AL191" s="20">
        <f t="shared" si="165"/>
        <v>332.26233823070532</v>
      </c>
      <c r="AM191" s="59">
        <f t="shared" si="113"/>
        <v>625.59567156403864</v>
      </c>
      <c r="AN191" s="59">
        <f ca="1">AVERAGE(OFFSET($AM$3,0,0,'Données projet'!$E$10+1,1))-AVERAGE(OFFSET($H$3,0,0,'Données projet'!$E$10+1,1))</f>
        <v>159.92263609041913</v>
      </c>
      <c r="AO191" s="59">
        <f t="shared" si="144"/>
        <v>271.78119133009307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1.6062134048172731</v>
      </c>
      <c r="AV191" s="21">
        <f>EXP(-LN(2)/25)*AV190+(1-EXP(-LN(2)/25))/(LN(2)/25)*Calculateur!AQ191*Calculateur!AS191*VLOOKUP('Données projet'!$B$10,Paramètres!$A$1:$I$89,3,0)*0.475*44/12</f>
        <v>1.2021238891556845</v>
      </c>
      <c r="AW191" s="21">
        <f>EXP(-LN(2)/2)*AW190+(1-EXP(-LN(2)/2))/(LN(2)/2)*AQ191*AT191*VLOOKUP('Données projet'!$B$10,Paramètres!$A$1:$I$89,3,0)*0.475*44/12</f>
        <v>4.1947671491206037E-26</v>
      </c>
      <c r="AX191" s="21">
        <f t="shared" si="166"/>
        <v>2.8083372939729578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243</v>
      </c>
      <c r="BE191" s="13">
        <f>BD191*VLOOKUP('Données projet'!$B$11,Paramètres!$A$1:$I$89,3,0)*VLOOKUP('Données projet'!$B$11,Paramètres!$A$1:$I$89,5,0)</f>
        <v>212.28480000000002</v>
      </c>
      <c r="BF191" s="13">
        <f t="shared" si="167"/>
        <v>52.434557099704193</v>
      </c>
      <c r="BG191" s="20">
        <f t="shared" si="168"/>
        <v>461.05288028198476</v>
      </c>
      <c r="BH191" s="59">
        <f t="shared" si="116"/>
        <v>754.38621361531807</v>
      </c>
      <c r="BI191" s="59">
        <f ca="1">AVERAGE(OFFSET($BH$3,0,0,'Données projet'!$E$11+1,1))-AVERAGE(OFFSET($H$3,0,0,'Données projet'!$E$11+1,1))</f>
        <v>268.27008134105046</v>
      </c>
      <c r="BJ191" s="59">
        <f t="shared" si="146"/>
        <v>252.36274686619709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9.8262514747443692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9.8262514747443692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0.8600000000003547</v>
      </c>
      <c r="O192" s="13">
        <f>N192*VLOOKUP('Données projet'!$B$9,Paramètres!$A$1:$I$89,3,0)*VLOOKUP('Données projet'!$B$9,Paramètres!$A$1:$I$89,5,0)</f>
        <v>0.48074000000019829</v>
      </c>
      <c r="P192" s="13">
        <f t="shared" si="141"/>
        <v>0.24126147010950588</v>
      </c>
      <c r="Q192" s="20">
        <f t="shared" si="162"/>
        <v>1.2574858937744013</v>
      </c>
      <c r="R192" s="59">
        <f t="shared" si="109"/>
        <v>294.59081922710772</v>
      </c>
      <c r="S192" s="59">
        <f ca="1">AVERAGE(OFFSET($R$3,0,0,'Données projet'!$E$9+1,1))-AVERAGE(OFFSET($H$3,0,0,'Données projet'!$E$9+1,1))</f>
        <v>350.01600895263641</v>
      </c>
      <c r="T192" s="59">
        <f t="shared" si="142"/>
        <v>464.08921044376882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26.168731474949197</v>
      </c>
      <c r="AA192" s="21">
        <f>EXP(-LN(2)/25)*AA191+(1-EXP(-LN(2)/25))/(LN(2)/25)*Calculateur!V192*Calculateur!X192*VLOOKUP('Données projet'!$B$9,Paramètres!$A$1:$I$89,3,0)*0.475*44/12</f>
        <v>0.61567724269499502</v>
      </c>
      <c r="AB192" s="21">
        <f>EXP(-LN(2)/2)*AB191+(1-EXP(-LN(2)/2))/(LN(2)/2)*V192*Y192*VLOOKUP('Données projet'!$B$9,Paramètres!$A$1:$I$89,3,0)*0.475*44/12</f>
        <v>8.6556646429511183E-25</v>
      </c>
      <c r="AC192" s="22">
        <f t="shared" si="163"/>
        <v>26.784408717644194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277.99999999999994</v>
      </c>
      <c r="AJ192" s="13">
        <f>AI192*VLOOKUP('Données projet'!$B$10,Paramètres!$A$1:$I$89,3,0)*VLOOKUP('Données projet'!$B$10,Paramètres!$A$1:$I$89,5,0)</f>
        <v>151.78799999999998</v>
      </c>
      <c r="AK192" s="13">
        <f t="shared" si="164"/>
        <v>38.984634390835623</v>
      </c>
      <c r="AL192" s="20">
        <f t="shared" si="165"/>
        <v>332.26233823070532</v>
      </c>
      <c r="AM192" s="59">
        <f t="shared" si="113"/>
        <v>625.59567156403864</v>
      </c>
      <c r="AN192" s="59">
        <f ca="1">AVERAGE(OFFSET($AM$3,0,0,'Données projet'!$E$10+1,1))-AVERAGE(OFFSET($H$3,0,0,'Données projet'!$E$10+1,1))</f>
        <v>159.92263609041913</v>
      </c>
      <c r="AO192" s="59">
        <f t="shared" si="144"/>
        <v>271.78119133009307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1.5747165396422467</v>
      </c>
      <c r="AV192" s="21">
        <f>EXP(-LN(2)/25)*AV191+(1-EXP(-LN(2)/25))/(LN(2)/25)*Calculateur!AQ192*Calculateur!AS192*VLOOKUP('Données projet'!$B$10,Paramètres!$A$1:$I$89,3,0)*0.475*44/12</f>
        <v>1.1692517481897744</v>
      </c>
      <c r="AW192" s="21">
        <f>EXP(-LN(2)/2)*AW191+(1-EXP(-LN(2)/2))/(LN(2)/2)*AQ192*AT192*VLOOKUP('Données projet'!$B$10,Paramètres!$A$1:$I$89,3,0)*0.475*44/12</f>
        <v>2.9661482966417404E-26</v>
      </c>
      <c r="AX192" s="21">
        <f t="shared" si="166"/>
        <v>2.7439682878320211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243</v>
      </c>
      <c r="BE192" s="13">
        <f>BD192*VLOOKUP('Données projet'!$B$11,Paramètres!$A$1:$I$89,3,0)*VLOOKUP('Données projet'!$B$11,Paramètres!$A$1:$I$89,5,0)</f>
        <v>212.28480000000002</v>
      </c>
      <c r="BF192" s="13">
        <f t="shared" si="167"/>
        <v>52.434557099704193</v>
      </c>
      <c r="BG192" s="20">
        <f t="shared" si="168"/>
        <v>461.05288028198476</v>
      </c>
      <c r="BH192" s="59">
        <f t="shared" si="116"/>
        <v>754.38621361531807</v>
      </c>
      <c r="BI192" s="59">
        <f ca="1">AVERAGE(OFFSET($BH$3,0,0,'Données projet'!$E$11+1,1))-AVERAGE(OFFSET($H$3,0,0,'Données projet'!$E$11+1,1))</f>
        <v>268.27008134105046</v>
      </c>
      <c r="BJ192" s="59">
        <f t="shared" si="146"/>
        <v>252.36274686619709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9.6335646767462304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9.6335646767462304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0.8600000000003547</v>
      </c>
      <c r="O193" s="13">
        <f>N193*VLOOKUP('Données projet'!$B$9,Paramètres!$A$1:$I$89,3,0)*VLOOKUP('Données projet'!$B$9,Paramètres!$A$1:$I$89,5,0)</f>
        <v>0.48074000000019829</v>
      </c>
      <c r="P193" s="13">
        <f t="shared" si="141"/>
        <v>0.24126147010950588</v>
      </c>
      <c r="Q193" s="20">
        <f t="shared" si="162"/>
        <v>1.2574858937744013</v>
      </c>
      <c r="R193" s="59">
        <f t="shared" si="109"/>
        <v>294.59081922710772</v>
      </c>
      <c r="S193" s="59">
        <f ca="1">AVERAGE(OFFSET($R$3,0,0,'Données projet'!$E$9+1,1))-AVERAGE(OFFSET($H$3,0,0,'Données projet'!$E$9+1,1))</f>
        <v>350.01600895263641</v>
      </c>
      <c r="T193" s="59">
        <f t="shared" si="142"/>
        <v>464.08921044376882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25.65557861207559</v>
      </c>
      <c r="AA193" s="21">
        <f>EXP(-LN(2)/25)*AA192+(1-EXP(-LN(2)/25))/(LN(2)/25)*Calculateur!V193*Calculateur!X193*VLOOKUP('Données projet'!$B$9,Paramètres!$A$1:$I$89,3,0)*0.475*44/12</f>
        <v>0.59884151611644132</v>
      </c>
      <c r="AB193" s="21">
        <f>EXP(-LN(2)/2)*AB192+(1-EXP(-LN(2)/2))/(LN(2)/2)*V193*Y193*VLOOKUP('Données projet'!$B$9,Paramètres!$A$1:$I$89,3,0)*0.475*44/12</f>
        <v>6.1204791647073726E-25</v>
      </c>
      <c r="AC193" s="22">
        <f t="shared" si="163"/>
        <v>26.254420128192031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277.99999999999994</v>
      </c>
      <c r="AJ193" s="13">
        <f>AI193*VLOOKUP('Données projet'!$B$10,Paramètres!$A$1:$I$89,3,0)*VLOOKUP('Données projet'!$B$10,Paramètres!$A$1:$I$89,5,0)</f>
        <v>151.78799999999998</v>
      </c>
      <c r="AK193" s="13">
        <f t="shared" si="164"/>
        <v>38.984634390835623</v>
      </c>
      <c r="AL193" s="20">
        <f t="shared" si="165"/>
        <v>332.26233823070532</v>
      </c>
      <c r="AM193" s="59">
        <f t="shared" si="113"/>
        <v>625.59567156403864</v>
      </c>
      <c r="AN193" s="59">
        <f ca="1">AVERAGE(OFFSET($AM$3,0,0,'Données projet'!$E$10+1,1))-AVERAGE(OFFSET($H$3,0,0,'Données projet'!$E$10+1,1))</f>
        <v>159.92263609041913</v>
      </c>
      <c r="AO193" s="59">
        <f t="shared" si="144"/>
        <v>271.78119133009307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1.5438373087821116</v>
      </c>
      <c r="AV193" s="21">
        <f>EXP(-LN(2)/25)*AV192+(1-EXP(-LN(2)/25))/(LN(2)/25)*Calculateur!AQ193*Calculateur!AS193*VLOOKUP('Données projet'!$B$10,Paramètres!$A$1:$I$89,3,0)*0.475*44/12</f>
        <v>1.1372784976472479</v>
      </c>
      <c r="AW193" s="21">
        <f>EXP(-LN(2)/2)*AW192+(1-EXP(-LN(2)/2))/(LN(2)/2)*AQ193*AT193*VLOOKUP('Données projet'!$B$10,Paramètres!$A$1:$I$89,3,0)*0.475*44/12</f>
        <v>2.0973835745603018E-26</v>
      </c>
      <c r="AX193" s="21">
        <f t="shared" si="166"/>
        <v>2.6811158064293594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243</v>
      </c>
      <c r="BE193" s="13">
        <f>BD193*VLOOKUP('Données projet'!$B$11,Paramètres!$A$1:$I$89,3,0)*VLOOKUP('Données projet'!$B$11,Paramètres!$A$1:$I$89,5,0)</f>
        <v>212.28480000000002</v>
      </c>
      <c r="BF193" s="13">
        <f t="shared" si="167"/>
        <v>52.434557099704193</v>
      </c>
      <c r="BG193" s="20">
        <f t="shared" si="168"/>
        <v>461.05288028198476</v>
      </c>
      <c r="BH193" s="59">
        <f t="shared" si="116"/>
        <v>754.38621361531807</v>
      </c>
      <c r="BI193" s="59">
        <f ca="1">AVERAGE(OFFSET($BH$3,0,0,'Données projet'!$E$11+1,1))-AVERAGE(OFFSET($H$3,0,0,'Données projet'!$E$11+1,1))</f>
        <v>268.27008134105046</v>
      </c>
      <c r="BJ193" s="59">
        <f t="shared" si="146"/>
        <v>252.36274686619709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9.4446563493294935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9.4446563493294935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0.8600000000003547</v>
      </c>
      <c r="O194" s="13">
        <f>N194*VLOOKUP('Données projet'!$B$9,Paramètres!$A$1:$I$89,3,0)*VLOOKUP('Données projet'!$B$9,Paramètres!$A$1:$I$89,5,0)</f>
        <v>0.48074000000019829</v>
      </c>
      <c r="P194" s="13">
        <f t="shared" si="141"/>
        <v>0.24126147010950588</v>
      </c>
      <c r="Q194" s="20">
        <f t="shared" si="162"/>
        <v>1.2574858937744013</v>
      </c>
      <c r="R194" s="59">
        <f t="shared" si="109"/>
        <v>294.59081922710772</v>
      </c>
      <c r="S194" s="59">
        <f ca="1">AVERAGE(OFFSET($R$3,0,0,'Données projet'!$E$9+1,1))-AVERAGE(OFFSET($H$3,0,0,'Données projet'!$E$9+1,1))</f>
        <v>350.01600895263641</v>
      </c>
      <c r="T194" s="59">
        <f t="shared" si="142"/>
        <v>464.08921044376882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25.152488363850594</v>
      </c>
      <c r="AA194" s="21">
        <f>EXP(-LN(2)/25)*AA193+(1-EXP(-LN(2)/25))/(LN(2)/25)*Calculateur!V194*Calculateur!X194*VLOOKUP('Données projet'!$B$9,Paramètres!$A$1:$I$89,3,0)*0.475*44/12</f>
        <v>0.58246616336653056</v>
      </c>
      <c r="AB194" s="21">
        <f>EXP(-LN(2)/2)*AB193+(1-EXP(-LN(2)/2))/(LN(2)/2)*V194*Y194*VLOOKUP('Données projet'!$B$9,Paramètres!$A$1:$I$89,3,0)*0.475*44/12</f>
        <v>4.3278323214755591E-25</v>
      </c>
      <c r="AC194" s="22">
        <f t="shared" si="163"/>
        <v>25.734954527217123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277.99999999999994</v>
      </c>
      <c r="AJ194" s="13">
        <f>AI194*VLOOKUP('Données projet'!$B$10,Paramètres!$A$1:$I$89,3,0)*VLOOKUP('Données projet'!$B$10,Paramètres!$A$1:$I$89,5,0)</f>
        <v>151.78799999999998</v>
      </c>
      <c r="AK194" s="13">
        <f t="shared" si="164"/>
        <v>38.984634390835623</v>
      </c>
      <c r="AL194" s="20">
        <f t="shared" si="165"/>
        <v>332.26233823070532</v>
      </c>
      <c r="AM194" s="59">
        <f t="shared" si="113"/>
        <v>625.59567156403864</v>
      </c>
      <c r="AN194" s="59">
        <f ca="1">AVERAGE(OFFSET($AM$3,0,0,'Données projet'!$E$10+1,1))-AVERAGE(OFFSET($H$3,0,0,'Données projet'!$E$10+1,1))</f>
        <v>159.92263609041913</v>
      </c>
      <c r="AO194" s="59">
        <f t="shared" si="144"/>
        <v>271.78119133009307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1.5135636008046727</v>
      </c>
      <c r="AV194" s="21">
        <f>EXP(-LN(2)/25)*AV193+(1-EXP(-LN(2)/25))/(LN(2)/25)*Calculateur!AQ194*Calculateur!AS194*VLOOKUP('Données projet'!$B$10,Paramètres!$A$1:$I$89,3,0)*0.475*44/12</f>
        <v>1.1061795573222071</v>
      </c>
      <c r="AW194" s="21">
        <f>EXP(-LN(2)/2)*AW193+(1-EXP(-LN(2)/2))/(LN(2)/2)*AQ194*AT194*VLOOKUP('Données projet'!$B$10,Paramètres!$A$1:$I$89,3,0)*0.475*44/12</f>
        <v>1.4830741483208702E-26</v>
      </c>
      <c r="AX194" s="21">
        <f t="shared" si="166"/>
        <v>2.6197431581268797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243</v>
      </c>
      <c r="BE194" s="13">
        <f>BD194*VLOOKUP('Données projet'!$B$11,Paramètres!$A$1:$I$89,3,0)*VLOOKUP('Données projet'!$B$11,Paramètres!$A$1:$I$89,5,0)</f>
        <v>212.28480000000002</v>
      </c>
      <c r="BF194" s="13">
        <f t="shared" si="167"/>
        <v>52.434557099704193</v>
      </c>
      <c r="BG194" s="20">
        <f t="shared" si="168"/>
        <v>461.05288028198476</v>
      </c>
      <c r="BH194" s="59">
        <f t="shared" si="116"/>
        <v>754.38621361531807</v>
      </c>
      <c r="BI194" s="59">
        <f ca="1">AVERAGE(OFFSET($BH$3,0,0,'Données projet'!$E$11+1,1))-AVERAGE(OFFSET($H$3,0,0,'Données projet'!$E$11+1,1))</f>
        <v>268.27008134105046</v>
      </c>
      <c r="BJ194" s="59">
        <f t="shared" si="146"/>
        <v>252.36274686619709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9.2594523989906961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9.2594523989906961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0.8600000000003547</v>
      </c>
      <c r="O195" s="13">
        <f>N195*VLOOKUP('Données projet'!$B$9,Paramètres!$A$1:$I$89,3,0)*VLOOKUP('Données projet'!$B$9,Paramètres!$A$1:$I$89,5,0)</f>
        <v>0.48074000000019829</v>
      </c>
      <c r="P195" s="13">
        <f t="shared" si="141"/>
        <v>0.24126147010950588</v>
      </c>
      <c r="Q195" s="20">
        <f t="shared" si="162"/>
        <v>1.2574858937744013</v>
      </c>
      <c r="R195" s="59">
        <f t="shared" ref="R195:R203" si="191">Q195+(I195+J195)*44/12</f>
        <v>294.59081922710772</v>
      </c>
      <c r="S195" s="59">
        <f ca="1">AVERAGE(OFFSET($R$3,0,0,'Données projet'!$E$9+1,1))-AVERAGE(OFFSET($H$3,0,0,'Données projet'!$E$9+1,1))</f>
        <v>350.01600895263641</v>
      </c>
      <c r="T195" s="59">
        <f t="shared" si="142"/>
        <v>464.08921044376882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24.659263408538539</v>
      </c>
      <c r="AA195" s="21">
        <f>EXP(-LN(2)/25)*AA194+(1-EXP(-LN(2)/25))/(LN(2)/25)*Calculateur!V195*Calculateur!X195*VLOOKUP('Données projet'!$B$9,Paramètres!$A$1:$I$89,3,0)*0.475*44/12</f>
        <v>0.56653859549870855</v>
      </c>
      <c r="AB195" s="21">
        <f>EXP(-LN(2)/2)*AB194+(1-EXP(-LN(2)/2))/(LN(2)/2)*V195*Y195*VLOOKUP('Données projet'!$B$9,Paramètres!$A$1:$I$89,3,0)*0.475*44/12</f>
        <v>3.0602395823536863E-25</v>
      </c>
      <c r="AC195" s="22">
        <f t="shared" si="163"/>
        <v>25.225802004037249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277.99999999999994</v>
      </c>
      <c r="AJ195" s="13">
        <f>AI195*VLOOKUP('Données projet'!$B$10,Paramètres!$A$1:$I$89,3,0)*VLOOKUP('Données projet'!$B$10,Paramètres!$A$1:$I$89,5,0)</f>
        <v>151.78799999999998</v>
      </c>
      <c r="AK195" s="13">
        <f t="shared" si="164"/>
        <v>38.984634390835623</v>
      </c>
      <c r="AL195" s="20">
        <f t="shared" si="165"/>
        <v>332.26233823070532</v>
      </c>
      <c r="AM195" s="59">
        <f t="shared" si="113"/>
        <v>625.59567156403864</v>
      </c>
      <c r="AN195" s="59">
        <f ca="1">AVERAGE(OFFSET($AM$3,0,0,'Données projet'!$E$10+1,1))-AVERAGE(OFFSET($H$3,0,0,'Données projet'!$E$10+1,1))</f>
        <v>159.92263609041913</v>
      </c>
      <c r="AO195" s="59">
        <f t="shared" si="144"/>
        <v>271.78119133009307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1.4838835417755327</v>
      </c>
      <c r="AV195" s="21">
        <f>EXP(-LN(2)/25)*AV194+(1-EXP(-LN(2)/25))/(LN(2)/25)*Calculateur!AQ195*Calculateur!AS195*VLOOKUP('Données projet'!$B$10,Paramètres!$A$1:$I$89,3,0)*0.475*44/12</f>
        <v>1.0759310191557767</v>
      </c>
      <c r="AW195" s="21">
        <f>EXP(-LN(2)/2)*AW194+(1-EXP(-LN(2)/2))/(LN(2)/2)*AQ195*AT195*VLOOKUP('Données projet'!$B$10,Paramètres!$A$1:$I$89,3,0)*0.475*44/12</f>
        <v>1.0486917872801509E-26</v>
      </c>
      <c r="AX195" s="21">
        <f t="shared" si="166"/>
        <v>2.5598145609313097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243</v>
      </c>
      <c r="BE195" s="13">
        <f>BD195*VLOOKUP('Données projet'!$B$11,Paramètres!$A$1:$I$89,3,0)*VLOOKUP('Données projet'!$B$11,Paramètres!$A$1:$I$89,5,0)</f>
        <v>212.28480000000002</v>
      </c>
      <c r="BF195" s="13">
        <f t="shared" si="167"/>
        <v>52.434557099704193</v>
      </c>
      <c r="BG195" s="20">
        <f t="shared" si="168"/>
        <v>461.05288028198476</v>
      </c>
      <c r="BH195" s="59">
        <f t="shared" si="116"/>
        <v>754.38621361531807</v>
      </c>
      <c r="BI195" s="59">
        <f ca="1">AVERAGE(OFFSET($BH$3,0,0,'Données projet'!$E$11+1,1))-AVERAGE(OFFSET($H$3,0,0,'Données projet'!$E$11+1,1))</f>
        <v>268.27008134105046</v>
      </c>
      <c r="BJ195" s="59">
        <f t="shared" si="146"/>
        <v>252.36274686619709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9.0778801851547879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9.0778801851547879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0.8600000000003547</v>
      </c>
      <c r="O196" s="13">
        <f>N196*VLOOKUP('Données projet'!$B$9,Paramètres!$A$1:$I$89,3,0)*VLOOKUP('Données projet'!$B$9,Paramètres!$A$1:$I$89,5,0)</f>
        <v>0.48074000000019829</v>
      </c>
      <c r="P196" s="13">
        <f t="shared" si="141"/>
        <v>0.24126147010950588</v>
      </c>
      <c r="Q196" s="20">
        <f t="shared" si="162"/>
        <v>1.2574858937744013</v>
      </c>
      <c r="R196" s="59">
        <f t="shared" si="191"/>
        <v>294.59081922710772</v>
      </c>
      <c r="S196" s="59">
        <f ca="1">AVERAGE(OFFSET($R$3,0,0,'Données projet'!$E$9+1,1))-AVERAGE(OFFSET($H$3,0,0,'Données projet'!$E$9+1,1))</f>
        <v>350.01600895263641</v>
      </c>
      <c r="T196" s="59">
        <f t="shared" si="142"/>
        <v>464.08921044376882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24.175710293762634</v>
      </c>
      <c r="AA196" s="21">
        <f>EXP(-LN(2)/25)*AA195+(1-EXP(-LN(2)/25))/(LN(2)/25)*Calculateur!V196*Calculateur!X196*VLOOKUP('Données projet'!$B$9,Paramètres!$A$1:$I$89,3,0)*0.475*44/12</f>
        <v>0.55104656781182648</v>
      </c>
      <c r="AB196" s="21">
        <f>EXP(-LN(2)/2)*AB195+(1-EXP(-LN(2)/2))/(LN(2)/2)*V196*Y196*VLOOKUP('Données projet'!$B$9,Paramètres!$A$1:$I$89,3,0)*0.475*44/12</f>
        <v>2.1639161607377796E-25</v>
      </c>
      <c r="AC196" s="22">
        <f t="shared" si="163"/>
        <v>24.726756861574462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277.99999999999994</v>
      </c>
      <c r="AJ196" s="13">
        <f>AI196*VLOOKUP('Données projet'!$B$10,Paramètres!$A$1:$I$89,3,0)*VLOOKUP('Données projet'!$B$10,Paramètres!$A$1:$I$89,5,0)</f>
        <v>151.78799999999998</v>
      </c>
      <c r="AK196" s="13">
        <f t="shared" si="164"/>
        <v>38.984634390835623</v>
      </c>
      <c r="AL196" s="20">
        <f t="shared" si="165"/>
        <v>332.26233823070532</v>
      </c>
      <c r="AM196" s="59">
        <f t="shared" ref="AM196:AM203" si="193">AL196+(AD196+AE196)*44/12</f>
        <v>625.59567156403864</v>
      </c>
      <c r="AN196" s="59">
        <f ca="1">AVERAGE(OFFSET($AM$3,0,0,'Données projet'!$E$10+1,1))-AVERAGE(OFFSET($H$3,0,0,'Données projet'!$E$10+1,1))</f>
        <v>159.92263609041913</v>
      </c>
      <c r="AO196" s="59">
        <f t="shared" si="144"/>
        <v>271.78119133009307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1.4547854906009059</v>
      </c>
      <c r="AV196" s="21">
        <f>EXP(-LN(2)/25)*AV195+(1-EXP(-LN(2)/25))/(LN(2)/25)*Calculateur!AQ196*Calculateur!AS196*VLOOKUP('Données projet'!$B$10,Paramètres!$A$1:$I$89,3,0)*0.475*44/12</f>
        <v>1.0465096288562088</v>
      </c>
      <c r="AW196" s="21">
        <f>EXP(-LN(2)/2)*AW195+(1-EXP(-LN(2)/2))/(LN(2)/2)*AQ196*AT196*VLOOKUP('Données projet'!$B$10,Paramètres!$A$1:$I$89,3,0)*0.475*44/12</f>
        <v>7.415370741604351E-27</v>
      </c>
      <c r="AX196" s="21">
        <f t="shared" si="166"/>
        <v>2.5012951194571147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243</v>
      </c>
      <c r="BE196" s="13">
        <f>BD196*VLOOKUP('Données projet'!$B$11,Paramètres!$A$1:$I$89,3,0)*VLOOKUP('Données projet'!$B$11,Paramètres!$A$1:$I$89,5,0)</f>
        <v>212.28480000000002</v>
      </c>
      <c r="BF196" s="13">
        <f t="shared" si="167"/>
        <v>52.434557099704193</v>
      </c>
      <c r="BG196" s="20">
        <f t="shared" si="168"/>
        <v>461.05288028198476</v>
      </c>
      <c r="BH196" s="59">
        <f t="shared" ref="BH196:BH203" si="194">BG196+(AY196+AZ196)*44/12</f>
        <v>754.38621361531807</v>
      </c>
      <c r="BI196" s="59">
        <f ca="1">AVERAGE(OFFSET($BH$3,0,0,'Données projet'!$E$11+1,1))-AVERAGE(OFFSET($H$3,0,0,'Données projet'!$E$11+1,1))</f>
        <v>268.27008134105046</v>
      </c>
      <c r="BJ196" s="59">
        <f t="shared" si="146"/>
        <v>252.36274686619709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8.8998684916840869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8.8998684916840869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0.8600000000003547</v>
      </c>
      <c r="O197" s="13">
        <f>N197*VLOOKUP('Données projet'!$B$9,Paramètres!$A$1:$I$89,3,0)*VLOOKUP('Données projet'!$B$9,Paramètres!$A$1:$I$89,5,0)</f>
        <v>0.48074000000019829</v>
      </c>
      <c r="P197" s="13">
        <f t="shared" ref="P197:P203" si="203">EXP(-1.0587+0.8836*LN(O197)+0.284)</f>
        <v>0.24126147010950588</v>
      </c>
      <c r="Q197" s="20">
        <f t="shared" si="162"/>
        <v>1.2574858937744013</v>
      </c>
      <c r="R197" s="59">
        <f t="shared" si="191"/>
        <v>294.59081922710772</v>
      </c>
      <c r="S197" s="59">
        <f ca="1">AVERAGE(OFFSET($R$3,0,0,'Données projet'!$E$9+1,1))-AVERAGE(OFFSET($H$3,0,0,'Données projet'!$E$9+1,1))</f>
        <v>350.01600895263641</v>
      </c>
      <c r="T197" s="59">
        <f t="shared" ref="T197:T203" si="204">$T$3</f>
        <v>464.08921044376882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23.701639360629208</v>
      </c>
      <c r="AA197" s="21">
        <f>EXP(-LN(2)/25)*AA196+(1-EXP(-LN(2)/25))/(LN(2)/25)*Calculateur!V197*Calculateur!X197*VLOOKUP('Données projet'!$B$9,Paramètres!$A$1:$I$89,3,0)*0.475*44/12</f>
        <v>0.53597817043673257</v>
      </c>
      <c r="AB197" s="21">
        <f>EXP(-LN(2)/2)*AB196+(1-EXP(-LN(2)/2))/(LN(2)/2)*V197*Y197*VLOOKUP('Données projet'!$B$9,Paramètres!$A$1:$I$89,3,0)*0.475*44/12</f>
        <v>1.5301197911768432E-25</v>
      </c>
      <c r="AC197" s="22">
        <f t="shared" si="163"/>
        <v>24.23761753106594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277.99999999999994</v>
      </c>
      <c r="AJ197" s="13">
        <f>AI197*VLOOKUP('Données projet'!$B$10,Paramètres!$A$1:$I$89,3,0)*VLOOKUP('Données projet'!$B$10,Paramètres!$A$1:$I$89,5,0)</f>
        <v>151.78799999999998</v>
      </c>
      <c r="AK197" s="13">
        <f t="shared" si="164"/>
        <v>38.984634390835623</v>
      </c>
      <c r="AL197" s="20">
        <f t="shared" si="165"/>
        <v>332.26233823070532</v>
      </c>
      <c r="AM197" s="59">
        <f t="shared" si="193"/>
        <v>625.59567156403864</v>
      </c>
      <c r="AN197" s="59">
        <f ca="1">AVERAGE(OFFSET($AM$3,0,0,'Données projet'!$E$10+1,1))-AVERAGE(OFFSET($H$3,0,0,'Données projet'!$E$10+1,1))</f>
        <v>159.92263609041913</v>
      </c>
      <c r="AO197" s="59">
        <f t="shared" ref="AO197:AO203" si="205">$AO$3</f>
        <v>271.78119133009307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1.4262580344617546</v>
      </c>
      <c r="AV197" s="21">
        <f>EXP(-LN(2)/25)*AV196+(1-EXP(-LN(2)/25))/(LN(2)/25)*Calculateur!AQ197*Calculateur!AS197*VLOOKUP('Données projet'!$B$10,Paramètres!$A$1:$I$89,3,0)*0.475*44/12</f>
        <v>1.0178927680215861</v>
      </c>
      <c r="AW197" s="21">
        <f>EXP(-LN(2)/2)*AW196+(1-EXP(-LN(2)/2))/(LN(2)/2)*AQ197*AT197*VLOOKUP('Données projet'!$B$10,Paramètres!$A$1:$I$89,3,0)*0.475*44/12</f>
        <v>5.2434589364007546E-27</v>
      </c>
      <c r="AX197" s="21">
        <f t="shared" si="166"/>
        <v>2.4441508024833407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243</v>
      </c>
      <c r="BE197" s="13">
        <f>BD197*VLOOKUP('Données projet'!$B$11,Paramètres!$A$1:$I$89,3,0)*VLOOKUP('Données projet'!$B$11,Paramètres!$A$1:$I$89,5,0)</f>
        <v>212.28480000000002</v>
      </c>
      <c r="BF197" s="13">
        <f t="shared" si="167"/>
        <v>52.434557099704193</v>
      </c>
      <c r="BG197" s="20">
        <f t="shared" si="168"/>
        <v>461.05288028198476</v>
      </c>
      <c r="BH197" s="59">
        <f t="shared" si="194"/>
        <v>754.38621361531807</v>
      </c>
      <c r="BI197" s="59">
        <f ca="1">AVERAGE(OFFSET($BH$3,0,0,'Données projet'!$E$11+1,1))-AVERAGE(OFFSET($H$3,0,0,'Données projet'!$E$11+1,1))</f>
        <v>268.27008134105046</v>
      </c>
      <c r="BJ197" s="59">
        <f t="shared" ref="BJ197:BJ203" si="206">$BJ$3</f>
        <v>252.36274686619709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8.7253474989459328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8.7253474989459328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0.8600000000003547</v>
      </c>
      <c r="O198" s="13">
        <f>N198*VLOOKUP('Données projet'!$B$9,Paramètres!$A$1:$I$89,3,0)*VLOOKUP('Données projet'!$B$9,Paramètres!$A$1:$I$89,5,0)</f>
        <v>0.48074000000019829</v>
      </c>
      <c r="P198" s="13">
        <f t="shared" si="203"/>
        <v>0.24126147010950588</v>
      </c>
      <c r="Q198" s="20">
        <f t="shared" si="162"/>
        <v>1.2574858937744013</v>
      </c>
      <c r="R198" s="59">
        <f t="shared" si="191"/>
        <v>294.59081922710772</v>
      </c>
      <c r="S198" s="59">
        <f ca="1">AVERAGE(OFFSET($R$3,0,0,'Données projet'!$E$9+1,1))-AVERAGE(OFFSET($H$3,0,0,'Données projet'!$E$9+1,1))</f>
        <v>350.01600895263641</v>
      </c>
      <c r="T198" s="59">
        <f t="shared" si="204"/>
        <v>464.08921044376882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23.236864669339813</v>
      </c>
      <c r="AA198" s="21">
        <f>EXP(-LN(2)/25)*AA197+(1-EXP(-LN(2)/25))/(LN(2)/25)*Calculateur!V198*Calculateur!X198*VLOOKUP('Données projet'!$B$9,Paramètres!$A$1:$I$89,3,0)*0.475*44/12</f>
        <v>0.52132181918027309</v>
      </c>
      <c r="AB198" s="21">
        <f>EXP(-LN(2)/2)*AB197+(1-EXP(-LN(2)/2))/(LN(2)/2)*V198*Y198*VLOOKUP('Données projet'!$B$9,Paramètres!$A$1:$I$89,3,0)*0.475*44/12</f>
        <v>1.0819580803688898E-25</v>
      </c>
      <c r="AC198" s="22">
        <f t="shared" si="163"/>
        <v>23.758186488520085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277.99999999999994</v>
      </c>
      <c r="AJ198" s="13">
        <f>AI198*VLOOKUP('Données projet'!$B$10,Paramètres!$A$1:$I$89,3,0)*VLOOKUP('Données projet'!$B$10,Paramètres!$A$1:$I$89,5,0)</f>
        <v>151.78799999999998</v>
      </c>
      <c r="AK198" s="13">
        <f t="shared" si="164"/>
        <v>38.984634390835623</v>
      </c>
      <c r="AL198" s="20">
        <f t="shared" si="165"/>
        <v>332.26233823070532</v>
      </c>
      <c r="AM198" s="59">
        <f t="shared" si="193"/>
        <v>625.59567156403864</v>
      </c>
      <c r="AN198" s="59">
        <f ca="1">AVERAGE(OFFSET($AM$3,0,0,'Données projet'!$E$10+1,1))-AVERAGE(OFFSET($H$3,0,0,'Données projet'!$E$10+1,1))</f>
        <v>159.92263609041913</v>
      </c>
      <c r="AO198" s="59">
        <f t="shared" si="205"/>
        <v>271.78119133009307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1.3982899843374621</v>
      </c>
      <c r="AV198" s="21">
        <f>EXP(-LN(2)/25)*AV197+(1-EXP(-LN(2)/25))/(LN(2)/25)*Calculateur!AQ198*Calculateur!AS198*VLOOKUP('Données projet'!$B$10,Paramètres!$A$1:$I$89,3,0)*0.475*44/12</f>
        <v>0.99005843675138161</v>
      </c>
      <c r="AW198" s="21">
        <f>EXP(-LN(2)/2)*AW197+(1-EXP(-LN(2)/2))/(LN(2)/2)*AQ198*AT198*VLOOKUP('Données projet'!$B$10,Paramètres!$A$1:$I$89,3,0)*0.475*44/12</f>
        <v>3.7076853708021755E-27</v>
      </c>
      <c r="AX198" s="21">
        <f t="shared" si="166"/>
        <v>2.3883484210888435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243</v>
      </c>
      <c r="BE198" s="13">
        <f>BD198*VLOOKUP('Données projet'!$B$11,Paramètres!$A$1:$I$89,3,0)*VLOOKUP('Données projet'!$B$11,Paramètres!$A$1:$I$89,5,0)</f>
        <v>212.28480000000002</v>
      </c>
      <c r="BF198" s="13">
        <f t="shared" si="167"/>
        <v>52.434557099704193</v>
      </c>
      <c r="BG198" s="20">
        <f t="shared" si="168"/>
        <v>461.05288028198476</v>
      </c>
      <c r="BH198" s="59">
        <f t="shared" si="194"/>
        <v>754.38621361531807</v>
      </c>
      <c r="BI198" s="59">
        <f ca="1">AVERAGE(OFFSET($BH$3,0,0,'Données projet'!$E$11+1,1))-AVERAGE(OFFSET($H$3,0,0,'Données projet'!$E$11+1,1))</f>
        <v>268.27008134105046</v>
      </c>
      <c r="BJ198" s="59">
        <f t="shared" si="206"/>
        <v>252.36274686619709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8.5542487564280805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8.5542487564280805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0.8600000000003547</v>
      </c>
      <c r="O199" s="13">
        <f>N199*VLOOKUP('Données projet'!$B$9,Paramètres!$A$1:$I$89,3,0)*VLOOKUP('Données projet'!$B$9,Paramètres!$A$1:$I$89,5,0)</f>
        <v>0.48074000000019829</v>
      </c>
      <c r="P199" s="13">
        <f t="shared" si="203"/>
        <v>0.24126147010950588</v>
      </c>
      <c r="Q199" s="20">
        <f t="shared" si="162"/>
        <v>1.2574858937744013</v>
      </c>
      <c r="R199" s="59">
        <f t="shared" si="191"/>
        <v>294.59081922710772</v>
      </c>
      <c r="S199" s="59">
        <f ca="1">AVERAGE(OFFSET($R$3,0,0,'Données projet'!$E$9+1,1))-AVERAGE(OFFSET($H$3,0,0,'Données projet'!$E$9+1,1))</f>
        <v>350.01600895263641</v>
      </c>
      <c r="T199" s="59">
        <f t="shared" si="204"/>
        <v>464.08921044376882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22.78120392626203</v>
      </c>
      <c r="AA199" s="21">
        <f>EXP(-LN(2)/25)*AA198+(1-EXP(-LN(2)/25))/(LN(2)/25)*Calculateur!V199*Calculateur!X199*VLOOKUP('Données projet'!$B$9,Paramètres!$A$1:$I$89,3,0)*0.475*44/12</f>
        <v>0.50706624661966559</v>
      </c>
      <c r="AB199" s="21">
        <f>EXP(-LN(2)/2)*AB198+(1-EXP(-LN(2)/2))/(LN(2)/2)*V199*Y199*VLOOKUP('Données projet'!$B$9,Paramètres!$A$1:$I$89,3,0)*0.475*44/12</f>
        <v>7.6505989558842158E-26</v>
      </c>
      <c r="AC199" s="22">
        <f t="shared" si="163"/>
        <v>23.288270172881695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277.99999999999994</v>
      </c>
      <c r="AJ199" s="13">
        <f>AI199*VLOOKUP('Données projet'!$B$10,Paramètres!$A$1:$I$89,3,0)*VLOOKUP('Données projet'!$B$10,Paramètres!$A$1:$I$89,5,0)</f>
        <v>151.78799999999998</v>
      </c>
      <c r="AK199" s="13">
        <f t="shared" si="164"/>
        <v>38.984634390835623</v>
      </c>
      <c r="AL199" s="20">
        <f t="shared" si="165"/>
        <v>332.26233823070532</v>
      </c>
      <c r="AM199" s="59">
        <f t="shared" si="193"/>
        <v>625.59567156403864</v>
      </c>
      <c r="AN199" s="59">
        <f ca="1">AVERAGE(OFFSET($AM$3,0,0,'Données projet'!$E$10+1,1))-AVERAGE(OFFSET($H$3,0,0,'Données projet'!$E$10+1,1))</f>
        <v>159.92263609041913</v>
      </c>
      <c r="AO199" s="59">
        <f t="shared" si="205"/>
        <v>271.78119133009307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1.3708703706172807</v>
      </c>
      <c r="AV199" s="21">
        <f>EXP(-LN(2)/25)*AV198+(1-EXP(-LN(2)/25))/(LN(2)/25)*Calculateur!AQ199*Calculateur!AS199*VLOOKUP('Données projet'!$B$10,Paramètres!$A$1:$I$89,3,0)*0.475*44/12</f>
        <v>0.96298523673350467</v>
      </c>
      <c r="AW199" s="21">
        <f>EXP(-LN(2)/2)*AW198+(1-EXP(-LN(2)/2))/(LN(2)/2)*AQ199*AT199*VLOOKUP('Données projet'!$B$10,Paramètres!$A$1:$I$89,3,0)*0.475*44/12</f>
        <v>2.6217294682003773E-27</v>
      </c>
      <c r="AX199" s="21">
        <f t="shared" si="166"/>
        <v>2.3338556073507855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243</v>
      </c>
      <c r="BE199" s="13">
        <f>BD199*VLOOKUP('Données projet'!$B$11,Paramètres!$A$1:$I$89,3,0)*VLOOKUP('Données projet'!$B$11,Paramètres!$A$1:$I$89,5,0)</f>
        <v>212.28480000000002</v>
      </c>
      <c r="BF199" s="13">
        <f t="shared" si="167"/>
        <v>52.434557099704193</v>
      </c>
      <c r="BG199" s="20">
        <f t="shared" si="168"/>
        <v>461.05288028198476</v>
      </c>
      <c r="BH199" s="59">
        <f t="shared" si="194"/>
        <v>754.38621361531807</v>
      </c>
      <c r="BI199" s="59">
        <f ca="1">AVERAGE(OFFSET($BH$3,0,0,'Données projet'!$E$11+1,1))-AVERAGE(OFFSET($H$3,0,0,'Données projet'!$E$11+1,1))</f>
        <v>268.27008134105046</v>
      </c>
      <c r="BJ199" s="59">
        <f t="shared" si="206"/>
        <v>252.36274686619709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8.3865051558910739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8.3865051558910739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0.8600000000003547</v>
      </c>
      <c r="O200" s="13">
        <f>N200*VLOOKUP('Données projet'!$B$9,Paramètres!$A$1:$I$89,3,0)*VLOOKUP('Données projet'!$B$9,Paramètres!$A$1:$I$89,5,0)</f>
        <v>0.48074000000019829</v>
      </c>
      <c r="P200" s="13">
        <f t="shared" si="203"/>
        <v>0.24126147010950588</v>
      </c>
      <c r="Q200" s="20">
        <f t="shared" si="162"/>
        <v>1.2574858937744013</v>
      </c>
      <c r="R200" s="59">
        <f t="shared" si="191"/>
        <v>294.59081922710772</v>
      </c>
      <c r="S200" s="59">
        <f ca="1">AVERAGE(OFFSET($R$3,0,0,'Données projet'!$E$9+1,1))-AVERAGE(OFFSET($H$3,0,0,'Données projet'!$E$9+1,1))</f>
        <v>350.01600895263641</v>
      </c>
      <c r="T200" s="59">
        <f t="shared" si="204"/>
        <v>464.08921044376882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22.334478412430393</v>
      </c>
      <c r="AA200" s="21">
        <f>EXP(-LN(2)/25)*AA199+(1-EXP(-LN(2)/25))/(LN(2)/25)*Calculateur!V200*Calculateur!X200*VLOOKUP('Données projet'!$B$9,Paramètres!$A$1:$I$89,3,0)*0.475*44/12</f>
        <v>0.49320049344039585</v>
      </c>
      <c r="AB200" s="21">
        <f>EXP(-LN(2)/2)*AB199+(1-EXP(-LN(2)/2))/(LN(2)/2)*V200*Y200*VLOOKUP('Données projet'!$B$9,Paramètres!$A$1:$I$89,3,0)*0.475*44/12</f>
        <v>5.4097904018444489E-26</v>
      </c>
      <c r="AC200" s="22">
        <f t="shared" si="163"/>
        <v>22.827678905870787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277.99999999999994</v>
      </c>
      <c r="AJ200" s="13">
        <f>AI200*VLOOKUP('Données projet'!$B$10,Paramètres!$A$1:$I$89,3,0)*VLOOKUP('Données projet'!$B$10,Paramètres!$A$1:$I$89,5,0)</f>
        <v>151.78799999999998</v>
      </c>
      <c r="AK200" s="13">
        <f t="shared" si="164"/>
        <v>38.984634390835623</v>
      </c>
      <c r="AL200" s="20">
        <f t="shared" si="165"/>
        <v>332.26233823070532</v>
      </c>
      <c r="AM200" s="59">
        <f t="shared" si="193"/>
        <v>625.59567156403864</v>
      </c>
      <c r="AN200" s="59">
        <f ca="1">AVERAGE(OFFSET($AM$3,0,0,'Données projet'!$E$10+1,1))-AVERAGE(OFFSET($H$3,0,0,'Données projet'!$E$10+1,1))</f>
        <v>159.92263609041913</v>
      </c>
      <c r="AO200" s="59">
        <f t="shared" si="205"/>
        <v>271.78119133009307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1.3439884387978391</v>
      </c>
      <c r="AV200" s="21">
        <f>EXP(-LN(2)/25)*AV199+(1-EXP(-LN(2)/25))/(LN(2)/25)*Calculateur!AQ200*Calculateur!AS200*VLOOKUP('Données projet'!$B$10,Paramètres!$A$1:$I$89,3,0)*0.475*44/12</f>
        <v>0.93665235479383435</v>
      </c>
      <c r="AW200" s="21">
        <f>EXP(-LN(2)/2)*AW199+(1-EXP(-LN(2)/2))/(LN(2)/2)*AQ200*AT200*VLOOKUP('Données projet'!$B$10,Paramètres!$A$1:$I$89,3,0)*0.475*44/12</f>
        <v>1.8538426854010877E-27</v>
      </c>
      <c r="AX200" s="21">
        <f t="shared" si="166"/>
        <v>2.2806407935916733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243</v>
      </c>
      <c r="BE200" s="13">
        <f>BD200*VLOOKUP('Données projet'!$B$11,Paramètres!$A$1:$I$89,3,0)*VLOOKUP('Données projet'!$B$11,Paramètres!$A$1:$I$89,5,0)</f>
        <v>212.28480000000002</v>
      </c>
      <c r="BF200" s="13">
        <f t="shared" si="167"/>
        <v>52.434557099704193</v>
      </c>
      <c r="BG200" s="20">
        <f t="shared" si="168"/>
        <v>461.05288028198476</v>
      </c>
      <c r="BH200" s="59">
        <f t="shared" si="194"/>
        <v>754.38621361531807</v>
      </c>
      <c r="BI200" s="59">
        <f ca="1">AVERAGE(OFFSET($BH$3,0,0,'Données projet'!$E$11+1,1))-AVERAGE(OFFSET($H$3,0,0,'Données projet'!$E$11+1,1))</f>
        <v>268.27008134105046</v>
      </c>
      <c r="BJ200" s="59">
        <f t="shared" si="206"/>
        <v>252.36274686619709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8.2220509050471051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8.2220509050471051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0.8600000000003547</v>
      </c>
      <c r="O201" s="13">
        <f>N201*VLOOKUP('Données projet'!$B$9,Paramètres!$A$1:$I$89,3,0)*VLOOKUP('Données projet'!$B$9,Paramètres!$A$1:$I$89,5,0)</f>
        <v>0.48074000000019829</v>
      </c>
      <c r="P201" s="13">
        <f t="shared" si="203"/>
        <v>0.24126147010950588</v>
      </c>
      <c r="Q201" s="20">
        <f t="shared" si="162"/>
        <v>1.2574858937744013</v>
      </c>
      <c r="R201" s="59">
        <f t="shared" si="191"/>
        <v>294.59081922710772</v>
      </c>
      <c r="S201" s="59">
        <f ca="1">AVERAGE(OFFSET($R$3,0,0,'Données projet'!$E$9+1,1))-AVERAGE(OFFSET($H$3,0,0,'Données projet'!$E$9+1,1))</f>
        <v>350.01600895263641</v>
      </c>
      <c r="T201" s="59">
        <f t="shared" si="204"/>
        <v>464.08921044376882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21.896512913449335</v>
      </c>
      <c r="AA201" s="21">
        <f>EXP(-LN(2)/25)*AA200+(1-EXP(-LN(2)/25))/(LN(2)/25)*Calculateur!V201*Calculateur!X201*VLOOKUP('Données projet'!$B$9,Paramètres!$A$1:$I$89,3,0)*0.475*44/12</f>
        <v>0.47971390001098152</v>
      </c>
      <c r="AB201" s="21">
        <f>EXP(-LN(2)/2)*AB200+(1-EXP(-LN(2)/2))/(LN(2)/2)*V201*Y201*VLOOKUP('Données projet'!$B$9,Paramètres!$A$1:$I$89,3,0)*0.475*44/12</f>
        <v>3.8252994779421079E-26</v>
      </c>
      <c r="AC201" s="22">
        <f t="shared" si="163"/>
        <v>22.376226813460317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277.99999999999994</v>
      </c>
      <c r="AJ201" s="13">
        <f>AI201*VLOOKUP('Données projet'!$B$10,Paramètres!$A$1:$I$89,3,0)*VLOOKUP('Données projet'!$B$10,Paramètres!$A$1:$I$89,5,0)</f>
        <v>151.78799999999998</v>
      </c>
      <c r="AK201" s="13">
        <f t="shared" si="164"/>
        <v>38.984634390835623</v>
      </c>
      <c r="AL201" s="20">
        <f t="shared" si="165"/>
        <v>332.26233823070532</v>
      </c>
      <c r="AM201" s="59">
        <f t="shared" si="193"/>
        <v>625.59567156403864</v>
      </c>
      <c r="AN201" s="59">
        <f ca="1">AVERAGE(OFFSET($AM$3,0,0,'Données projet'!$E$10+1,1))-AVERAGE(OFFSET($H$3,0,0,'Données projet'!$E$10+1,1))</f>
        <v>159.92263609041913</v>
      </c>
      <c r="AO201" s="59">
        <f t="shared" si="205"/>
        <v>271.78119133009307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1.3176336452650175</v>
      </c>
      <c r="AV201" s="21">
        <f>EXP(-LN(2)/25)*AV200+(1-EXP(-LN(2)/25))/(LN(2)/25)*Calculateur!AQ201*Calculateur!AS201*VLOOKUP('Données projet'!$B$10,Paramètres!$A$1:$I$89,3,0)*0.475*44/12</f>
        <v>0.91103954689559041</v>
      </c>
      <c r="AW201" s="21">
        <f>EXP(-LN(2)/2)*AW200+(1-EXP(-LN(2)/2))/(LN(2)/2)*AQ201*AT201*VLOOKUP('Données projet'!$B$10,Paramètres!$A$1:$I$89,3,0)*0.475*44/12</f>
        <v>1.3108647341001886E-27</v>
      </c>
      <c r="AX201" s="21">
        <f t="shared" si="166"/>
        <v>2.228673192160608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243</v>
      </c>
      <c r="BE201" s="13">
        <f>BD201*VLOOKUP('Données projet'!$B$11,Paramètres!$A$1:$I$89,3,0)*VLOOKUP('Données projet'!$B$11,Paramètres!$A$1:$I$89,5,0)</f>
        <v>212.28480000000002</v>
      </c>
      <c r="BF201" s="13">
        <f t="shared" si="167"/>
        <v>52.434557099704193</v>
      </c>
      <c r="BG201" s="20">
        <f t="shared" si="168"/>
        <v>461.05288028198476</v>
      </c>
      <c r="BH201" s="59">
        <f t="shared" si="194"/>
        <v>754.38621361531807</v>
      </c>
      <c r="BI201" s="59">
        <f ca="1">AVERAGE(OFFSET($BH$3,0,0,'Données projet'!$E$11+1,1))-AVERAGE(OFFSET($H$3,0,0,'Données projet'!$E$11+1,1))</f>
        <v>268.27008134105046</v>
      </c>
      <c r="BJ201" s="59">
        <f t="shared" si="206"/>
        <v>252.36274686619709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8.0608215017549973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8.0608215017549973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0.8600000000003547</v>
      </c>
      <c r="O202" s="13">
        <f>N202*VLOOKUP('Données projet'!$B$9,Paramètres!$A$1:$I$89,3,0)*VLOOKUP('Données projet'!$B$9,Paramètres!$A$1:$I$89,5,0)</f>
        <v>0.48074000000019829</v>
      </c>
      <c r="P202" s="13">
        <f t="shared" si="203"/>
        <v>0.24126147010950588</v>
      </c>
      <c r="Q202" s="20">
        <f t="shared" si="162"/>
        <v>1.2574858937744013</v>
      </c>
      <c r="R202" s="59">
        <f t="shared" si="191"/>
        <v>294.59081922710772</v>
      </c>
      <c r="S202" s="59">
        <f ca="1">AVERAGE(OFFSET($R$3,0,0,'Données projet'!$E$9+1,1))-AVERAGE(OFFSET($H$3,0,0,'Données projet'!$E$9+1,1))</f>
        <v>350.01600895263641</v>
      </c>
      <c r="T202" s="59">
        <f t="shared" si="204"/>
        <v>464.08921044376882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21.467135650770718</v>
      </c>
      <c r="AA202" s="21">
        <f>EXP(-LN(2)/25)*AA201+(1-EXP(-LN(2)/25))/(LN(2)/25)*Calculateur!V202*Calculateur!X202*VLOOKUP('Données projet'!$B$9,Paramètres!$A$1:$I$89,3,0)*0.475*44/12</f>
        <v>0.46659609818812364</v>
      </c>
      <c r="AB202" s="21">
        <f>EXP(-LN(2)/2)*AB201+(1-EXP(-LN(2)/2))/(LN(2)/2)*V202*Y202*VLOOKUP('Données projet'!$B$9,Paramètres!$A$1:$I$89,3,0)*0.475*44/12</f>
        <v>2.7048952009222245E-26</v>
      </c>
      <c r="AC202" s="22">
        <f t="shared" si="163"/>
        <v>21.933731748958841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277.99999999999994</v>
      </c>
      <c r="AJ202" s="13">
        <f>AI202*VLOOKUP('Données projet'!$B$10,Paramètres!$A$1:$I$89,3,0)*VLOOKUP('Données projet'!$B$10,Paramètres!$A$1:$I$89,5,0)</f>
        <v>151.78799999999998</v>
      </c>
      <c r="AK202" s="13">
        <f t="shared" si="164"/>
        <v>38.984634390835623</v>
      </c>
      <c r="AL202" s="20">
        <f t="shared" si="165"/>
        <v>332.26233823070532</v>
      </c>
      <c r="AM202" s="59">
        <f t="shared" si="193"/>
        <v>625.59567156403864</v>
      </c>
      <c r="AN202" s="59">
        <f ca="1">AVERAGE(OFFSET($AM$3,0,0,'Données projet'!$E$10+1,1))-AVERAGE(OFFSET($H$3,0,0,'Données projet'!$E$10+1,1))</f>
        <v>159.92263609041913</v>
      </c>
      <c r="AO202" s="59">
        <f t="shared" si="205"/>
        <v>271.78119133009307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1.2917956531585375</v>
      </c>
      <c r="AV202" s="21">
        <f>EXP(-LN(2)/25)*AV201+(1-EXP(-LN(2)/25))/(LN(2)/25)*Calculateur!AQ202*Calculateur!AS202*VLOOKUP('Données projet'!$B$10,Paramètres!$A$1:$I$89,3,0)*0.475*44/12</f>
        <v>0.88612712257624293</v>
      </c>
      <c r="AW202" s="21">
        <f>EXP(-LN(2)/2)*AW201+(1-EXP(-LN(2)/2))/(LN(2)/2)*AQ202*AT202*VLOOKUP('Données projet'!$B$10,Paramètres!$A$1:$I$89,3,0)*0.475*44/12</f>
        <v>9.2692134270054387E-28</v>
      </c>
      <c r="AX202" s="21">
        <f t="shared" si="166"/>
        <v>2.1779227757347805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243</v>
      </c>
      <c r="BE202" s="13">
        <f>BD202*VLOOKUP('Données projet'!$B$11,Paramètres!$A$1:$I$89,3,0)*VLOOKUP('Données projet'!$B$11,Paramètres!$A$1:$I$89,5,0)</f>
        <v>212.28480000000002</v>
      </c>
      <c r="BF202" s="13">
        <f t="shared" si="167"/>
        <v>52.434557099704193</v>
      </c>
      <c r="BG202" s="20">
        <f t="shared" si="168"/>
        <v>461.05288028198476</v>
      </c>
      <c r="BH202" s="59">
        <f t="shared" si="194"/>
        <v>754.38621361531807</v>
      </c>
      <c r="BI202" s="59">
        <f ca="1">AVERAGE(OFFSET($BH$3,0,0,'Données projet'!$E$11+1,1))-AVERAGE(OFFSET($H$3,0,0,'Données projet'!$E$11+1,1))</f>
        <v>268.27008134105046</v>
      </c>
      <c r="BJ202" s="59">
        <f t="shared" si="206"/>
        <v>252.36274686619709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7.9027537087212227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7.9027537087212227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0.8600000000003547</v>
      </c>
      <c r="O203" s="13">
        <f>N203*VLOOKUP('Données projet'!$B$9,Paramètres!$A$1:$I$89,3,0)*VLOOKUP('Données projet'!$B$9,Paramètres!$A$1:$I$89,5,0)</f>
        <v>0.48074000000019829</v>
      </c>
      <c r="P203" s="13">
        <f t="shared" si="203"/>
        <v>0.24126147010950588</v>
      </c>
      <c r="Q203" s="20">
        <f t="shared" si="162"/>
        <v>1.2574858937744013</v>
      </c>
      <c r="R203" s="59">
        <f t="shared" si="191"/>
        <v>294.59081922710772</v>
      </c>
      <c r="S203" s="59">
        <f ca="1">AVERAGE(OFFSET($R$3,0,0,'Données projet'!$E$9+1,1))-AVERAGE(OFFSET($H$3,0,0,'Données projet'!$E$9+1,1))</f>
        <v>350.01600895263641</v>
      </c>
      <c r="T203" s="59">
        <f t="shared" si="204"/>
        <v>464.08921044376882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21.04617821431896</v>
      </c>
      <c r="AA203" s="21">
        <f>EXP(-LN(2)/25)*AA202+(1-EXP(-LN(2)/25))/(LN(2)/25)*Calculateur!V203*Calculateur!X203*VLOOKUP('Données projet'!$B$9,Paramètres!$A$1:$I$89,3,0)*0.475*44/12</f>
        <v>0.45383700334594701</v>
      </c>
      <c r="AB203" s="21">
        <f>EXP(-LN(2)/2)*AB202+(1-EXP(-LN(2)/2))/(LN(2)/2)*V203*Y203*VLOOKUP('Données projet'!$B$9,Paramètres!$A$1:$I$89,3,0)*0.475*44/12</f>
        <v>1.9126497389710539E-26</v>
      </c>
      <c r="AC203" s="22">
        <f t="shared" si="163"/>
        <v>21.500015217664906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277.99999999999994</v>
      </c>
      <c r="AJ203" s="13">
        <f>AI203*VLOOKUP('Données projet'!$B$10,Paramètres!$A$1:$I$89,3,0)*VLOOKUP('Données projet'!$B$10,Paramètres!$A$1:$I$89,5,0)</f>
        <v>151.78799999999998</v>
      </c>
      <c r="AK203" s="13">
        <f t="shared" si="164"/>
        <v>38.984634390835623</v>
      </c>
      <c r="AL203" s="20">
        <f t="shared" si="165"/>
        <v>332.26233823070532</v>
      </c>
      <c r="AM203" s="59">
        <f t="shared" si="193"/>
        <v>625.59567156403864</v>
      </c>
      <c r="AN203" s="59">
        <f ca="1">AVERAGE(OFFSET($AM$3,0,0,'Données projet'!$E$10+1,1))-AVERAGE(OFFSET($H$3,0,0,'Données projet'!$E$10+1,1))</f>
        <v>159.92263609041913</v>
      </c>
      <c r="AO203" s="59">
        <f t="shared" si="205"/>
        <v>271.78119133009307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1.2664643283176467</v>
      </c>
      <c r="AV203" s="21">
        <f>EXP(-LN(2)/25)*AV202+(1-EXP(-LN(2)/25))/(LN(2)/25)*Calculateur!AQ203*Calculateur!AS203*VLOOKUP('Données projet'!$B$10,Paramètres!$A$1:$I$89,3,0)*0.475*44/12</f>
        <v>0.86189592980999541</v>
      </c>
      <c r="AW203" s="21">
        <f>EXP(-LN(2)/2)*AW202+(1-EXP(-LN(2)/2))/(LN(2)/2)*AQ203*AT203*VLOOKUP('Données projet'!$B$10,Paramètres!$A$1:$I$89,3,0)*0.475*44/12</f>
        <v>6.5543236705009432E-28</v>
      </c>
      <c r="AX203" s="21">
        <f t="shared" si="166"/>
        <v>2.1283602581276422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243</v>
      </c>
      <c r="BE203" s="13">
        <f>BD203*VLOOKUP('Données projet'!$B$11,Paramètres!$A$1:$I$89,3,0)*VLOOKUP('Données projet'!$B$11,Paramètres!$A$1:$I$89,5,0)</f>
        <v>212.28480000000002</v>
      </c>
      <c r="BF203" s="13">
        <f t="shared" si="167"/>
        <v>52.434557099704193</v>
      </c>
      <c r="BG203" s="20">
        <f t="shared" si="168"/>
        <v>461.05288028198476</v>
      </c>
      <c r="BH203" s="59">
        <f t="shared" si="194"/>
        <v>754.38621361531807</v>
      </c>
      <c r="BI203" s="59">
        <f ca="1">AVERAGE(OFFSET($BH$3,0,0,'Données projet'!$E$11+1,1))-AVERAGE(OFFSET($H$3,0,0,'Données projet'!$E$11+1,1))</f>
        <v>268.27008134105046</v>
      </c>
      <c r="BJ203" s="59">
        <f t="shared" si="206"/>
        <v>252.36274686619709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7.7477855286970065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7.7477855286970065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1.3540417154604885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1.4860662319460807</v>
      </c>
      <c r="BA205" s="81">
        <f>EXP(LN('Données projet'!B88)/'Données projet'!A88)</f>
        <v>1.4003603312913959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Douglas</v>
      </c>
      <c r="B6" s="144">
        <f>'Données projet'!D9</f>
        <v>2.7990186056021265</v>
      </c>
      <c r="C6" s="145">
        <f ca="1">IF(OR('Données projet'!B9="",'Données projet'!C9="",'Données projet'!C9=0%),0,Calculateur!S3)</f>
        <v>350.01600895263641</v>
      </c>
      <c r="D6" s="145">
        <f>IF(OR('Données projet'!B9="",'Données projet'!C9="",'Données projet'!C9=0%),0,Calculateur!T3)</f>
        <v>464.08921044376882</v>
      </c>
      <c r="E6" s="145">
        <f ca="1">MIN(C6,D6)</f>
        <v>350.01600895263641</v>
      </c>
      <c r="F6" s="145">
        <f ca="1">E6*B6</f>
        <v>979.70132131702974</v>
      </c>
      <c r="G6" s="145">
        <f ca="1">F6*(100%-'Données projet'!$C$24)*(100%-'Données projet'!$C$25)*(100%-'Données projet'!$C$26)*(100%-'Données projet'!$C$27)</f>
        <v>705.38495134826144</v>
      </c>
      <c r="H6" s="146">
        <f>IF(OR('Données projet'!B9="",'Données projet'!C9="",'Données projet'!C9=0%),0,AVERAGE(Calculateur!$AC$3:$AC$33)*B6)</f>
        <v>29.567512803408459</v>
      </c>
      <c r="I6" s="147">
        <f>H6*(100%-'Données projet'!$C$24)*(100%-'Données projet'!$C$25)*(100%-'Données projet'!$C$26)*(100%-'Données projet'!$C$27)</f>
        <v>21.288609218454095</v>
      </c>
      <c r="J6" s="148">
        <f>IF(OR('Données projet'!B9="",'Données projet'!C9="",'Données projet'!C9=0%),0,SUM(Calculateur!$V$3:$V$33)*VLOOKUP('Données projet'!$B$9,Paramètres!$A$1:$I$89,9,0)*B6)</f>
        <v>249.3572901247189</v>
      </c>
      <c r="K6" s="149">
        <f>J6*(100%-'Données projet'!$C$24)*(100%-'Données projet'!$C$25)*(100%-'Données projet'!$C$26)*(100%-'Données projet'!$C$27)</f>
        <v>179.53724888979764</v>
      </c>
      <c r="L6" s="150">
        <f ca="1">G6+I6+K6</f>
        <v>906.21080945651318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Mélèze hybride</v>
      </c>
      <c r="B7" s="152">
        <f>'Données projet'!D10</f>
        <v>0.69975465140053161</v>
      </c>
      <c r="C7" s="145">
        <f ca="1">IF(OR('Données projet'!B10="",'Données projet'!C10="",'Données projet'!C10=0%),0,Calculateur!AN3)</f>
        <v>159.92263609041913</v>
      </c>
      <c r="D7" s="145">
        <f>IF(OR('Données projet'!B10="",'Données projet'!C10="",'Données projet'!C10=0%),0,Calculateur!AO3)</f>
        <v>271.78119133009307</v>
      </c>
      <c r="E7" s="145">
        <f t="shared" ref="E7:E15" ca="1" si="0">MIN(C7,D7)</f>
        <v>159.92263609041913</v>
      </c>
      <c r="F7" s="145">
        <f t="shared" ref="F7:F15" ca="1" si="1">E7*B7</f>
        <v>111.90660846850531</v>
      </c>
      <c r="G7" s="145">
        <f ca="1">F7*(100%-'Données projet'!$C$24)*(100%-'Données projet'!$C$25)*(100%-'Données projet'!$C$26)*(100%-'Données projet'!$C$27)</f>
        <v>80.572758097323828</v>
      </c>
      <c r="H7" s="153">
        <f>IF(OR('Données projet'!B10="",'Données projet'!C10="",'Données projet'!C10=0%),0,AVERAGE(Calculateur!$AX$3:$AX$33)*B7)</f>
        <v>19.650240000485127</v>
      </c>
      <c r="I7" s="147">
        <f>H7*(100%-'Données projet'!$C$24)*(100%-'Données projet'!$C$25)*(100%-'Données projet'!$C$26)*(100%-'Données projet'!$C$27)</f>
        <v>14.148172800349293</v>
      </c>
      <c r="J7" s="148">
        <f>IF(OR('Données projet'!B10="",'Données projet'!C10="",'Données projet'!C10=0%),0,SUM(Calculateur!$AQ$3:$AQ$33)*VLOOKUP('Données projet'!$B$10,Paramètres!$A$1:$I$89,9,0)*B7)</f>
        <v>86.958510529544057</v>
      </c>
      <c r="K7" s="149">
        <f>J7*(100%-'Données projet'!$C$24)*(100%-'Données projet'!$C$25)*(100%-'Données projet'!$C$26)*(100%-'Données projet'!$C$27)</f>
        <v>62.610127581271726</v>
      </c>
      <c r="L7" s="150">
        <f t="shared" ref="L7:L15" ca="1" si="2">G7+I7+K7</f>
        <v>157.33105847894484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rouge d'Amérique</v>
      </c>
      <c r="B8" s="152">
        <f>'Données projet'!D11</f>
        <v>0.20122674299734206</v>
      </c>
      <c r="C8" s="145">
        <f ca="1">IF(OR('Données projet'!B11="",'Données projet'!C11="",'Données projet'!C11=0%),0,Calculateur!BI3)</f>
        <v>268.27008134105046</v>
      </c>
      <c r="D8" s="145">
        <f>IF(OR('Données projet'!B11="",'Données projet'!C11="",'Données projet'!C11=0%),0,Calculateur!BJ3)</f>
        <v>252.36274686619709</v>
      </c>
      <c r="E8" s="145">
        <f t="shared" ca="1" si="0"/>
        <v>252.36274686619709</v>
      </c>
      <c r="F8" s="145">
        <f t="shared" ca="1" si="1"/>
        <v>50.782133605747532</v>
      </c>
      <c r="G8" s="145">
        <f ca="1">F8*(100%-'Données projet'!$C$24)*(100%-'Données projet'!$C$25)*(100%-'Données projet'!$C$26)*(100%-'Données projet'!$C$27)</f>
        <v>36.563136196138231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5.3828153751789003</v>
      </c>
      <c r="K8" s="149">
        <f>J8*(100%-'Données projet'!$C$24)*(100%-'Données projet'!$C$25)*(100%-'Données projet'!$C$26)*(100%-'Données projet'!$C$27)</f>
        <v>3.8756270701288087</v>
      </c>
      <c r="L8" s="150">
        <f t="shared" ca="1" si="2"/>
        <v>40.438763266267038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1142.3900633912826</v>
      </c>
      <c r="G16" s="164">
        <f t="shared" ca="1" si="3"/>
        <v>822.52084564172344</v>
      </c>
      <c r="H16" s="165">
        <f t="shared" si="3"/>
        <v>49.217752803893589</v>
      </c>
      <c r="I16" s="165">
        <f t="shared" si="3"/>
        <v>35.436782018803385</v>
      </c>
      <c r="J16" s="166">
        <f t="shared" si="3"/>
        <v>341.69861602944184</v>
      </c>
      <c r="K16" s="166">
        <f t="shared" si="3"/>
        <v>246.02300354119819</v>
      </c>
      <c r="L16" s="167">
        <f t="shared" ca="1" si="3"/>
        <v>1103.9806312017249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Mélèze hybride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1" zoomScale="90" zoomScaleNormal="90" workbookViewId="0">
      <selection activeCell="N19" sqref="N19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Douglas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2.7990186056021265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Mélèze hybride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0.69975465140053161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rouge d'Amérique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0.20122674299734206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Douglas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17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18</v>
      </c>
      <c r="B24" s="179">
        <f>'Données projet'!D37</f>
        <v>74.819999999999993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24</v>
      </c>
      <c r="B25" s="179">
        <f>'Données projet'!D38</f>
        <v>51.39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80.97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36</v>
      </c>
      <c r="B27" s="179">
        <f>'Données projet'!D40</f>
        <v>85.88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42</v>
      </c>
      <c r="B28" s="179">
        <f>'Données projet'!D41</f>
        <v>91.25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48</v>
      </c>
      <c r="B29" s="179">
        <f>'Données projet'!D42</f>
        <v>101.34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54</v>
      </c>
      <c r="B30" s="179">
        <f>'Données projet'!D43</f>
        <v>707.75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0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Mélèze hybride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12</v>
      </c>
      <c r="B54" s="179">
        <f>'Données projet'!D62</f>
        <v>21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47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18</v>
      </c>
      <c r="B56" s="179">
        <f>'Données projet'!D64</f>
        <v>61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24</v>
      </c>
      <c r="B57" s="179">
        <f>'Données projet'!D65</f>
        <v>84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76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36</v>
      </c>
      <c r="B59" s="179">
        <f>'Données projet'!D67</f>
        <v>75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42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0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rouge d'Amérique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str">
        <f>IF(O75+1&lt;=MIN('Données projet'!$E$9:$E$18),O75+1,"STOP")</f>
        <v>STOP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15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20</v>
      </c>
      <c r="B87" s="179">
        <f>'Données projet'!D90</f>
        <v>54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25</v>
      </c>
      <c r="B88" s="179">
        <f>'Données projet'!D91</f>
        <v>26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30</v>
      </c>
      <c r="B89" s="179">
        <f>'Données projet'!D92</f>
        <v>27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35</v>
      </c>
      <c r="B90" s="179">
        <f>'Données projet'!D93</f>
        <v>27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40</v>
      </c>
      <c r="B91" s="179">
        <f>'Données projet'!D94</f>
        <v>27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45</v>
      </c>
      <c r="B92" s="179">
        <f>'Données projet'!D95</f>
        <v>26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50</v>
      </c>
      <c r="B93" s="179">
        <f>'Données projet'!D96</f>
        <v>24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55</v>
      </c>
      <c r="B94" s="179">
        <f>'Données projet'!D97</f>
        <v>23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60</v>
      </c>
      <c r="B95" s="179">
        <f>'Données projet'!D98</f>
        <v>21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65</v>
      </c>
      <c r="B96" s="179">
        <f>'Données projet'!D99</f>
        <v>20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70</v>
      </c>
      <c r="B97" s="179">
        <f>'Données projet'!D100</f>
        <v>18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75</v>
      </c>
      <c r="B98" s="179">
        <f>'Données projet'!D101</f>
        <v>16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80</v>
      </c>
      <c r="B99" s="179">
        <f>'Données projet'!D102</f>
        <v>15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85</v>
      </c>
      <c r="B100" s="179">
        <f>'Données projet'!D103</f>
        <v>14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90</v>
      </c>
      <c r="B101" s="179">
        <f>'Données projet'!D104</f>
        <v>12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95</v>
      </c>
      <c r="B102" s="179">
        <f>'Données projet'!D105</f>
        <v>12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100</v>
      </c>
      <c r="B103" s="179">
        <f>'Données projet'!D106</f>
        <v>12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2025-03-06T11:33:59Z</dcterms:modified>
</cp:coreProperties>
</file>